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TP_1\"/>
    </mc:Choice>
  </mc:AlternateContent>
  <bookViews>
    <workbookView xWindow="0" yWindow="0" windowWidth="23040" windowHeight="8688"/>
  </bookViews>
  <sheets>
    <sheet name="Tomato" sheetId="3" r:id="rId1"/>
    <sheet name="cotton" sheetId="5" r:id="rId2"/>
    <sheet name="Notes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15" i="3" l="1"/>
  <c r="AJ11" i="3"/>
  <c r="AE109" i="3" l="1"/>
  <c r="AJ24" i="3" l="1"/>
  <c r="AH16" i="3" l="1"/>
  <c r="X11" i="3" l="1"/>
  <c r="K58" i="4"/>
  <c r="J58" i="4"/>
  <c r="J56" i="4"/>
  <c r="Q11" i="3"/>
  <c r="AA11" i="3" l="1"/>
  <c r="D6" i="3" l="1"/>
  <c r="AN12" i="5"/>
  <c r="AN13" i="5"/>
  <c r="AN14" i="5" s="1"/>
  <c r="AN15" i="5" s="1"/>
  <c r="AN16" i="5" s="1"/>
  <c r="AN17" i="5" s="1"/>
  <c r="AN18" i="5" s="1"/>
  <c r="AN19" i="5" s="1"/>
  <c r="AN20" i="5" s="1"/>
  <c r="AN21" i="5" s="1"/>
  <c r="AN22" i="5" s="1"/>
  <c r="AN23" i="5" s="1"/>
  <c r="AN24" i="5" s="1"/>
  <c r="AN25" i="5" s="1"/>
  <c r="AN26" i="5" s="1"/>
  <c r="AN27" i="5" s="1"/>
  <c r="AN28" i="5" s="1"/>
  <c r="AN29" i="5" s="1"/>
  <c r="AN30" i="5" s="1"/>
  <c r="AN31" i="5" s="1"/>
  <c r="AN32" i="5" s="1"/>
  <c r="AN33" i="5" s="1"/>
  <c r="AN34" i="5" s="1"/>
  <c r="AN35" i="5" s="1"/>
  <c r="AN36" i="5" s="1"/>
  <c r="AN37" i="5" s="1"/>
  <c r="AN38" i="5" s="1"/>
  <c r="AN39" i="5" s="1"/>
  <c r="AN40" i="5" s="1"/>
  <c r="AN41" i="5" s="1"/>
  <c r="AN42" i="5" s="1"/>
  <c r="AN43" i="5" s="1"/>
  <c r="AN44" i="5" s="1"/>
  <c r="AN45" i="5" s="1"/>
  <c r="AN46" i="5" s="1"/>
  <c r="AN47" i="5" s="1"/>
  <c r="AN48" i="5" s="1"/>
  <c r="AN49" i="5" s="1"/>
  <c r="AN50" i="5" s="1"/>
  <c r="AN51" i="5" s="1"/>
  <c r="AN52" i="5" s="1"/>
  <c r="AN53" i="5" s="1"/>
  <c r="AN54" i="5" s="1"/>
  <c r="AN55" i="5" s="1"/>
  <c r="AN56" i="5" s="1"/>
  <c r="AN57" i="5" s="1"/>
  <c r="AN58" i="5" s="1"/>
  <c r="AN59" i="5" s="1"/>
  <c r="AN60" i="5" s="1"/>
  <c r="AN61" i="5" s="1"/>
  <c r="AN62" i="5" s="1"/>
  <c r="AN63" i="5" s="1"/>
  <c r="AN64" i="5" s="1"/>
  <c r="AN65" i="5" s="1"/>
  <c r="AN66" i="5" s="1"/>
  <c r="AN67" i="5" s="1"/>
  <c r="AN68" i="5" s="1"/>
  <c r="AN69" i="5" s="1"/>
  <c r="AN70" i="5" s="1"/>
  <c r="AN71" i="5" s="1"/>
  <c r="AN72" i="5" s="1"/>
  <c r="AN73" i="5" s="1"/>
  <c r="AN74" i="5" s="1"/>
  <c r="AN75" i="5" s="1"/>
  <c r="AN76" i="5" s="1"/>
  <c r="AN77" i="5" s="1"/>
  <c r="AN78" i="5" s="1"/>
  <c r="AN79" i="5" s="1"/>
  <c r="AN80" i="5" s="1"/>
  <c r="AN81" i="5" s="1"/>
  <c r="AN82" i="5" s="1"/>
  <c r="AN83" i="5" s="1"/>
  <c r="AN84" i="5" s="1"/>
  <c r="AN85" i="5" s="1"/>
  <c r="AN86" i="5" s="1"/>
  <c r="AN87" i="5" s="1"/>
  <c r="AN88" i="5" s="1"/>
  <c r="AN89" i="5" s="1"/>
  <c r="AN90" i="5" s="1"/>
  <c r="AN91" i="5" s="1"/>
  <c r="AN92" i="5" s="1"/>
  <c r="AN93" i="5" s="1"/>
  <c r="AN94" i="5" s="1"/>
  <c r="AN95" i="5" s="1"/>
  <c r="AN96" i="5" s="1"/>
  <c r="AN97" i="5" s="1"/>
  <c r="AN98" i="5" s="1"/>
  <c r="AN99" i="5" s="1"/>
  <c r="AN100" i="5" s="1"/>
  <c r="AN101" i="5" s="1"/>
  <c r="AN102" i="5" s="1"/>
  <c r="AN103" i="5" s="1"/>
  <c r="AN104" i="5" s="1"/>
  <c r="AN105" i="5" s="1"/>
  <c r="AN106" i="5" s="1"/>
  <c r="AN107" i="5" s="1"/>
  <c r="AN108" i="5" s="1"/>
  <c r="AN109" i="5" s="1"/>
  <c r="AN110" i="5" s="1"/>
  <c r="AN111" i="5" s="1"/>
  <c r="AN112" i="5" s="1"/>
  <c r="AN113" i="5" s="1"/>
  <c r="AN114" i="5" s="1"/>
  <c r="AN115" i="5" s="1"/>
  <c r="AN116" i="5" s="1"/>
  <c r="AN117" i="5" s="1"/>
  <c r="AN118" i="5" s="1"/>
  <c r="AN119" i="5" s="1"/>
  <c r="AN120" i="5" s="1"/>
  <c r="AN121" i="5" s="1"/>
  <c r="AN122" i="5" s="1"/>
  <c r="AN123" i="5" s="1"/>
  <c r="AN124" i="5" s="1"/>
  <c r="AN125" i="5" s="1"/>
  <c r="AN126" i="5" s="1"/>
  <c r="AN127" i="5" s="1"/>
  <c r="AN128" i="5" s="1"/>
  <c r="AN129" i="5" s="1"/>
  <c r="AN130" i="5" s="1"/>
  <c r="AN131" i="5" s="1"/>
  <c r="AN132" i="5" s="1"/>
  <c r="AN133" i="5" s="1"/>
  <c r="AN134" i="5" s="1"/>
  <c r="AN135" i="5" s="1"/>
  <c r="AN136" i="5" s="1"/>
  <c r="AN137" i="5" s="1"/>
  <c r="AN138" i="5" s="1"/>
  <c r="AN139" i="5" s="1"/>
  <c r="AN140" i="5" s="1"/>
  <c r="AN141" i="5" s="1"/>
  <c r="AN142" i="5" s="1"/>
  <c r="AN143" i="5" s="1"/>
  <c r="AN144" i="5" s="1"/>
  <c r="AN145" i="5" s="1"/>
  <c r="AN146" i="5" s="1"/>
  <c r="AN147" i="5" s="1"/>
  <c r="AN148" i="5" s="1"/>
  <c r="AN149" i="5" s="1"/>
  <c r="AN150" i="5" s="1"/>
  <c r="AN151" i="5" s="1"/>
  <c r="AN152" i="5" s="1"/>
  <c r="AN153" i="5" s="1"/>
  <c r="AN154" i="5" s="1"/>
  <c r="AN155" i="5" s="1"/>
  <c r="AN156" i="5" s="1"/>
  <c r="AN157" i="5" s="1"/>
  <c r="AN158" i="5" s="1"/>
  <c r="AN159" i="5" s="1"/>
  <c r="AN160" i="5" s="1"/>
  <c r="AN161" i="5" s="1"/>
  <c r="AN162" i="5" s="1"/>
  <c r="AN163" i="5" s="1"/>
  <c r="AN164" i="5" s="1"/>
  <c r="AN165" i="5" s="1"/>
  <c r="AN166" i="5" s="1"/>
  <c r="AN167" i="5" s="1"/>
  <c r="AN168" i="5" s="1"/>
  <c r="AN169" i="5" s="1"/>
  <c r="AN170" i="5" s="1"/>
  <c r="AN171" i="5" s="1"/>
  <c r="AN172" i="5" s="1"/>
  <c r="AN173" i="5" s="1"/>
  <c r="AN174" i="5" s="1"/>
  <c r="AN175" i="5" s="1"/>
  <c r="AN176" i="5" s="1"/>
  <c r="AN177" i="5" s="1"/>
  <c r="AN178" i="5" s="1"/>
  <c r="AN179" i="5" s="1"/>
  <c r="AN180" i="5" s="1"/>
  <c r="AN181" i="5" s="1"/>
  <c r="AN182" i="5" s="1"/>
  <c r="AN183" i="5" s="1"/>
  <c r="AN184" i="5" s="1"/>
  <c r="AN185" i="5" s="1"/>
  <c r="AN186" i="5" s="1"/>
  <c r="AN187" i="5" s="1"/>
  <c r="AN188" i="5" s="1"/>
  <c r="AN189" i="5" s="1"/>
  <c r="AN190" i="5" s="1"/>
  <c r="AN11" i="5"/>
  <c r="H6" i="3" l="1"/>
  <c r="AG11" i="3" s="1"/>
  <c r="AK10" i="3"/>
  <c r="AH11" i="3" s="1"/>
  <c r="F6" i="3"/>
  <c r="AD190" i="5"/>
  <c r="AD186" i="5"/>
  <c r="AD187" i="5"/>
  <c r="AD188" i="5"/>
  <c r="AD189" i="5"/>
  <c r="AD185" i="5"/>
  <c r="AD183" i="5"/>
  <c r="AD169" i="5"/>
  <c r="AD170" i="5"/>
  <c r="AD171" i="5"/>
  <c r="AD172" i="5"/>
  <c r="AD173" i="5"/>
  <c r="AD174" i="5"/>
  <c r="AD175" i="5"/>
  <c r="AD176" i="5"/>
  <c r="AD177" i="5"/>
  <c r="AD178" i="5"/>
  <c r="AD179" i="5"/>
  <c r="AD168" i="5"/>
  <c r="AD165" i="5"/>
  <c r="AD166" i="5"/>
  <c r="AD164" i="5"/>
  <c r="AD159" i="5"/>
  <c r="AD158" i="5"/>
  <c r="AD156" i="5"/>
  <c r="AD151" i="5"/>
  <c r="AD150" i="5"/>
  <c r="AD145" i="5"/>
  <c r="AD143" i="5"/>
  <c r="AD142" i="5"/>
  <c r="AD135" i="5"/>
  <c r="AD136" i="5"/>
  <c r="AD137" i="5"/>
  <c r="AD138" i="5"/>
  <c r="AD134" i="5"/>
  <c r="AD132" i="5"/>
  <c r="AD130" i="5"/>
  <c r="AD184" i="5"/>
  <c r="AD181" i="5"/>
  <c r="AD182" i="5"/>
  <c r="AD180" i="5"/>
  <c r="AD167" i="5"/>
  <c r="AD161" i="5"/>
  <c r="AD162" i="5"/>
  <c r="AD163" i="5"/>
  <c r="AD160" i="5"/>
  <c r="AD157" i="5"/>
  <c r="AD155" i="5"/>
  <c r="AD153" i="5"/>
  <c r="AD154" i="5"/>
  <c r="AD152" i="5"/>
  <c r="AD149" i="5"/>
  <c r="AD148" i="5"/>
  <c r="AD147" i="5"/>
  <c r="AD146" i="5"/>
  <c r="AD144" i="5"/>
  <c r="AD141" i="5"/>
  <c r="AD140" i="5"/>
  <c r="AD139" i="5"/>
  <c r="AD133" i="5"/>
  <c r="AD131" i="5"/>
  <c r="AD129" i="5"/>
  <c r="AD128" i="5"/>
  <c r="AD118" i="5"/>
  <c r="AD119" i="5"/>
  <c r="AD120" i="5"/>
  <c r="AD121" i="5"/>
  <c r="AD122" i="5"/>
  <c r="AD123" i="5"/>
  <c r="AD124" i="5"/>
  <c r="AD125" i="5"/>
  <c r="AD126" i="5"/>
  <c r="AD127" i="5"/>
  <c r="AD117" i="5"/>
  <c r="AD116" i="5"/>
  <c r="AD115" i="5"/>
  <c r="AD112" i="5"/>
  <c r="AD113" i="5"/>
  <c r="AD114" i="5"/>
  <c r="AD111" i="5"/>
  <c r="AD110" i="5"/>
  <c r="AD109" i="5"/>
  <c r="AD108" i="5"/>
  <c r="AD107" i="5"/>
  <c r="AD103" i="5"/>
  <c r="AD104" i="5"/>
  <c r="AD105" i="5"/>
  <c r="AD106" i="5"/>
  <c r="AD102" i="5"/>
  <c r="AD100" i="5"/>
  <c r="AD101" i="5"/>
  <c r="AD99" i="5"/>
  <c r="AD98" i="5"/>
  <c r="AD96" i="5"/>
  <c r="AD95" i="5"/>
  <c r="AD93" i="5"/>
  <c r="AD97" i="5"/>
  <c r="AD94" i="5"/>
  <c r="AD84" i="5"/>
  <c r="AD85" i="5"/>
  <c r="AD86" i="5"/>
  <c r="AD87" i="5"/>
  <c r="AD88" i="5"/>
  <c r="AD89" i="5"/>
  <c r="AD90" i="5"/>
  <c r="AD91" i="5"/>
  <c r="AD92" i="5"/>
  <c r="AD83" i="5"/>
  <c r="AD82" i="5"/>
  <c r="AD78" i="5"/>
  <c r="AD79" i="5"/>
  <c r="AD80" i="5"/>
  <c r="AD81" i="5"/>
  <c r="AD77" i="5"/>
  <c r="AD76" i="5"/>
  <c r="AD73" i="5"/>
  <c r="AD75" i="5"/>
  <c r="AD74" i="5"/>
  <c r="AD72" i="5"/>
  <c r="AD71" i="5"/>
  <c r="AD70" i="5"/>
  <c r="AD69" i="5"/>
  <c r="AD62" i="5"/>
  <c r="AD59" i="5"/>
  <c r="AD57" i="5"/>
  <c r="AD55" i="5"/>
  <c r="AD54" i="5"/>
  <c r="AD52" i="5"/>
  <c r="AD64" i="5"/>
  <c r="AD65" i="5"/>
  <c r="AD66" i="5"/>
  <c r="AD67" i="5"/>
  <c r="AD68" i="5"/>
  <c r="AD63" i="5"/>
  <c r="AD61" i="5"/>
  <c r="AD60" i="5"/>
  <c r="AD58" i="5"/>
  <c r="AD56" i="5"/>
  <c r="AD53" i="5"/>
  <c r="AD51" i="5"/>
  <c r="AD50" i="5"/>
  <c r="AD49" i="5"/>
  <c r="AD45" i="5"/>
  <c r="AD46" i="5"/>
  <c r="AD47" i="5"/>
  <c r="AD48" i="5"/>
  <c r="AD44" i="5"/>
  <c r="AD43" i="5"/>
  <c r="AD42" i="5"/>
  <c r="AD39" i="5"/>
  <c r="AD40" i="5"/>
  <c r="AD38" i="5"/>
  <c r="AD41" i="5"/>
  <c r="AD36" i="5"/>
  <c r="AD37" i="5"/>
  <c r="AD35" i="5"/>
  <c r="AD33" i="5"/>
  <c r="AD34" i="5"/>
  <c r="AD24" i="5"/>
  <c r="AD25" i="5"/>
  <c r="AD26" i="5"/>
  <c r="AD27" i="5"/>
  <c r="AD28" i="5"/>
  <c r="AD29" i="5"/>
  <c r="AD30" i="5"/>
  <c r="AD31" i="5"/>
  <c r="AD32" i="5"/>
  <c r="AD22" i="5"/>
  <c r="AD23" i="5"/>
  <c r="AD21" i="5"/>
  <c r="AD20" i="5"/>
  <c r="AD17" i="5"/>
  <c r="AD18" i="5"/>
  <c r="AD19" i="5"/>
  <c r="AD16" i="5"/>
  <c r="AE123" i="3"/>
  <c r="AD14" i="5"/>
  <c r="AD13" i="5"/>
  <c r="K172" i="5" l="1"/>
  <c r="K12" i="5"/>
  <c r="L12" i="5"/>
  <c r="O12" i="5"/>
  <c r="Q12" i="5" s="1"/>
  <c r="P12" i="5"/>
  <c r="S12" i="5"/>
  <c r="K13" i="5"/>
  <c r="M13" i="5" s="1"/>
  <c r="L13" i="5"/>
  <c r="N13" i="5"/>
  <c r="O13" i="5"/>
  <c r="Q13" i="5" s="1"/>
  <c r="P13" i="5"/>
  <c r="R13" i="5"/>
  <c r="S13" i="5"/>
  <c r="T13" i="5" s="1"/>
  <c r="V13" i="5" s="1"/>
  <c r="K14" i="5"/>
  <c r="L14" i="5"/>
  <c r="M14" i="5"/>
  <c r="N14" i="5"/>
  <c r="O14" i="5"/>
  <c r="P14" i="5"/>
  <c r="Q14" i="5"/>
  <c r="S14" i="5" s="1"/>
  <c r="K15" i="5"/>
  <c r="L15" i="5"/>
  <c r="N15" i="5" s="1"/>
  <c r="M15" i="5"/>
  <c r="O15" i="5"/>
  <c r="P15" i="5"/>
  <c r="Q15" i="5"/>
  <c r="K16" i="5"/>
  <c r="L16" i="5"/>
  <c r="O16" i="5"/>
  <c r="Q16" i="5" s="1"/>
  <c r="P16" i="5"/>
  <c r="S16" i="5"/>
  <c r="K17" i="5"/>
  <c r="M17" i="5" s="1"/>
  <c r="L17" i="5"/>
  <c r="N17" i="5"/>
  <c r="O17" i="5"/>
  <c r="Q17" i="5" s="1"/>
  <c r="P17" i="5"/>
  <c r="R17" i="5"/>
  <c r="S17" i="5"/>
  <c r="T17" i="5" s="1"/>
  <c r="V17" i="5" s="1"/>
  <c r="K18" i="5"/>
  <c r="L18" i="5"/>
  <c r="M18" i="5"/>
  <c r="N18" i="5"/>
  <c r="O18" i="5"/>
  <c r="P18" i="5"/>
  <c r="Q18" i="5"/>
  <c r="S18" i="5" s="1"/>
  <c r="K19" i="5"/>
  <c r="L19" i="5"/>
  <c r="N19" i="5" s="1"/>
  <c r="M19" i="5"/>
  <c r="O19" i="5"/>
  <c r="P19" i="5"/>
  <c r="Q19" i="5"/>
  <c r="K20" i="5"/>
  <c r="L20" i="5"/>
  <c r="O20" i="5"/>
  <c r="Q20" i="5" s="1"/>
  <c r="P20" i="5"/>
  <c r="S20" i="5"/>
  <c r="K21" i="5"/>
  <c r="M21" i="5" s="1"/>
  <c r="L21" i="5"/>
  <c r="N21" i="5"/>
  <c r="O21" i="5"/>
  <c r="Q21" i="5" s="1"/>
  <c r="P21" i="5"/>
  <c r="R21" i="5"/>
  <c r="S21" i="5"/>
  <c r="T21" i="5" s="1"/>
  <c r="V21" i="5" s="1"/>
  <c r="K22" i="5"/>
  <c r="L22" i="5"/>
  <c r="M22" i="5"/>
  <c r="N22" i="5"/>
  <c r="O22" i="5"/>
  <c r="P22" i="5"/>
  <c r="Q22" i="5"/>
  <c r="S22" i="5" s="1"/>
  <c r="K23" i="5"/>
  <c r="L23" i="5"/>
  <c r="N23" i="5" s="1"/>
  <c r="M23" i="5"/>
  <c r="O23" i="5"/>
  <c r="P23" i="5"/>
  <c r="Q23" i="5"/>
  <c r="K24" i="5"/>
  <c r="L24" i="5"/>
  <c r="O24" i="5"/>
  <c r="Q24" i="5" s="1"/>
  <c r="P24" i="5"/>
  <c r="S24" i="5"/>
  <c r="K25" i="5"/>
  <c r="M25" i="5" s="1"/>
  <c r="L25" i="5"/>
  <c r="N25" i="5"/>
  <c r="O25" i="5"/>
  <c r="Q25" i="5" s="1"/>
  <c r="P25" i="5"/>
  <c r="R25" i="5"/>
  <c r="U25" i="5" s="1"/>
  <c r="S25" i="5"/>
  <c r="T25" i="5" s="1"/>
  <c r="V25" i="5" s="1"/>
  <c r="Y25" i="5"/>
  <c r="K26" i="5"/>
  <c r="L26" i="5"/>
  <c r="N26" i="5" s="1"/>
  <c r="M26" i="5"/>
  <c r="O26" i="5"/>
  <c r="P26" i="5"/>
  <c r="Q26" i="5"/>
  <c r="K27" i="5"/>
  <c r="L27" i="5"/>
  <c r="O27" i="5"/>
  <c r="Q27" i="5" s="1"/>
  <c r="P27" i="5"/>
  <c r="K28" i="5"/>
  <c r="L28" i="5"/>
  <c r="N28" i="5"/>
  <c r="O28" i="5"/>
  <c r="Q28" i="5" s="1"/>
  <c r="P28" i="5"/>
  <c r="R28" i="5"/>
  <c r="S28" i="5"/>
  <c r="T28" i="5" s="1"/>
  <c r="V28" i="5" s="1"/>
  <c r="K29" i="5"/>
  <c r="L29" i="5"/>
  <c r="O29" i="5"/>
  <c r="Q29" i="5" s="1"/>
  <c r="R29" i="5" s="1"/>
  <c r="P29" i="5"/>
  <c r="S29" i="5"/>
  <c r="T29" i="5" s="1"/>
  <c r="V29" i="5" s="1"/>
  <c r="U29" i="5"/>
  <c r="Y29" i="5"/>
  <c r="K30" i="5"/>
  <c r="L30" i="5"/>
  <c r="N30" i="5" s="1"/>
  <c r="O30" i="5"/>
  <c r="P30" i="5"/>
  <c r="Q30" i="5"/>
  <c r="K31" i="5"/>
  <c r="L31" i="5"/>
  <c r="O31" i="5"/>
  <c r="Q31" i="5" s="1"/>
  <c r="P31" i="5"/>
  <c r="K32" i="5"/>
  <c r="L32" i="5"/>
  <c r="N32" i="5"/>
  <c r="O32" i="5"/>
  <c r="Q32" i="5" s="1"/>
  <c r="P32" i="5"/>
  <c r="R32" i="5"/>
  <c r="S32" i="5"/>
  <c r="T32" i="5" s="1"/>
  <c r="V32" i="5" s="1"/>
  <c r="K33" i="5"/>
  <c r="L33" i="5"/>
  <c r="O33" i="5"/>
  <c r="Q33" i="5" s="1"/>
  <c r="R33" i="5" s="1"/>
  <c r="P33" i="5"/>
  <c r="S33" i="5"/>
  <c r="T33" i="5" s="1"/>
  <c r="V33" i="5" s="1"/>
  <c r="U33" i="5"/>
  <c r="Y33" i="5"/>
  <c r="K34" i="5"/>
  <c r="L34" i="5"/>
  <c r="N34" i="5" s="1"/>
  <c r="O34" i="5"/>
  <c r="P34" i="5"/>
  <c r="Q34" i="5"/>
  <c r="K35" i="5"/>
  <c r="L35" i="5"/>
  <c r="O35" i="5"/>
  <c r="Q35" i="5" s="1"/>
  <c r="P35" i="5"/>
  <c r="K36" i="5"/>
  <c r="L36" i="5"/>
  <c r="N36" i="5"/>
  <c r="O36" i="5"/>
  <c r="Q36" i="5" s="1"/>
  <c r="P36" i="5"/>
  <c r="R36" i="5"/>
  <c r="S36" i="5"/>
  <c r="T36" i="5" s="1"/>
  <c r="V36" i="5" s="1"/>
  <c r="K37" i="5"/>
  <c r="L37" i="5"/>
  <c r="O37" i="5"/>
  <c r="Q37" i="5" s="1"/>
  <c r="R37" i="5" s="1"/>
  <c r="P37" i="5"/>
  <c r="S37" i="5"/>
  <c r="T37" i="5" s="1"/>
  <c r="V37" i="5" s="1"/>
  <c r="U37" i="5"/>
  <c r="Y37" i="5"/>
  <c r="K38" i="5"/>
  <c r="L38" i="5"/>
  <c r="N38" i="5" s="1"/>
  <c r="O38" i="5"/>
  <c r="P38" i="5"/>
  <c r="Q38" i="5"/>
  <c r="K39" i="5"/>
  <c r="L39" i="5"/>
  <c r="O39" i="5"/>
  <c r="Q39" i="5" s="1"/>
  <c r="P39" i="5"/>
  <c r="K40" i="5"/>
  <c r="L40" i="5"/>
  <c r="N40" i="5"/>
  <c r="O40" i="5"/>
  <c r="P40" i="5"/>
  <c r="Q40" i="5"/>
  <c r="S40" i="5" s="1"/>
  <c r="R40" i="5"/>
  <c r="U40" i="5" s="1"/>
  <c r="K41" i="5"/>
  <c r="L41" i="5"/>
  <c r="N41" i="5" s="1"/>
  <c r="M41" i="5"/>
  <c r="O41" i="5"/>
  <c r="P41" i="5"/>
  <c r="Q41" i="5"/>
  <c r="K42" i="5"/>
  <c r="L42" i="5"/>
  <c r="O42" i="5"/>
  <c r="Q42" i="5" s="1"/>
  <c r="P42" i="5"/>
  <c r="S42" i="5"/>
  <c r="K43" i="5"/>
  <c r="M43" i="5" s="1"/>
  <c r="L43" i="5"/>
  <c r="N43" i="5"/>
  <c r="O43" i="5"/>
  <c r="Q43" i="5" s="1"/>
  <c r="R43" i="5" s="1"/>
  <c r="P43" i="5"/>
  <c r="S43" i="5"/>
  <c r="K44" i="5"/>
  <c r="L44" i="5"/>
  <c r="M44" i="5"/>
  <c r="N44" i="5"/>
  <c r="O44" i="5"/>
  <c r="P44" i="5"/>
  <c r="Q44" i="5"/>
  <c r="S44" i="5" s="1"/>
  <c r="R44" i="5"/>
  <c r="U44" i="5" s="1"/>
  <c r="K45" i="5"/>
  <c r="N45" i="5" s="1"/>
  <c r="L45" i="5"/>
  <c r="M45" i="5"/>
  <c r="O45" i="5"/>
  <c r="P45" i="5"/>
  <c r="Q45" i="5"/>
  <c r="K46" i="5"/>
  <c r="L46" i="5"/>
  <c r="O46" i="5"/>
  <c r="Q46" i="5" s="1"/>
  <c r="P46" i="5"/>
  <c r="S46" i="5"/>
  <c r="K47" i="5"/>
  <c r="M47" i="5" s="1"/>
  <c r="L47" i="5"/>
  <c r="N47" i="5"/>
  <c r="O47" i="5"/>
  <c r="Q47" i="5" s="1"/>
  <c r="P47" i="5"/>
  <c r="R47" i="5"/>
  <c r="S47" i="5"/>
  <c r="K48" i="5"/>
  <c r="L48" i="5"/>
  <c r="M48" i="5"/>
  <c r="N48" i="5"/>
  <c r="O48" i="5"/>
  <c r="P48" i="5"/>
  <c r="Q48" i="5"/>
  <c r="R48" i="5" s="1"/>
  <c r="K49" i="5"/>
  <c r="M49" i="5" s="1"/>
  <c r="L49" i="5"/>
  <c r="N49" i="5"/>
  <c r="O49" i="5"/>
  <c r="Q49" i="5" s="1"/>
  <c r="P49" i="5"/>
  <c r="K50" i="5"/>
  <c r="L50" i="5"/>
  <c r="M50" i="5"/>
  <c r="N50" i="5"/>
  <c r="O50" i="5"/>
  <c r="P50" i="5"/>
  <c r="Q50" i="5"/>
  <c r="R50" i="5" s="1"/>
  <c r="K51" i="5"/>
  <c r="L51" i="5"/>
  <c r="M51" i="5" s="1"/>
  <c r="O51" i="5"/>
  <c r="P51" i="5"/>
  <c r="Q51" i="5"/>
  <c r="K52" i="5"/>
  <c r="L52" i="5"/>
  <c r="O52" i="5"/>
  <c r="Q52" i="5" s="1"/>
  <c r="R52" i="5" s="1"/>
  <c r="P52" i="5"/>
  <c r="K53" i="5"/>
  <c r="L53" i="5"/>
  <c r="M53" i="5"/>
  <c r="N53" i="5"/>
  <c r="O53" i="5"/>
  <c r="P53" i="5"/>
  <c r="Q53" i="5"/>
  <c r="S53" i="5" s="1"/>
  <c r="T53" i="5" s="1"/>
  <c r="V53" i="5" s="1"/>
  <c r="R53" i="5"/>
  <c r="K54" i="5"/>
  <c r="L54" i="5"/>
  <c r="N54" i="5" s="1"/>
  <c r="M54" i="5"/>
  <c r="O54" i="5"/>
  <c r="P54" i="5"/>
  <c r="Q54" i="5"/>
  <c r="K55" i="5"/>
  <c r="N55" i="5" s="1"/>
  <c r="L55" i="5"/>
  <c r="M55" i="5" s="1"/>
  <c r="O55" i="5"/>
  <c r="P55" i="5"/>
  <c r="Q55" i="5"/>
  <c r="K56" i="5"/>
  <c r="L56" i="5"/>
  <c r="O56" i="5"/>
  <c r="Q56" i="5" s="1"/>
  <c r="R56" i="5" s="1"/>
  <c r="P56" i="5"/>
  <c r="K57" i="5"/>
  <c r="M57" i="5" s="1"/>
  <c r="L57" i="5"/>
  <c r="O57" i="5"/>
  <c r="Q57" i="5" s="1"/>
  <c r="R57" i="5" s="1"/>
  <c r="P57" i="5"/>
  <c r="K58" i="5"/>
  <c r="L58" i="5"/>
  <c r="M58" i="5"/>
  <c r="N58" i="5"/>
  <c r="O58" i="5"/>
  <c r="P58" i="5"/>
  <c r="Q58" i="5"/>
  <c r="S58" i="5" s="1"/>
  <c r="K59" i="5"/>
  <c r="L59" i="5"/>
  <c r="N59" i="5" s="1"/>
  <c r="O59" i="5"/>
  <c r="P59" i="5"/>
  <c r="Q59" i="5"/>
  <c r="K60" i="5"/>
  <c r="L60" i="5"/>
  <c r="O60" i="5"/>
  <c r="Q60" i="5" s="1"/>
  <c r="R60" i="5" s="1"/>
  <c r="P60" i="5"/>
  <c r="K61" i="5"/>
  <c r="M61" i="5" s="1"/>
  <c r="L61" i="5"/>
  <c r="O61" i="5"/>
  <c r="Q61" i="5" s="1"/>
  <c r="R61" i="5" s="1"/>
  <c r="P61" i="5"/>
  <c r="K62" i="5"/>
  <c r="L62" i="5"/>
  <c r="M62" i="5"/>
  <c r="N62" i="5"/>
  <c r="O62" i="5"/>
  <c r="P62" i="5"/>
  <c r="Q62" i="5"/>
  <c r="S62" i="5" s="1"/>
  <c r="K63" i="5"/>
  <c r="L63" i="5"/>
  <c r="N63" i="5" s="1"/>
  <c r="O63" i="5"/>
  <c r="P63" i="5"/>
  <c r="Q63" i="5"/>
  <c r="R63" i="5" s="1"/>
  <c r="U63" i="5" s="1"/>
  <c r="K64" i="5"/>
  <c r="L64" i="5"/>
  <c r="M64" i="5"/>
  <c r="N64" i="5"/>
  <c r="O64" i="5"/>
  <c r="P64" i="5"/>
  <c r="Q64" i="5"/>
  <c r="S64" i="5" s="1"/>
  <c r="T64" i="5" s="1"/>
  <c r="V64" i="5" s="1"/>
  <c r="R64" i="5"/>
  <c r="U64" i="5" s="1"/>
  <c r="K65" i="5"/>
  <c r="L65" i="5"/>
  <c r="N65" i="5" s="1"/>
  <c r="M65" i="5"/>
  <c r="O65" i="5"/>
  <c r="P65" i="5"/>
  <c r="Q65" i="5"/>
  <c r="R65" i="5" s="1"/>
  <c r="K66" i="5"/>
  <c r="M66" i="5" s="1"/>
  <c r="L66" i="5"/>
  <c r="O66" i="5"/>
  <c r="Q66" i="5" s="1"/>
  <c r="P66" i="5"/>
  <c r="K67" i="5"/>
  <c r="N67" i="5" s="1"/>
  <c r="L67" i="5"/>
  <c r="O67" i="5"/>
  <c r="Q67" i="5" s="1"/>
  <c r="P67" i="5"/>
  <c r="K68" i="5"/>
  <c r="L68" i="5"/>
  <c r="M68" i="5"/>
  <c r="N68" i="5"/>
  <c r="O68" i="5"/>
  <c r="P68" i="5"/>
  <c r="Q68" i="5"/>
  <c r="S68" i="5" s="1"/>
  <c r="T68" i="5" s="1"/>
  <c r="V68" i="5" s="1"/>
  <c r="R68" i="5"/>
  <c r="U68" i="5" s="1"/>
  <c r="K69" i="5"/>
  <c r="L69" i="5"/>
  <c r="N69" i="5" s="1"/>
  <c r="M69" i="5"/>
  <c r="O69" i="5"/>
  <c r="P69" i="5"/>
  <c r="Q69" i="5"/>
  <c r="R69" i="5" s="1"/>
  <c r="K70" i="5"/>
  <c r="M70" i="5" s="1"/>
  <c r="L70" i="5"/>
  <c r="O70" i="5"/>
  <c r="Q70" i="5" s="1"/>
  <c r="P70" i="5"/>
  <c r="K71" i="5"/>
  <c r="N71" i="5" s="1"/>
  <c r="L71" i="5"/>
  <c r="O71" i="5"/>
  <c r="Q71" i="5" s="1"/>
  <c r="R71" i="5" s="1"/>
  <c r="P71" i="5"/>
  <c r="S71" i="5"/>
  <c r="T71" i="5" s="1"/>
  <c r="V71" i="5" s="1"/>
  <c r="K72" i="5"/>
  <c r="L72" i="5"/>
  <c r="M72" i="5"/>
  <c r="N72" i="5"/>
  <c r="O72" i="5"/>
  <c r="P72" i="5"/>
  <c r="Q72" i="5"/>
  <c r="S72" i="5" s="1"/>
  <c r="T72" i="5" s="1"/>
  <c r="R72" i="5"/>
  <c r="V72" i="5"/>
  <c r="K73" i="5"/>
  <c r="L73" i="5"/>
  <c r="N73" i="5" s="1"/>
  <c r="M73" i="5"/>
  <c r="O73" i="5"/>
  <c r="P73" i="5"/>
  <c r="Q73" i="5"/>
  <c r="K74" i="5"/>
  <c r="L74" i="5"/>
  <c r="O74" i="5"/>
  <c r="Q74" i="5" s="1"/>
  <c r="P74" i="5"/>
  <c r="K75" i="5"/>
  <c r="L75" i="5"/>
  <c r="O75" i="5"/>
  <c r="Q75" i="5" s="1"/>
  <c r="R75" i="5" s="1"/>
  <c r="P75" i="5"/>
  <c r="K76" i="5"/>
  <c r="L76" i="5"/>
  <c r="M76" i="5"/>
  <c r="N76" i="5"/>
  <c r="O76" i="5"/>
  <c r="P76" i="5"/>
  <c r="Q76" i="5"/>
  <c r="S76" i="5" s="1"/>
  <c r="K77" i="5"/>
  <c r="L77" i="5"/>
  <c r="N77" i="5" s="1"/>
  <c r="O77" i="5"/>
  <c r="P77" i="5"/>
  <c r="Q77" i="5"/>
  <c r="K78" i="5"/>
  <c r="L78" i="5"/>
  <c r="O78" i="5"/>
  <c r="Q78" i="5" s="1"/>
  <c r="R78" i="5" s="1"/>
  <c r="P78" i="5"/>
  <c r="K79" i="5"/>
  <c r="M79" i="5" s="1"/>
  <c r="L79" i="5"/>
  <c r="O79" i="5"/>
  <c r="Q79" i="5" s="1"/>
  <c r="P79" i="5"/>
  <c r="R79" i="5"/>
  <c r="S79" i="5"/>
  <c r="K80" i="5"/>
  <c r="L80" i="5"/>
  <c r="M80" i="5"/>
  <c r="N80" i="5"/>
  <c r="O80" i="5"/>
  <c r="P80" i="5"/>
  <c r="Q80" i="5"/>
  <c r="S80" i="5" s="1"/>
  <c r="K81" i="5"/>
  <c r="L81" i="5"/>
  <c r="N81" i="5" s="1"/>
  <c r="O81" i="5"/>
  <c r="P81" i="5"/>
  <c r="Q81" i="5"/>
  <c r="K82" i="5"/>
  <c r="L82" i="5"/>
  <c r="O82" i="5"/>
  <c r="Q82" i="5" s="1"/>
  <c r="R82" i="5" s="1"/>
  <c r="P82" i="5"/>
  <c r="K83" i="5"/>
  <c r="L83" i="5"/>
  <c r="O83" i="5"/>
  <c r="Q83" i="5" s="1"/>
  <c r="P83" i="5"/>
  <c r="R83" i="5"/>
  <c r="S83" i="5"/>
  <c r="K84" i="5"/>
  <c r="L84" i="5"/>
  <c r="M84" i="5"/>
  <c r="N84" i="5"/>
  <c r="O84" i="5"/>
  <c r="P84" i="5"/>
  <c r="Q84" i="5"/>
  <c r="S84" i="5" s="1"/>
  <c r="K85" i="5"/>
  <c r="L85" i="5"/>
  <c r="M85" i="5"/>
  <c r="N85" i="5"/>
  <c r="O85" i="5"/>
  <c r="P85" i="5"/>
  <c r="Q85" i="5"/>
  <c r="S85" i="5" s="1"/>
  <c r="R85" i="5"/>
  <c r="T85" i="5" s="1"/>
  <c r="V85" i="5" s="1"/>
  <c r="K86" i="5"/>
  <c r="L86" i="5"/>
  <c r="M86" i="5" s="1"/>
  <c r="O86" i="5"/>
  <c r="P86" i="5"/>
  <c r="Q86" i="5"/>
  <c r="R86" i="5" s="1"/>
  <c r="Y86" i="5" s="1"/>
  <c r="K87" i="5"/>
  <c r="M87" i="5" s="1"/>
  <c r="L87" i="5"/>
  <c r="O87" i="5"/>
  <c r="Q87" i="5" s="1"/>
  <c r="R87" i="5" s="1"/>
  <c r="P87" i="5"/>
  <c r="K88" i="5"/>
  <c r="L88" i="5"/>
  <c r="M88" i="5"/>
  <c r="N88" i="5"/>
  <c r="O88" i="5"/>
  <c r="P88" i="5"/>
  <c r="Q88" i="5"/>
  <c r="R88" i="5" s="1"/>
  <c r="K89" i="5"/>
  <c r="L89" i="5"/>
  <c r="M89" i="5"/>
  <c r="N89" i="5"/>
  <c r="O89" i="5"/>
  <c r="P89" i="5"/>
  <c r="Q89" i="5"/>
  <c r="S89" i="5" s="1"/>
  <c r="R89" i="5"/>
  <c r="T89" i="5" s="1"/>
  <c r="V89" i="5" s="1"/>
  <c r="K90" i="5"/>
  <c r="L90" i="5"/>
  <c r="M90" i="5" s="1"/>
  <c r="O90" i="5"/>
  <c r="P90" i="5"/>
  <c r="Q90" i="5"/>
  <c r="R90" i="5" s="1"/>
  <c r="Y90" i="5" s="1"/>
  <c r="K91" i="5"/>
  <c r="M91" i="5" s="1"/>
  <c r="L91" i="5"/>
  <c r="O91" i="5"/>
  <c r="Q91" i="5" s="1"/>
  <c r="R91" i="5" s="1"/>
  <c r="P91" i="5"/>
  <c r="K92" i="5"/>
  <c r="L92" i="5"/>
  <c r="M92" i="5"/>
  <c r="N92" i="5"/>
  <c r="O92" i="5"/>
  <c r="P92" i="5"/>
  <c r="Q92" i="5"/>
  <c r="R92" i="5" s="1"/>
  <c r="K93" i="5"/>
  <c r="L93" i="5"/>
  <c r="M93" i="5"/>
  <c r="N93" i="5"/>
  <c r="O93" i="5"/>
  <c r="P93" i="5"/>
  <c r="Q93" i="5"/>
  <c r="S93" i="5" s="1"/>
  <c r="R93" i="5"/>
  <c r="T93" i="5" s="1"/>
  <c r="V93" i="5" s="1"/>
  <c r="K94" i="5"/>
  <c r="L94" i="5"/>
  <c r="M94" i="5" s="1"/>
  <c r="O94" i="5"/>
  <c r="P94" i="5"/>
  <c r="Q94" i="5"/>
  <c r="R94" i="5" s="1"/>
  <c r="Y94" i="5" s="1"/>
  <c r="K95" i="5"/>
  <c r="M95" i="5" s="1"/>
  <c r="L95" i="5"/>
  <c r="O95" i="5"/>
  <c r="Q95" i="5" s="1"/>
  <c r="R95" i="5" s="1"/>
  <c r="P95" i="5"/>
  <c r="K96" i="5"/>
  <c r="L96" i="5"/>
  <c r="M96" i="5"/>
  <c r="N96" i="5"/>
  <c r="O96" i="5"/>
  <c r="P96" i="5"/>
  <c r="Q96" i="5"/>
  <c r="R96" i="5" s="1"/>
  <c r="K97" i="5"/>
  <c r="L97" i="5"/>
  <c r="M97" i="5"/>
  <c r="N97" i="5"/>
  <c r="O97" i="5"/>
  <c r="P97" i="5"/>
  <c r="Q97" i="5"/>
  <c r="S97" i="5" s="1"/>
  <c r="R97" i="5"/>
  <c r="T97" i="5" s="1"/>
  <c r="V97" i="5" s="1"/>
  <c r="K98" i="5"/>
  <c r="L98" i="5"/>
  <c r="M98" i="5" s="1"/>
  <c r="O98" i="5"/>
  <c r="P98" i="5"/>
  <c r="Q98" i="5"/>
  <c r="R98" i="5" s="1"/>
  <c r="Y98" i="5" s="1"/>
  <c r="K99" i="5"/>
  <c r="M99" i="5" s="1"/>
  <c r="L99" i="5"/>
  <c r="O99" i="5"/>
  <c r="Q99" i="5" s="1"/>
  <c r="R99" i="5" s="1"/>
  <c r="P99" i="5"/>
  <c r="K100" i="5"/>
  <c r="L100" i="5"/>
  <c r="M100" i="5"/>
  <c r="N100" i="5"/>
  <c r="O100" i="5"/>
  <c r="P100" i="5"/>
  <c r="Q100" i="5"/>
  <c r="R100" i="5" s="1"/>
  <c r="K101" i="5"/>
  <c r="L101" i="5"/>
  <c r="M101" i="5"/>
  <c r="N101" i="5"/>
  <c r="O101" i="5"/>
  <c r="P101" i="5"/>
  <c r="Q101" i="5"/>
  <c r="S101" i="5" s="1"/>
  <c r="R101" i="5"/>
  <c r="T101" i="5" s="1"/>
  <c r="V101" i="5" s="1"/>
  <c r="K102" i="5"/>
  <c r="L102" i="5"/>
  <c r="M102" i="5" s="1"/>
  <c r="O102" i="5"/>
  <c r="P102" i="5"/>
  <c r="Q102" i="5"/>
  <c r="R102" i="5" s="1"/>
  <c r="Y102" i="5" s="1"/>
  <c r="K103" i="5"/>
  <c r="M103" i="5" s="1"/>
  <c r="L103" i="5"/>
  <c r="O103" i="5"/>
  <c r="Q103" i="5" s="1"/>
  <c r="R103" i="5" s="1"/>
  <c r="P103" i="5"/>
  <c r="K104" i="5"/>
  <c r="L104" i="5"/>
  <c r="M104" i="5"/>
  <c r="N104" i="5"/>
  <c r="O104" i="5"/>
  <c r="P104" i="5"/>
  <c r="Q104" i="5"/>
  <c r="R104" i="5" s="1"/>
  <c r="K105" i="5"/>
  <c r="L105" i="5"/>
  <c r="M105" i="5"/>
  <c r="N105" i="5"/>
  <c r="O105" i="5"/>
  <c r="P105" i="5"/>
  <c r="Q105" i="5"/>
  <c r="S105" i="5" s="1"/>
  <c r="T105" i="5" s="1"/>
  <c r="V105" i="5" s="1"/>
  <c r="R105" i="5"/>
  <c r="Y105" i="5" s="1"/>
  <c r="K106" i="5"/>
  <c r="L106" i="5"/>
  <c r="O106" i="5"/>
  <c r="P106" i="5"/>
  <c r="Q106" i="5"/>
  <c r="R106" i="5" s="1"/>
  <c r="Y106" i="5" s="1"/>
  <c r="K107" i="5"/>
  <c r="M107" i="5" s="1"/>
  <c r="L107" i="5"/>
  <c r="O107" i="5"/>
  <c r="Q107" i="5" s="1"/>
  <c r="R107" i="5" s="1"/>
  <c r="P107" i="5"/>
  <c r="K108" i="5"/>
  <c r="L108" i="5"/>
  <c r="M108" i="5"/>
  <c r="N108" i="5"/>
  <c r="O108" i="5"/>
  <c r="P108" i="5"/>
  <c r="Q108" i="5"/>
  <c r="R108" i="5" s="1"/>
  <c r="K109" i="5"/>
  <c r="L109" i="5"/>
  <c r="M109" i="5" s="1"/>
  <c r="N109" i="5"/>
  <c r="O109" i="5"/>
  <c r="P109" i="5"/>
  <c r="Q109" i="5"/>
  <c r="S109" i="5" s="1"/>
  <c r="R109" i="5"/>
  <c r="T109" i="5" s="1"/>
  <c r="V109" i="5" s="1"/>
  <c r="K110" i="5"/>
  <c r="L110" i="5"/>
  <c r="M110" i="5" s="1"/>
  <c r="O110" i="5"/>
  <c r="P110" i="5"/>
  <c r="Q110" i="5"/>
  <c r="R110" i="5" s="1"/>
  <c r="K111" i="5"/>
  <c r="L111" i="5"/>
  <c r="M111" i="5" s="1"/>
  <c r="O111" i="5"/>
  <c r="P111" i="5"/>
  <c r="Q111" i="5"/>
  <c r="R111" i="5" s="1"/>
  <c r="K112" i="5"/>
  <c r="M112" i="5" s="1"/>
  <c r="L112" i="5"/>
  <c r="O112" i="5"/>
  <c r="Q112" i="5" s="1"/>
  <c r="P112" i="5"/>
  <c r="K113" i="5"/>
  <c r="M113" i="5" s="1"/>
  <c r="L113" i="5"/>
  <c r="N113" i="5"/>
  <c r="O113" i="5"/>
  <c r="Q113" i="5" s="1"/>
  <c r="P113" i="5"/>
  <c r="K114" i="5"/>
  <c r="L114" i="5"/>
  <c r="M114" i="5"/>
  <c r="N114" i="5"/>
  <c r="O114" i="5"/>
  <c r="P114" i="5"/>
  <c r="Q114" i="5"/>
  <c r="R114" i="5" s="1"/>
  <c r="K115" i="5"/>
  <c r="L115" i="5"/>
  <c r="M115" i="5" s="1"/>
  <c r="O115" i="5"/>
  <c r="P115" i="5"/>
  <c r="Q115" i="5"/>
  <c r="R115" i="5" s="1"/>
  <c r="K116" i="5"/>
  <c r="M116" i="5" s="1"/>
  <c r="L116" i="5"/>
  <c r="O116" i="5"/>
  <c r="Q116" i="5" s="1"/>
  <c r="P116" i="5"/>
  <c r="K117" i="5"/>
  <c r="M117" i="5" s="1"/>
  <c r="L117" i="5"/>
  <c r="N117" i="5"/>
  <c r="O117" i="5"/>
  <c r="Q117" i="5" s="1"/>
  <c r="P117" i="5"/>
  <c r="K118" i="5"/>
  <c r="L118" i="5"/>
  <c r="M118" i="5"/>
  <c r="N118" i="5"/>
  <c r="O118" i="5"/>
  <c r="P118" i="5"/>
  <c r="Q118" i="5"/>
  <c r="R118" i="5" s="1"/>
  <c r="K119" i="5"/>
  <c r="N119" i="5" s="1"/>
  <c r="L119" i="5"/>
  <c r="M119" i="5" s="1"/>
  <c r="O119" i="5"/>
  <c r="P119" i="5"/>
  <c r="Q119" i="5"/>
  <c r="R119" i="5" s="1"/>
  <c r="K120" i="5"/>
  <c r="M120" i="5" s="1"/>
  <c r="L120" i="5"/>
  <c r="O120" i="5"/>
  <c r="Q120" i="5" s="1"/>
  <c r="P120" i="5"/>
  <c r="K121" i="5"/>
  <c r="L121" i="5"/>
  <c r="M121" i="5"/>
  <c r="N121" i="5"/>
  <c r="O121" i="5"/>
  <c r="Q121" i="5" s="1"/>
  <c r="P121" i="5"/>
  <c r="K122" i="5"/>
  <c r="L122" i="5"/>
  <c r="M122" i="5"/>
  <c r="N122" i="5"/>
  <c r="O122" i="5"/>
  <c r="P122" i="5"/>
  <c r="Q122" i="5"/>
  <c r="K123" i="5"/>
  <c r="L123" i="5"/>
  <c r="M123" i="5" s="1"/>
  <c r="O123" i="5"/>
  <c r="P123" i="5"/>
  <c r="Q123" i="5"/>
  <c r="K124" i="5"/>
  <c r="L124" i="5"/>
  <c r="O124" i="5"/>
  <c r="Q124" i="5" s="1"/>
  <c r="R124" i="5" s="1"/>
  <c r="P124" i="5"/>
  <c r="K125" i="5"/>
  <c r="M125" i="5" s="1"/>
  <c r="L125" i="5"/>
  <c r="N125" i="5"/>
  <c r="O125" i="5"/>
  <c r="Q125" i="5" s="1"/>
  <c r="S125" i="5" s="1"/>
  <c r="P125" i="5"/>
  <c r="R125" i="5"/>
  <c r="K126" i="5"/>
  <c r="L126" i="5"/>
  <c r="M126" i="5"/>
  <c r="N126" i="5"/>
  <c r="O126" i="5"/>
  <c r="P126" i="5"/>
  <c r="Q126" i="5"/>
  <c r="K127" i="5"/>
  <c r="L127" i="5"/>
  <c r="O127" i="5"/>
  <c r="P127" i="5"/>
  <c r="Q127" i="5"/>
  <c r="R127" i="5" s="1"/>
  <c r="K128" i="5"/>
  <c r="L128" i="5"/>
  <c r="O128" i="5"/>
  <c r="Q128" i="5" s="1"/>
  <c r="R128" i="5" s="1"/>
  <c r="P128" i="5"/>
  <c r="S128" i="5"/>
  <c r="T128" i="5" s="1"/>
  <c r="V128" i="5" s="1"/>
  <c r="K129" i="5"/>
  <c r="L129" i="5"/>
  <c r="M129" i="5"/>
  <c r="N129" i="5"/>
  <c r="O129" i="5"/>
  <c r="Q129" i="5" s="1"/>
  <c r="S129" i="5" s="1"/>
  <c r="P129" i="5"/>
  <c r="K130" i="5"/>
  <c r="L130" i="5"/>
  <c r="M130" i="5"/>
  <c r="N130" i="5"/>
  <c r="O130" i="5"/>
  <c r="P130" i="5"/>
  <c r="Q130" i="5"/>
  <c r="K131" i="5"/>
  <c r="L131" i="5"/>
  <c r="O131" i="5"/>
  <c r="P131" i="5"/>
  <c r="Q131" i="5"/>
  <c r="R131" i="5" s="1"/>
  <c r="K132" i="5"/>
  <c r="L132" i="5"/>
  <c r="O132" i="5"/>
  <c r="Q132" i="5" s="1"/>
  <c r="R132" i="5" s="1"/>
  <c r="P132" i="5"/>
  <c r="S132" i="5"/>
  <c r="T132" i="5" s="1"/>
  <c r="V132" i="5" s="1"/>
  <c r="K133" i="5"/>
  <c r="L133" i="5"/>
  <c r="M133" i="5"/>
  <c r="N133" i="5"/>
  <c r="O133" i="5"/>
  <c r="P133" i="5"/>
  <c r="Q133" i="5"/>
  <c r="S133" i="5" s="1"/>
  <c r="R133" i="5"/>
  <c r="K134" i="5"/>
  <c r="L134" i="5"/>
  <c r="M134" i="5"/>
  <c r="N134" i="5"/>
  <c r="O134" i="5"/>
  <c r="P134" i="5"/>
  <c r="Q134" i="5"/>
  <c r="K135" i="5"/>
  <c r="L135" i="5"/>
  <c r="O135" i="5"/>
  <c r="P135" i="5"/>
  <c r="Q135" i="5"/>
  <c r="R135" i="5" s="1"/>
  <c r="K136" i="5"/>
  <c r="L136" i="5"/>
  <c r="O136" i="5"/>
  <c r="Q136" i="5" s="1"/>
  <c r="R136" i="5" s="1"/>
  <c r="P136" i="5"/>
  <c r="S136" i="5"/>
  <c r="T136" i="5" s="1"/>
  <c r="V136" i="5" s="1"/>
  <c r="K137" i="5"/>
  <c r="L137" i="5"/>
  <c r="M137" i="5" s="1"/>
  <c r="N137" i="5"/>
  <c r="O137" i="5"/>
  <c r="Q137" i="5" s="1"/>
  <c r="S137" i="5" s="1"/>
  <c r="P137" i="5"/>
  <c r="R137" i="5"/>
  <c r="K138" i="5"/>
  <c r="L138" i="5"/>
  <c r="M138" i="5"/>
  <c r="N138" i="5"/>
  <c r="O138" i="5"/>
  <c r="P138" i="5"/>
  <c r="Q138" i="5"/>
  <c r="K139" i="5"/>
  <c r="L139" i="5"/>
  <c r="O139" i="5"/>
  <c r="P139" i="5"/>
  <c r="Q139" i="5"/>
  <c r="K140" i="5"/>
  <c r="L140" i="5"/>
  <c r="O140" i="5"/>
  <c r="Q140" i="5" s="1"/>
  <c r="R140" i="5" s="1"/>
  <c r="P140" i="5"/>
  <c r="K141" i="5"/>
  <c r="M141" i="5" s="1"/>
  <c r="L141" i="5"/>
  <c r="N141" i="5"/>
  <c r="O141" i="5"/>
  <c r="Q141" i="5" s="1"/>
  <c r="S141" i="5" s="1"/>
  <c r="P141" i="5"/>
  <c r="K142" i="5"/>
  <c r="L142" i="5"/>
  <c r="M142" i="5"/>
  <c r="N142" i="5"/>
  <c r="O142" i="5"/>
  <c r="P142" i="5"/>
  <c r="Q142" i="5"/>
  <c r="K143" i="5"/>
  <c r="L143" i="5"/>
  <c r="O143" i="5"/>
  <c r="P143" i="5"/>
  <c r="Q143" i="5"/>
  <c r="R143" i="5" s="1"/>
  <c r="U143" i="5" s="1"/>
  <c r="K144" i="5"/>
  <c r="L144" i="5"/>
  <c r="O144" i="5"/>
  <c r="Q144" i="5" s="1"/>
  <c r="P144" i="5"/>
  <c r="S144" i="5"/>
  <c r="K145" i="5"/>
  <c r="N145" i="5" s="1"/>
  <c r="L145" i="5"/>
  <c r="M145" i="5"/>
  <c r="O145" i="5"/>
  <c r="P145" i="5"/>
  <c r="Q145" i="5"/>
  <c r="R145" i="5" s="1"/>
  <c r="K146" i="5"/>
  <c r="N146" i="5" s="1"/>
  <c r="L146" i="5"/>
  <c r="M146" i="5"/>
  <c r="O146" i="5"/>
  <c r="P146" i="5"/>
  <c r="Q146" i="5"/>
  <c r="R146" i="5" s="1"/>
  <c r="I147" i="5"/>
  <c r="J147" i="5" s="1"/>
  <c r="K147" i="5"/>
  <c r="M147" i="5" s="1"/>
  <c r="L147" i="5"/>
  <c r="O147" i="5"/>
  <c r="Q147" i="5" s="1"/>
  <c r="P147" i="5"/>
  <c r="I148" i="5"/>
  <c r="J148" i="5" s="1"/>
  <c r="K148" i="5"/>
  <c r="M148" i="5" s="1"/>
  <c r="L148" i="5"/>
  <c r="O148" i="5"/>
  <c r="Q148" i="5" s="1"/>
  <c r="P148" i="5"/>
  <c r="I149" i="5"/>
  <c r="J149" i="5" s="1"/>
  <c r="K149" i="5"/>
  <c r="L149" i="5"/>
  <c r="M149" i="5"/>
  <c r="N149" i="5"/>
  <c r="O149" i="5"/>
  <c r="P149" i="5"/>
  <c r="Q149" i="5"/>
  <c r="S149" i="5" s="1"/>
  <c r="T149" i="5" s="1"/>
  <c r="V149" i="5" s="1"/>
  <c r="R149" i="5"/>
  <c r="U149" i="5" s="1"/>
  <c r="I150" i="5"/>
  <c r="J150" i="5" s="1"/>
  <c r="K150" i="5"/>
  <c r="N150" i="5" s="1"/>
  <c r="L150" i="5"/>
  <c r="M150" i="5"/>
  <c r="O150" i="5"/>
  <c r="P150" i="5"/>
  <c r="Q150" i="5"/>
  <c r="R150" i="5" s="1"/>
  <c r="I151" i="5"/>
  <c r="J151" i="5" s="1"/>
  <c r="K151" i="5"/>
  <c r="M151" i="5" s="1"/>
  <c r="L151" i="5"/>
  <c r="O151" i="5"/>
  <c r="Q151" i="5" s="1"/>
  <c r="P151" i="5"/>
  <c r="I152" i="5"/>
  <c r="J152" i="5" s="1"/>
  <c r="K152" i="5"/>
  <c r="M152" i="5" s="1"/>
  <c r="L152" i="5"/>
  <c r="O152" i="5"/>
  <c r="Q152" i="5" s="1"/>
  <c r="P152" i="5"/>
  <c r="I153" i="5"/>
  <c r="J153" i="5" s="1"/>
  <c r="K153" i="5"/>
  <c r="L153" i="5"/>
  <c r="M153" i="5"/>
  <c r="N153" i="5"/>
  <c r="O153" i="5"/>
  <c r="P153" i="5"/>
  <c r="Q153" i="5"/>
  <c r="S153" i="5" s="1"/>
  <c r="T153" i="5" s="1"/>
  <c r="V153" i="5" s="1"/>
  <c r="R153" i="5"/>
  <c r="U153" i="5" s="1"/>
  <c r="I154" i="5"/>
  <c r="J154" i="5" s="1"/>
  <c r="K154" i="5"/>
  <c r="N154" i="5" s="1"/>
  <c r="L154" i="5"/>
  <c r="M154" i="5"/>
  <c r="O154" i="5"/>
  <c r="P154" i="5"/>
  <c r="Q154" i="5"/>
  <c r="R154" i="5" s="1"/>
  <c r="I155" i="5"/>
  <c r="J155" i="5" s="1"/>
  <c r="K155" i="5"/>
  <c r="M155" i="5" s="1"/>
  <c r="L155" i="5"/>
  <c r="O155" i="5"/>
  <c r="Q155" i="5" s="1"/>
  <c r="P155" i="5"/>
  <c r="I156" i="5"/>
  <c r="J156" i="5" s="1"/>
  <c r="K156" i="5"/>
  <c r="M156" i="5" s="1"/>
  <c r="L156" i="5"/>
  <c r="O156" i="5"/>
  <c r="Q156" i="5" s="1"/>
  <c r="P156" i="5"/>
  <c r="I157" i="5"/>
  <c r="J157" i="5" s="1"/>
  <c r="K157" i="5"/>
  <c r="L157" i="5"/>
  <c r="M157" i="5"/>
  <c r="N157" i="5"/>
  <c r="O157" i="5"/>
  <c r="P157" i="5"/>
  <c r="Q157" i="5"/>
  <c r="S157" i="5" s="1"/>
  <c r="T157" i="5" s="1"/>
  <c r="V157" i="5" s="1"/>
  <c r="R157" i="5"/>
  <c r="U157" i="5" s="1"/>
  <c r="I158" i="5"/>
  <c r="J158" i="5" s="1"/>
  <c r="K158" i="5"/>
  <c r="N158" i="5" s="1"/>
  <c r="L158" i="5"/>
  <c r="M158" i="5"/>
  <c r="O158" i="5"/>
  <c r="P158" i="5"/>
  <c r="Q158" i="5"/>
  <c r="R158" i="5" s="1"/>
  <c r="I159" i="5"/>
  <c r="J159" i="5" s="1"/>
  <c r="K159" i="5"/>
  <c r="M159" i="5" s="1"/>
  <c r="L159" i="5"/>
  <c r="O159" i="5"/>
  <c r="Q159" i="5" s="1"/>
  <c r="P159" i="5"/>
  <c r="I160" i="5"/>
  <c r="J160" i="5" s="1"/>
  <c r="K160" i="5"/>
  <c r="M160" i="5" s="1"/>
  <c r="L160" i="5"/>
  <c r="O160" i="5"/>
  <c r="Q160" i="5" s="1"/>
  <c r="P160" i="5"/>
  <c r="I161" i="5"/>
  <c r="J161" i="5" s="1"/>
  <c r="K161" i="5"/>
  <c r="L161" i="5"/>
  <c r="M161" i="5"/>
  <c r="N161" i="5"/>
  <c r="O161" i="5"/>
  <c r="P161" i="5"/>
  <c r="Q161" i="5"/>
  <c r="S161" i="5" s="1"/>
  <c r="T161" i="5" s="1"/>
  <c r="V161" i="5" s="1"/>
  <c r="R161" i="5"/>
  <c r="U161" i="5" s="1"/>
  <c r="I162" i="5"/>
  <c r="J162" i="5" s="1"/>
  <c r="K162" i="5"/>
  <c r="L162" i="5"/>
  <c r="N162" i="5" s="1"/>
  <c r="M162" i="5"/>
  <c r="O162" i="5"/>
  <c r="P162" i="5"/>
  <c r="Q162" i="5"/>
  <c r="R162" i="5" s="1"/>
  <c r="I163" i="5"/>
  <c r="J163" i="5" s="1"/>
  <c r="K163" i="5"/>
  <c r="M163" i="5" s="1"/>
  <c r="L163" i="5"/>
  <c r="O163" i="5"/>
  <c r="Q163" i="5" s="1"/>
  <c r="P163" i="5"/>
  <c r="I164" i="5"/>
  <c r="J164" i="5" s="1"/>
  <c r="K164" i="5"/>
  <c r="M164" i="5" s="1"/>
  <c r="L164" i="5"/>
  <c r="O164" i="5"/>
  <c r="Q164" i="5" s="1"/>
  <c r="P164" i="5"/>
  <c r="I165" i="5"/>
  <c r="J165" i="5" s="1"/>
  <c r="K165" i="5"/>
  <c r="L165" i="5"/>
  <c r="M165" i="5"/>
  <c r="N165" i="5"/>
  <c r="O165" i="5"/>
  <c r="P165" i="5"/>
  <c r="Q165" i="5"/>
  <c r="S165" i="5" s="1"/>
  <c r="T165" i="5" s="1"/>
  <c r="V165" i="5" s="1"/>
  <c r="R165" i="5"/>
  <c r="U165" i="5" s="1"/>
  <c r="I166" i="5"/>
  <c r="J166" i="5" s="1"/>
  <c r="K166" i="5"/>
  <c r="L166" i="5"/>
  <c r="N166" i="5" s="1"/>
  <c r="M166" i="5"/>
  <c r="O166" i="5"/>
  <c r="P166" i="5"/>
  <c r="Q166" i="5"/>
  <c r="R166" i="5" s="1"/>
  <c r="I167" i="5"/>
  <c r="J167" i="5" s="1"/>
  <c r="K167" i="5"/>
  <c r="M167" i="5" s="1"/>
  <c r="L167" i="5"/>
  <c r="O167" i="5"/>
  <c r="Q167" i="5" s="1"/>
  <c r="P167" i="5"/>
  <c r="I168" i="5"/>
  <c r="J168" i="5" s="1"/>
  <c r="K168" i="5"/>
  <c r="M168" i="5" s="1"/>
  <c r="L168" i="5"/>
  <c r="O168" i="5"/>
  <c r="Q168" i="5" s="1"/>
  <c r="P168" i="5"/>
  <c r="I169" i="5"/>
  <c r="J169" i="5" s="1"/>
  <c r="K169" i="5"/>
  <c r="L169" i="5"/>
  <c r="M169" i="5"/>
  <c r="N169" i="5"/>
  <c r="O169" i="5"/>
  <c r="P169" i="5"/>
  <c r="Q169" i="5"/>
  <c r="S169" i="5" s="1"/>
  <c r="T169" i="5" s="1"/>
  <c r="V169" i="5" s="1"/>
  <c r="R169" i="5"/>
  <c r="U169" i="5" s="1"/>
  <c r="I170" i="5"/>
  <c r="J170" i="5" s="1"/>
  <c r="K170" i="5"/>
  <c r="N170" i="5" s="1"/>
  <c r="L170" i="5"/>
  <c r="M170" i="5"/>
  <c r="O170" i="5"/>
  <c r="P170" i="5"/>
  <c r="Q170" i="5"/>
  <c r="R170" i="5" s="1"/>
  <c r="I171" i="5"/>
  <c r="J171" i="5" s="1"/>
  <c r="K171" i="5"/>
  <c r="M171" i="5" s="1"/>
  <c r="L171" i="5"/>
  <c r="O171" i="5"/>
  <c r="Q171" i="5" s="1"/>
  <c r="P171" i="5"/>
  <c r="I172" i="5"/>
  <c r="J172" i="5" s="1"/>
  <c r="M172" i="5"/>
  <c r="L172" i="5"/>
  <c r="O172" i="5"/>
  <c r="Q172" i="5" s="1"/>
  <c r="P172" i="5"/>
  <c r="I173" i="5"/>
  <c r="J173" i="5" s="1"/>
  <c r="K173" i="5"/>
  <c r="L173" i="5"/>
  <c r="M173" i="5"/>
  <c r="N173" i="5"/>
  <c r="O173" i="5"/>
  <c r="P173" i="5"/>
  <c r="Q173" i="5"/>
  <c r="S173" i="5" s="1"/>
  <c r="T173" i="5" s="1"/>
  <c r="V173" i="5" s="1"/>
  <c r="R173" i="5"/>
  <c r="U173" i="5" s="1"/>
  <c r="I174" i="5"/>
  <c r="J174" i="5" s="1"/>
  <c r="K174" i="5"/>
  <c r="L174" i="5"/>
  <c r="N174" i="5" s="1"/>
  <c r="M174" i="5"/>
  <c r="O174" i="5"/>
  <c r="P174" i="5"/>
  <c r="Q174" i="5"/>
  <c r="R174" i="5" s="1"/>
  <c r="I175" i="5"/>
  <c r="J175" i="5" s="1"/>
  <c r="K175" i="5"/>
  <c r="M175" i="5" s="1"/>
  <c r="L175" i="5"/>
  <c r="O175" i="5"/>
  <c r="Q175" i="5" s="1"/>
  <c r="P175" i="5"/>
  <c r="I176" i="5"/>
  <c r="J176" i="5" s="1"/>
  <c r="K176" i="5"/>
  <c r="M176" i="5" s="1"/>
  <c r="L176" i="5"/>
  <c r="O176" i="5"/>
  <c r="Q176" i="5" s="1"/>
  <c r="P176" i="5"/>
  <c r="I177" i="5"/>
  <c r="J177" i="5" s="1"/>
  <c r="K177" i="5"/>
  <c r="L177" i="5"/>
  <c r="M177" i="5"/>
  <c r="N177" i="5"/>
  <c r="O177" i="5"/>
  <c r="P177" i="5"/>
  <c r="Q177" i="5"/>
  <c r="S177" i="5" s="1"/>
  <c r="T177" i="5" s="1"/>
  <c r="V177" i="5" s="1"/>
  <c r="R177" i="5"/>
  <c r="U177" i="5" s="1"/>
  <c r="I178" i="5"/>
  <c r="J178" i="5" s="1"/>
  <c r="K178" i="5"/>
  <c r="N178" i="5" s="1"/>
  <c r="L178" i="5"/>
  <c r="M178" i="5"/>
  <c r="O178" i="5"/>
  <c r="P178" i="5"/>
  <c r="Q178" i="5"/>
  <c r="R178" i="5" s="1"/>
  <c r="I179" i="5"/>
  <c r="J179" i="5" s="1"/>
  <c r="K179" i="5"/>
  <c r="M179" i="5" s="1"/>
  <c r="L179" i="5"/>
  <c r="O179" i="5"/>
  <c r="Q179" i="5" s="1"/>
  <c r="P179" i="5"/>
  <c r="I180" i="5"/>
  <c r="K180" i="5"/>
  <c r="M180" i="5" s="1"/>
  <c r="L180" i="5"/>
  <c r="O180" i="5"/>
  <c r="Q180" i="5" s="1"/>
  <c r="P180" i="5"/>
  <c r="I181" i="5"/>
  <c r="J181" i="5" s="1"/>
  <c r="K181" i="5"/>
  <c r="L181" i="5"/>
  <c r="M181" i="5" s="1"/>
  <c r="N181" i="5"/>
  <c r="O181" i="5"/>
  <c r="P181" i="5"/>
  <c r="Q181" i="5"/>
  <c r="S181" i="5" s="1"/>
  <c r="T181" i="5" s="1"/>
  <c r="V181" i="5" s="1"/>
  <c r="R181" i="5"/>
  <c r="U181" i="5" s="1"/>
  <c r="I182" i="5"/>
  <c r="J182" i="5" s="1"/>
  <c r="K182" i="5"/>
  <c r="N182" i="5" s="1"/>
  <c r="L182" i="5"/>
  <c r="M182" i="5"/>
  <c r="O182" i="5"/>
  <c r="P182" i="5"/>
  <c r="Q182" i="5"/>
  <c r="R182" i="5" s="1"/>
  <c r="I183" i="5"/>
  <c r="J183" i="5" s="1"/>
  <c r="K183" i="5"/>
  <c r="L183" i="5"/>
  <c r="M183" i="5" s="1"/>
  <c r="O183" i="5"/>
  <c r="P183" i="5"/>
  <c r="Q183" i="5"/>
  <c r="R183" i="5" s="1"/>
  <c r="I184" i="5"/>
  <c r="J184" i="5" s="1"/>
  <c r="K184" i="5"/>
  <c r="M184" i="5" s="1"/>
  <c r="L184" i="5"/>
  <c r="O184" i="5"/>
  <c r="Q184" i="5" s="1"/>
  <c r="P184" i="5"/>
  <c r="I185" i="5"/>
  <c r="J185" i="5" s="1"/>
  <c r="K185" i="5"/>
  <c r="M185" i="5" s="1"/>
  <c r="L185" i="5"/>
  <c r="N185" i="5"/>
  <c r="O185" i="5"/>
  <c r="Q185" i="5" s="1"/>
  <c r="P185" i="5"/>
  <c r="I186" i="5"/>
  <c r="J186" i="5" s="1"/>
  <c r="K186" i="5"/>
  <c r="N186" i="5" s="1"/>
  <c r="L186" i="5"/>
  <c r="M186" i="5"/>
  <c r="O186" i="5"/>
  <c r="P186" i="5"/>
  <c r="Q186" i="5"/>
  <c r="R186" i="5" s="1"/>
  <c r="I187" i="5"/>
  <c r="J187" i="5" s="1"/>
  <c r="K187" i="5"/>
  <c r="L187" i="5"/>
  <c r="M187" i="5" s="1"/>
  <c r="O187" i="5"/>
  <c r="Q187" i="5" s="1"/>
  <c r="P187" i="5"/>
  <c r="I188" i="5"/>
  <c r="J188" i="5" s="1"/>
  <c r="K188" i="5"/>
  <c r="M188" i="5" s="1"/>
  <c r="L188" i="5"/>
  <c r="O188" i="5"/>
  <c r="Q188" i="5" s="1"/>
  <c r="P188" i="5"/>
  <c r="I189" i="5"/>
  <c r="J189" i="5" s="1"/>
  <c r="K189" i="5"/>
  <c r="L189" i="5"/>
  <c r="M189" i="5"/>
  <c r="N189" i="5"/>
  <c r="O189" i="5"/>
  <c r="P189" i="5"/>
  <c r="Q189" i="5"/>
  <c r="S189" i="5" s="1"/>
  <c r="T189" i="5" s="1"/>
  <c r="V189" i="5" s="1"/>
  <c r="R189" i="5"/>
  <c r="U189" i="5" s="1"/>
  <c r="I190" i="5"/>
  <c r="J190" i="5" s="1"/>
  <c r="K190" i="5"/>
  <c r="N190" i="5" s="1"/>
  <c r="L190" i="5"/>
  <c r="M190" i="5"/>
  <c r="O190" i="5"/>
  <c r="P190" i="5"/>
  <c r="Q190" i="5"/>
  <c r="R190" i="5" s="1"/>
  <c r="P11" i="5"/>
  <c r="O11" i="5"/>
  <c r="Q11" i="5" s="1"/>
  <c r="N11" i="5"/>
  <c r="L11" i="5"/>
  <c r="K11" i="5"/>
  <c r="I11" i="5"/>
  <c r="J11" i="5" s="1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1" i="5"/>
  <c r="B13" i="5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88" i="5" s="1"/>
  <c r="B189" i="5" s="1"/>
  <c r="B190" i="5" s="1"/>
  <c r="B12" i="5"/>
  <c r="N51" i="5" l="1"/>
  <c r="M83" i="5"/>
  <c r="U183" i="5"/>
  <c r="Y183" i="5"/>
  <c r="U186" i="5"/>
  <c r="Y186" i="5"/>
  <c r="S185" i="5"/>
  <c r="R185" i="5"/>
  <c r="R179" i="5"/>
  <c r="S179" i="5"/>
  <c r="T179" i="5" s="1"/>
  <c r="V179" i="5" s="1"/>
  <c r="U178" i="5"/>
  <c r="Y178" i="5"/>
  <c r="R175" i="5"/>
  <c r="S175" i="5"/>
  <c r="W173" i="5"/>
  <c r="S168" i="5"/>
  <c r="R168" i="5"/>
  <c r="S164" i="5"/>
  <c r="R164" i="5"/>
  <c r="W181" i="5"/>
  <c r="U174" i="5"/>
  <c r="Y174" i="5"/>
  <c r="X173" i="5"/>
  <c r="AB173" i="5" s="1"/>
  <c r="R171" i="5"/>
  <c r="S171" i="5"/>
  <c r="T171" i="5" s="1"/>
  <c r="V171" i="5" s="1"/>
  <c r="W169" i="5"/>
  <c r="W165" i="5"/>
  <c r="X165" i="5" s="1"/>
  <c r="AB165" i="5" s="1"/>
  <c r="S160" i="5"/>
  <c r="R160" i="5"/>
  <c r="S156" i="5"/>
  <c r="R156" i="5"/>
  <c r="S152" i="5"/>
  <c r="R152" i="5"/>
  <c r="S148" i="5"/>
  <c r="R148" i="5"/>
  <c r="W189" i="5"/>
  <c r="X189" i="5" s="1"/>
  <c r="AB189" i="5" s="1"/>
  <c r="S184" i="5"/>
  <c r="T184" i="5" s="1"/>
  <c r="V184" i="5" s="1"/>
  <c r="R184" i="5"/>
  <c r="Y190" i="5"/>
  <c r="U190" i="5"/>
  <c r="S188" i="5"/>
  <c r="T188" i="5" s="1"/>
  <c r="V188" i="5" s="1"/>
  <c r="R188" i="5"/>
  <c r="U182" i="5"/>
  <c r="Y182" i="5"/>
  <c r="X181" i="5"/>
  <c r="AB181" i="5" s="1"/>
  <c r="S176" i="5"/>
  <c r="T176" i="5" s="1"/>
  <c r="V176" i="5" s="1"/>
  <c r="R176" i="5"/>
  <c r="U170" i="5"/>
  <c r="Y170" i="5"/>
  <c r="X169" i="5"/>
  <c r="AB169" i="5" s="1"/>
  <c r="R167" i="5"/>
  <c r="S167" i="5"/>
  <c r="T167" i="5" s="1"/>
  <c r="V167" i="5" s="1"/>
  <c r="U166" i="5"/>
  <c r="Y166" i="5"/>
  <c r="R163" i="5"/>
  <c r="S163" i="5"/>
  <c r="T163" i="5" s="1"/>
  <c r="V163" i="5" s="1"/>
  <c r="W161" i="5"/>
  <c r="W157" i="5"/>
  <c r="W153" i="5"/>
  <c r="W149" i="5"/>
  <c r="U145" i="5"/>
  <c r="Y145" i="5"/>
  <c r="R187" i="5"/>
  <c r="S187" i="5"/>
  <c r="R180" i="5"/>
  <c r="S180" i="5"/>
  <c r="W177" i="5"/>
  <c r="X177" i="5" s="1"/>
  <c r="AB177" i="5" s="1"/>
  <c r="S172" i="5"/>
  <c r="R172" i="5"/>
  <c r="U162" i="5"/>
  <c r="Y162" i="5"/>
  <c r="X161" i="5"/>
  <c r="AB161" i="5" s="1"/>
  <c r="R159" i="5"/>
  <c r="S159" i="5"/>
  <c r="U158" i="5"/>
  <c r="Y158" i="5"/>
  <c r="X157" i="5"/>
  <c r="AB157" i="5" s="1"/>
  <c r="R155" i="5"/>
  <c r="S155" i="5"/>
  <c r="T155" i="5" s="1"/>
  <c r="V155" i="5" s="1"/>
  <c r="U154" i="5"/>
  <c r="Y154" i="5"/>
  <c r="X153" i="5"/>
  <c r="AB153" i="5" s="1"/>
  <c r="R151" i="5"/>
  <c r="S151" i="5"/>
  <c r="U150" i="5"/>
  <c r="Y150" i="5"/>
  <c r="X149" i="5"/>
  <c r="AB149" i="5" s="1"/>
  <c r="R147" i="5"/>
  <c r="S147" i="5"/>
  <c r="T147" i="5" s="1"/>
  <c r="V147" i="5" s="1"/>
  <c r="U146" i="5"/>
  <c r="Y146" i="5"/>
  <c r="Y189" i="5"/>
  <c r="N188" i="5"/>
  <c r="N184" i="5"/>
  <c r="S183" i="5"/>
  <c r="T183" i="5" s="1"/>
  <c r="V183" i="5" s="1"/>
  <c r="Y181" i="5"/>
  <c r="N180" i="5"/>
  <c r="J180" i="5"/>
  <c r="Y177" i="5"/>
  <c r="N176" i="5"/>
  <c r="Y173" i="5"/>
  <c r="N172" i="5"/>
  <c r="Y169" i="5"/>
  <c r="N168" i="5"/>
  <c r="Y165" i="5"/>
  <c r="N164" i="5"/>
  <c r="Y161" i="5"/>
  <c r="N160" i="5"/>
  <c r="Y157" i="5"/>
  <c r="N156" i="5"/>
  <c r="Y153" i="5"/>
  <c r="N152" i="5"/>
  <c r="Y149" i="5"/>
  <c r="N148" i="5"/>
  <c r="R142" i="5"/>
  <c r="S142" i="5"/>
  <c r="T142" i="5" s="1"/>
  <c r="V142" i="5" s="1"/>
  <c r="U140" i="5"/>
  <c r="Y140" i="5"/>
  <c r="M136" i="5"/>
  <c r="N136" i="5"/>
  <c r="U135" i="5"/>
  <c r="Y135" i="5"/>
  <c r="R134" i="5"/>
  <c r="S134" i="5"/>
  <c r="M132" i="5"/>
  <c r="N132" i="5"/>
  <c r="U131" i="5"/>
  <c r="Y131" i="5"/>
  <c r="R130" i="5"/>
  <c r="S130" i="5"/>
  <c r="T130" i="5" s="1"/>
  <c r="V130" i="5" s="1"/>
  <c r="U125" i="5"/>
  <c r="Y125" i="5"/>
  <c r="S113" i="5"/>
  <c r="R113" i="5"/>
  <c r="Y108" i="5"/>
  <c r="U108" i="5"/>
  <c r="Y100" i="5"/>
  <c r="U100" i="5"/>
  <c r="Y92" i="5"/>
  <c r="U92" i="5"/>
  <c r="S190" i="5"/>
  <c r="T190" i="5" s="1"/>
  <c r="V190" i="5" s="1"/>
  <c r="N187" i="5"/>
  <c r="S186" i="5"/>
  <c r="T186" i="5" s="1"/>
  <c r="V186" i="5" s="1"/>
  <c r="N183" i="5"/>
  <c r="W183" i="5" s="1"/>
  <c r="S182" i="5"/>
  <c r="T182" i="5" s="1"/>
  <c r="V182" i="5" s="1"/>
  <c r="N179" i="5"/>
  <c r="S178" i="5"/>
  <c r="T178" i="5" s="1"/>
  <c r="V178" i="5" s="1"/>
  <c r="N175" i="5"/>
  <c r="S174" i="5"/>
  <c r="T174" i="5" s="1"/>
  <c r="V174" i="5" s="1"/>
  <c r="N171" i="5"/>
  <c r="S170" i="5"/>
  <c r="T170" i="5" s="1"/>
  <c r="V170" i="5" s="1"/>
  <c r="N167" i="5"/>
  <c r="S166" i="5"/>
  <c r="T166" i="5" s="1"/>
  <c r="V166" i="5" s="1"/>
  <c r="N163" i="5"/>
  <c r="S162" i="5"/>
  <c r="T162" i="5" s="1"/>
  <c r="V162" i="5" s="1"/>
  <c r="N159" i="5"/>
  <c r="S158" i="5"/>
  <c r="T158" i="5" s="1"/>
  <c r="V158" i="5" s="1"/>
  <c r="N155" i="5"/>
  <c r="S154" i="5"/>
  <c r="T154" i="5" s="1"/>
  <c r="V154" i="5" s="1"/>
  <c r="N151" i="5"/>
  <c r="S150" i="5"/>
  <c r="T150" i="5" s="1"/>
  <c r="V150" i="5" s="1"/>
  <c r="N147" i="5"/>
  <c r="S146" i="5"/>
  <c r="T146" i="5" s="1"/>
  <c r="V146" i="5" s="1"/>
  <c r="S145" i="5"/>
  <c r="T145" i="5" s="1"/>
  <c r="V145" i="5" s="1"/>
  <c r="R144" i="5"/>
  <c r="T144" i="5" s="1"/>
  <c r="V144" i="5" s="1"/>
  <c r="Y143" i="5"/>
  <c r="R141" i="5"/>
  <c r="M139" i="5"/>
  <c r="N139" i="5"/>
  <c r="T137" i="5"/>
  <c r="V137" i="5" s="1"/>
  <c r="U133" i="5"/>
  <c r="Y133" i="5"/>
  <c r="R129" i="5"/>
  <c r="U128" i="5"/>
  <c r="Y128" i="5"/>
  <c r="S124" i="5"/>
  <c r="T124" i="5" s="1"/>
  <c r="V124" i="5" s="1"/>
  <c r="M124" i="5"/>
  <c r="N124" i="5"/>
  <c r="U118" i="5"/>
  <c r="Y118" i="5"/>
  <c r="R116" i="5"/>
  <c r="S116" i="5"/>
  <c r="U115" i="5"/>
  <c r="Y115" i="5"/>
  <c r="U110" i="5"/>
  <c r="Y110" i="5"/>
  <c r="U107" i="5"/>
  <c r="Y107" i="5"/>
  <c r="U99" i="5"/>
  <c r="Y99" i="5"/>
  <c r="U91" i="5"/>
  <c r="Y91" i="5"/>
  <c r="S140" i="5"/>
  <c r="T140" i="5" s="1"/>
  <c r="V140" i="5" s="1"/>
  <c r="M140" i="5"/>
  <c r="N140" i="5"/>
  <c r="W140" i="5" s="1"/>
  <c r="R139" i="5"/>
  <c r="R138" i="5"/>
  <c r="S138" i="5"/>
  <c r="W137" i="5"/>
  <c r="U136" i="5"/>
  <c r="Y136" i="5"/>
  <c r="T133" i="5"/>
  <c r="V133" i="5" s="1"/>
  <c r="U132" i="5"/>
  <c r="Y132" i="5"/>
  <c r="M127" i="5"/>
  <c r="N127" i="5"/>
  <c r="T125" i="5"/>
  <c r="V125" i="5" s="1"/>
  <c r="R123" i="5"/>
  <c r="N123" i="5"/>
  <c r="R122" i="5"/>
  <c r="S122" i="5"/>
  <c r="T122" i="5" s="1"/>
  <c r="S117" i="5"/>
  <c r="R117" i="5"/>
  <c r="Y104" i="5"/>
  <c r="U104" i="5"/>
  <c r="Y96" i="5"/>
  <c r="U96" i="5"/>
  <c r="Y88" i="5"/>
  <c r="U88" i="5"/>
  <c r="M144" i="5"/>
  <c r="N144" i="5"/>
  <c r="M143" i="5"/>
  <c r="N143" i="5"/>
  <c r="T141" i="5"/>
  <c r="V141" i="5" s="1"/>
  <c r="U137" i="5"/>
  <c r="Y137" i="5"/>
  <c r="M135" i="5"/>
  <c r="N135" i="5"/>
  <c r="W135" i="5" s="1"/>
  <c r="M131" i="5"/>
  <c r="N131" i="5"/>
  <c r="T129" i="5"/>
  <c r="V129" i="5" s="1"/>
  <c r="M128" i="5"/>
  <c r="N128" i="5"/>
  <c r="W128" i="5" s="1"/>
  <c r="U127" i="5"/>
  <c r="Y127" i="5"/>
  <c r="R126" i="5"/>
  <c r="S126" i="5"/>
  <c r="W125" i="5"/>
  <c r="U124" i="5"/>
  <c r="Y124" i="5"/>
  <c r="S121" i="5"/>
  <c r="T121" i="5" s="1"/>
  <c r="V121" i="5" s="1"/>
  <c r="R121" i="5"/>
  <c r="R120" i="5"/>
  <c r="S120" i="5"/>
  <c r="U119" i="5"/>
  <c r="W119" i="5" s="1"/>
  <c r="Y119" i="5"/>
  <c r="U114" i="5"/>
  <c r="Y114" i="5"/>
  <c r="R112" i="5"/>
  <c r="S112" i="5"/>
  <c r="U111" i="5"/>
  <c r="Y111" i="5"/>
  <c r="U103" i="5"/>
  <c r="Y103" i="5"/>
  <c r="U95" i="5"/>
  <c r="Y95" i="5"/>
  <c r="U87" i="5"/>
  <c r="Y87" i="5"/>
  <c r="U82" i="5"/>
  <c r="Y82" i="5"/>
  <c r="R81" i="5"/>
  <c r="S81" i="5"/>
  <c r="U78" i="5"/>
  <c r="Y78" i="5"/>
  <c r="R77" i="5"/>
  <c r="S77" i="5"/>
  <c r="T77" i="5" s="1"/>
  <c r="V77" i="5" s="1"/>
  <c r="S70" i="5"/>
  <c r="R70" i="5"/>
  <c r="U69" i="5"/>
  <c r="Y69" i="5"/>
  <c r="S66" i="5"/>
  <c r="T66" i="5" s="1"/>
  <c r="V66" i="5" s="1"/>
  <c r="R66" i="5"/>
  <c r="U65" i="5"/>
  <c r="Y65" i="5"/>
  <c r="W65" i="5"/>
  <c r="U61" i="5"/>
  <c r="Y61" i="5"/>
  <c r="S143" i="5"/>
  <c r="T143" i="5" s="1"/>
  <c r="V143" i="5" s="1"/>
  <c r="S139" i="5"/>
  <c r="T139" i="5" s="1"/>
  <c r="V139" i="5" s="1"/>
  <c r="S135" i="5"/>
  <c r="T135" i="5" s="1"/>
  <c r="V135" i="5" s="1"/>
  <c r="S131" i="5"/>
  <c r="T131" i="5" s="1"/>
  <c r="V131" i="5" s="1"/>
  <c r="S127" i="5"/>
  <c r="T127" i="5" s="1"/>
  <c r="V127" i="5" s="1"/>
  <c r="S123" i="5"/>
  <c r="T123" i="5" s="1"/>
  <c r="V123" i="5" s="1"/>
  <c r="N120" i="5"/>
  <c r="S119" i="5"/>
  <c r="T119" i="5" s="1"/>
  <c r="V119" i="5" s="1"/>
  <c r="N116" i="5"/>
  <c r="S115" i="5"/>
  <c r="T115" i="5" s="1"/>
  <c r="V115" i="5" s="1"/>
  <c r="N112" i="5"/>
  <c r="S111" i="5"/>
  <c r="T111" i="5" s="1"/>
  <c r="V111" i="5" s="1"/>
  <c r="N110" i="5"/>
  <c r="S107" i="5"/>
  <c r="T107" i="5" s="1"/>
  <c r="V107" i="5" s="1"/>
  <c r="N107" i="5"/>
  <c r="U106" i="5"/>
  <c r="N106" i="5"/>
  <c r="S103" i="5"/>
  <c r="T103" i="5" s="1"/>
  <c r="V103" i="5" s="1"/>
  <c r="N103" i="5"/>
  <c r="U102" i="5"/>
  <c r="N102" i="5"/>
  <c r="S99" i="5"/>
  <c r="T99" i="5" s="1"/>
  <c r="V99" i="5" s="1"/>
  <c r="N99" i="5"/>
  <c r="U98" i="5"/>
  <c r="N98" i="5"/>
  <c r="S95" i="5"/>
  <c r="T95" i="5" s="1"/>
  <c r="V95" i="5" s="1"/>
  <c r="N95" i="5"/>
  <c r="U94" i="5"/>
  <c r="N94" i="5"/>
  <c r="S91" i="5"/>
  <c r="T91" i="5" s="1"/>
  <c r="V91" i="5" s="1"/>
  <c r="N91" i="5"/>
  <c r="U90" i="5"/>
  <c r="N90" i="5"/>
  <c r="S87" i="5"/>
  <c r="T87" i="5" s="1"/>
  <c r="V87" i="5" s="1"/>
  <c r="N87" i="5"/>
  <c r="U86" i="5"/>
  <c r="N86" i="5"/>
  <c r="S75" i="5"/>
  <c r="T75" i="5" s="1"/>
  <c r="V75" i="5" s="1"/>
  <c r="N75" i="5"/>
  <c r="M75" i="5"/>
  <c r="M74" i="5"/>
  <c r="R73" i="5"/>
  <c r="S73" i="5"/>
  <c r="U72" i="5"/>
  <c r="W72" i="5" s="1"/>
  <c r="Y72" i="5"/>
  <c r="U57" i="5"/>
  <c r="Y57" i="5"/>
  <c r="S118" i="5"/>
  <c r="T118" i="5" s="1"/>
  <c r="N115" i="5"/>
  <c r="S114" i="5"/>
  <c r="T114" i="5" s="1"/>
  <c r="V114" i="5" s="1"/>
  <c r="N111" i="5"/>
  <c r="S110" i="5"/>
  <c r="T110" i="5" s="1"/>
  <c r="V110" i="5" s="1"/>
  <c r="U109" i="5"/>
  <c r="W109" i="5" s="1"/>
  <c r="S108" i="5"/>
  <c r="T108" i="5" s="1"/>
  <c r="U105" i="5"/>
  <c r="W105" i="5" s="1"/>
  <c r="S104" i="5"/>
  <c r="T104" i="5" s="1"/>
  <c r="U101" i="5"/>
  <c r="W101" i="5" s="1"/>
  <c r="S100" i="5"/>
  <c r="T100" i="5" s="1"/>
  <c r="U97" i="5"/>
  <c r="W97" i="5" s="1"/>
  <c r="S96" i="5"/>
  <c r="T96" i="5" s="1"/>
  <c r="U93" i="5"/>
  <c r="W93" i="5" s="1"/>
  <c r="S92" i="5"/>
  <c r="T92" i="5" s="1"/>
  <c r="U89" i="5"/>
  <c r="W89" i="5" s="1"/>
  <c r="S88" i="5"/>
  <c r="T88" i="5" s="1"/>
  <c r="U85" i="5"/>
  <c r="W85" i="5" s="1"/>
  <c r="R84" i="5"/>
  <c r="T84" i="5" s="1"/>
  <c r="T83" i="5"/>
  <c r="V83" i="5" s="1"/>
  <c r="N83" i="5"/>
  <c r="W83" i="5" s="1"/>
  <c r="S82" i="5"/>
  <c r="T82" i="5" s="1"/>
  <c r="V82" i="5" s="1"/>
  <c r="M82" i="5"/>
  <c r="N82" i="5"/>
  <c r="R80" i="5"/>
  <c r="T79" i="5"/>
  <c r="V79" i="5" s="1"/>
  <c r="N79" i="5"/>
  <c r="S78" i="5"/>
  <c r="T78" i="5" s="1"/>
  <c r="V78" i="5" s="1"/>
  <c r="M78" i="5"/>
  <c r="N78" i="5"/>
  <c r="R76" i="5"/>
  <c r="T76" i="5" s="1"/>
  <c r="U71" i="5"/>
  <c r="W71" i="5" s="1"/>
  <c r="Y71" i="5"/>
  <c r="R67" i="5"/>
  <c r="S67" i="5"/>
  <c r="T67" i="5" s="1"/>
  <c r="V67" i="5" s="1"/>
  <c r="Y109" i="5"/>
  <c r="S106" i="5"/>
  <c r="T106" i="5" s="1"/>
  <c r="V106" i="5" s="1"/>
  <c r="M106" i="5"/>
  <c r="S102" i="5"/>
  <c r="T102" i="5" s="1"/>
  <c r="V102" i="5" s="1"/>
  <c r="Y101" i="5"/>
  <c r="S98" i="5"/>
  <c r="T98" i="5" s="1"/>
  <c r="V98" i="5" s="1"/>
  <c r="Y97" i="5"/>
  <c r="S94" i="5"/>
  <c r="T94" i="5" s="1"/>
  <c r="V94" i="5" s="1"/>
  <c r="Y93" i="5"/>
  <c r="S90" i="5"/>
  <c r="T90" i="5" s="1"/>
  <c r="V90" i="5" s="1"/>
  <c r="Y89" i="5"/>
  <c r="S86" i="5"/>
  <c r="T86" i="5" s="1"/>
  <c r="V86" i="5" s="1"/>
  <c r="Y85" i="5"/>
  <c r="U83" i="5"/>
  <c r="Y83" i="5"/>
  <c r="M81" i="5"/>
  <c r="T80" i="5"/>
  <c r="V80" i="5" s="1"/>
  <c r="U79" i="5"/>
  <c r="Y79" i="5"/>
  <c r="M77" i="5"/>
  <c r="U75" i="5"/>
  <c r="Y75" i="5"/>
  <c r="S74" i="5"/>
  <c r="R74" i="5"/>
  <c r="W68" i="5"/>
  <c r="W64" i="5"/>
  <c r="N74" i="5"/>
  <c r="M71" i="5"/>
  <c r="N70" i="5"/>
  <c r="S69" i="5"/>
  <c r="T69" i="5" s="1"/>
  <c r="V69" i="5" s="1"/>
  <c r="M67" i="5"/>
  <c r="N66" i="5"/>
  <c r="S65" i="5"/>
  <c r="T65" i="5" s="1"/>
  <c r="V65" i="5" s="1"/>
  <c r="Y63" i="5"/>
  <c r="R62" i="5"/>
  <c r="S61" i="5"/>
  <c r="T61" i="5" s="1"/>
  <c r="V61" i="5" s="1"/>
  <c r="N61" i="5"/>
  <c r="W61" i="5" s="1"/>
  <c r="S60" i="5"/>
  <c r="T60" i="5" s="1"/>
  <c r="V60" i="5" s="1"/>
  <c r="M60" i="5"/>
  <c r="N60" i="5"/>
  <c r="R58" i="5"/>
  <c r="T58" i="5" s="1"/>
  <c r="S57" i="5"/>
  <c r="T57" i="5" s="1"/>
  <c r="V57" i="5" s="1"/>
  <c r="N57" i="5"/>
  <c r="S56" i="5"/>
  <c r="T56" i="5" s="1"/>
  <c r="V56" i="5" s="1"/>
  <c r="M56" i="5"/>
  <c r="N56" i="5"/>
  <c r="S52" i="5"/>
  <c r="T52" i="5" s="1"/>
  <c r="V52" i="5" s="1"/>
  <c r="M52" i="5"/>
  <c r="N52" i="5"/>
  <c r="S49" i="5"/>
  <c r="R49" i="5"/>
  <c r="S63" i="5"/>
  <c r="T63" i="5" s="1"/>
  <c r="M63" i="5"/>
  <c r="T62" i="5"/>
  <c r="V62" i="5" s="1"/>
  <c r="M59" i="5"/>
  <c r="R55" i="5"/>
  <c r="R54" i="5"/>
  <c r="S54" i="5"/>
  <c r="T54" i="5" s="1"/>
  <c r="V54" i="5" s="1"/>
  <c r="U53" i="5"/>
  <c r="Y53" i="5"/>
  <c r="W53" i="5"/>
  <c r="R51" i="5"/>
  <c r="U43" i="5"/>
  <c r="Y43" i="5"/>
  <c r="U60" i="5"/>
  <c r="Y60" i="5"/>
  <c r="R59" i="5"/>
  <c r="S59" i="5"/>
  <c r="T59" i="5" s="1"/>
  <c r="V59" i="5" s="1"/>
  <c r="U56" i="5"/>
  <c r="Y56" i="5"/>
  <c r="U52" i="5"/>
  <c r="Y52" i="5"/>
  <c r="Y48" i="5"/>
  <c r="U48" i="5"/>
  <c r="Y68" i="5"/>
  <c r="Y64" i="5"/>
  <c r="U50" i="5"/>
  <c r="Y50" i="5"/>
  <c r="U47" i="5"/>
  <c r="Y47" i="5"/>
  <c r="T43" i="5"/>
  <c r="V43" i="5" s="1"/>
  <c r="M42" i="5"/>
  <c r="N42" i="5"/>
  <c r="M37" i="5"/>
  <c r="N37" i="5"/>
  <c r="W37" i="5" s="1"/>
  <c r="M33" i="5"/>
  <c r="N33" i="5"/>
  <c r="W33" i="5" s="1"/>
  <c r="M29" i="5"/>
  <c r="N29" i="5"/>
  <c r="W29" i="5" s="1"/>
  <c r="N27" i="5"/>
  <c r="M27" i="5"/>
  <c r="S26" i="5"/>
  <c r="T26" i="5" s="1"/>
  <c r="V26" i="5" s="1"/>
  <c r="R26" i="5"/>
  <c r="W25" i="5"/>
  <c r="S55" i="5"/>
  <c r="T55" i="5" s="1"/>
  <c r="V55" i="5" s="1"/>
  <c r="S51" i="5"/>
  <c r="T51" i="5" s="1"/>
  <c r="V51" i="5" s="1"/>
  <c r="R46" i="5"/>
  <c r="Y44" i="5"/>
  <c r="T44" i="5"/>
  <c r="V44" i="5" s="1"/>
  <c r="Y40" i="5"/>
  <c r="T40" i="5"/>
  <c r="V40" i="5" s="1"/>
  <c r="R39" i="5"/>
  <c r="S39" i="5"/>
  <c r="U36" i="5"/>
  <c r="W36" i="5" s="1"/>
  <c r="Y36" i="5"/>
  <c r="R35" i="5"/>
  <c r="S35" i="5"/>
  <c r="U32" i="5"/>
  <c r="Y32" i="5"/>
  <c r="R31" i="5"/>
  <c r="S31" i="5"/>
  <c r="U21" i="5"/>
  <c r="W21" i="5" s="1"/>
  <c r="Y21" i="5"/>
  <c r="U17" i="5"/>
  <c r="W17" i="5" s="1"/>
  <c r="Y17" i="5"/>
  <c r="U13" i="5"/>
  <c r="W13" i="5" s="1"/>
  <c r="Y13" i="5"/>
  <c r="S50" i="5"/>
  <c r="T50" i="5" s="1"/>
  <c r="V50" i="5" s="1"/>
  <c r="S48" i="5"/>
  <c r="T48" i="5" s="1"/>
  <c r="R45" i="5"/>
  <c r="S45" i="5"/>
  <c r="R42" i="5"/>
  <c r="R41" i="5"/>
  <c r="S41" i="5"/>
  <c r="T41" i="5" s="1"/>
  <c r="V41" i="5" s="1"/>
  <c r="M38" i="5"/>
  <c r="M34" i="5"/>
  <c r="M30" i="5"/>
  <c r="U28" i="5"/>
  <c r="W28" i="5" s="1"/>
  <c r="Y28" i="5"/>
  <c r="R27" i="5"/>
  <c r="S27" i="5"/>
  <c r="T27" i="5" s="1"/>
  <c r="V27" i="5" s="1"/>
  <c r="M24" i="5"/>
  <c r="N24" i="5"/>
  <c r="R22" i="5"/>
  <c r="M20" i="5"/>
  <c r="N20" i="5"/>
  <c r="R18" i="5"/>
  <c r="M16" i="5"/>
  <c r="N16" i="5"/>
  <c r="R14" i="5"/>
  <c r="M12" i="5"/>
  <c r="N12" i="5"/>
  <c r="T47" i="5"/>
  <c r="V47" i="5" s="1"/>
  <c r="M46" i="5"/>
  <c r="N46" i="5"/>
  <c r="N39" i="5"/>
  <c r="M39" i="5"/>
  <c r="S38" i="5"/>
  <c r="T38" i="5" s="1"/>
  <c r="V38" i="5" s="1"/>
  <c r="R38" i="5"/>
  <c r="N35" i="5"/>
  <c r="M35" i="5"/>
  <c r="S34" i="5"/>
  <c r="R34" i="5"/>
  <c r="W32" i="5"/>
  <c r="N31" i="5"/>
  <c r="M31" i="5"/>
  <c r="S30" i="5"/>
  <c r="R30" i="5"/>
  <c r="T22" i="5"/>
  <c r="V22" i="5" s="1"/>
  <c r="T18" i="5"/>
  <c r="V18" i="5" s="1"/>
  <c r="T14" i="5"/>
  <c r="V14" i="5" s="1"/>
  <c r="M40" i="5"/>
  <c r="M36" i="5"/>
  <c r="M32" i="5"/>
  <c r="M28" i="5"/>
  <c r="R24" i="5"/>
  <c r="T24" i="5" s="1"/>
  <c r="V24" i="5" s="1"/>
  <c r="R23" i="5"/>
  <c r="S23" i="5"/>
  <c r="T23" i="5" s="1"/>
  <c r="V23" i="5" s="1"/>
  <c r="R20" i="5"/>
  <c r="T20" i="5" s="1"/>
  <c r="V20" i="5" s="1"/>
  <c r="R19" i="5"/>
  <c r="S19" i="5"/>
  <c r="T19" i="5" s="1"/>
  <c r="V19" i="5" s="1"/>
  <c r="R16" i="5"/>
  <c r="R15" i="5"/>
  <c r="S15" i="5"/>
  <c r="T15" i="5" s="1"/>
  <c r="V15" i="5" s="1"/>
  <c r="R12" i="5"/>
  <c r="M11" i="5"/>
  <c r="R11" i="5"/>
  <c r="S11" i="5"/>
  <c r="AE127" i="3"/>
  <c r="AE128" i="3"/>
  <c r="AE129" i="3"/>
  <c r="AE130" i="3"/>
  <c r="AE124" i="3"/>
  <c r="AE125" i="3"/>
  <c r="AE126" i="3"/>
  <c r="AE122" i="3"/>
  <c r="AE119" i="3"/>
  <c r="AE118" i="3"/>
  <c r="K12" i="3"/>
  <c r="L12" i="3"/>
  <c r="K13" i="3"/>
  <c r="L13" i="3"/>
  <c r="K14" i="3"/>
  <c r="L14" i="3"/>
  <c r="N14" i="3" s="1"/>
  <c r="K15" i="3"/>
  <c r="L15" i="3"/>
  <c r="N15" i="3" s="1"/>
  <c r="K16" i="3"/>
  <c r="L16" i="3"/>
  <c r="K17" i="3"/>
  <c r="L17" i="3"/>
  <c r="K18" i="3"/>
  <c r="L18" i="3"/>
  <c r="K19" i="3"/>
  <c r="L19" i="3"/>
  <c r="K20" i="3"/>
  <c r="L20" i="3"/>
  <c r="K21" i="3"/>
  <c r="L21" i="3"/>
  <c r="K22" i="3"/>
  <c r="L22" i="3"/>
  <c r="K23" i="3"/>
  <c r="L23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5" i="3"/>
  <c r="L35" i="3"/>
  <c r="K36" i="3"/>
  <c r="L36" i="3"/>
  <c r="K37" i="3"/>
  <c r="L37" i="3"/>
  <c r="K38" i="3"/>
  <c r="L38" i="3"/>
  <c r="K39" i="3"/>
  <c r="L39" i="3"/>
  <c r="K40" i="3"/>
  <c r="L40" i="3"/>
  <c r="K41" i="3"/>
  <c r="L41" i="3"/>
  <c r="K42" i="3"/>
  <c r="L42" i="3"/>
  <c r="K43" i="3"/>
  <c r="L43" i="3"/>
  <c r="K44" i="3"/>
  <c r="L44" i="3"/>
  <c r="K45" i="3"/>
  <c r="L45" i="3"/>
  <c r="K46" i="3"/>
  <c r="L46" i="3"/>
  <c r="K47" i="3"/>
  <c r="L47" i="3"/>
  <c r="K48" i="3"/>
  <c r="L48" i="3"/>
  <c r="K49" i="3"/>
  <c r="L49" i="3"/>
  <c r="K50" i="3"/>
  <c r="L50" i="3"/>
  <c r="K51" i="3"/>
  <c r="L51" i="3"/>
  <c r="K52" i="3"/>
  <c r="L52" i="3"/>
  <c r="K53" i="3"/>
  <c r="L53" i="3"/>
  <c r="K54" i="3"/>
  <c r="L54" i="3"/>
  <c r="K55" i="3"/>
  <c r="L55" i="3"/>
  <c r="K56" i="3"/>
  <c r="L56" i="3"/>
  <c r="K57" i="3"/>
  <c r="L57" i="3"/>
  <c r="K58" i="3"/>
  <c r="L58" i="3"/>
  <c r="K59" i="3"/>
  <c r="L59" i="3"/>
  <c r="K60" i="3"/>
  <c r="L60" i="3"/>
  <c r="K61" i="3"/>
  <c r="L61" i="3"/>
  <c r="K62" i="3"/>
  <c r="L62" i="3"/>
  <c r="K63" i="3"/>
  <c r="L63" i="3"/>
  <c r="K64" i="3"/>
  <c r="L64" i="3"/>
  <c r="K65" i="3"/>
  <c r="L65" i="3"/>
  <c r="K66" i="3"/>
  <c r="L66" i="3"/>
  <c r="M66" i="3" s="1"/>
  <c r="K67" i="3"/>
  <c r="L67" i="3"/>
  <c r="K68" i="3"/>
  <c r="L68" i="3"/>
  <c r="K69" i="3"/>
  <c r="L69" i="3"/>
  <c r="K70" i="3"/>
  <c r="L70" i="3"/>
  <c r="K71" i="3"/>
  <c r="L71" i="3"/>
  <c r="K72" i="3"/>
  <c r="L72" i="3"/>
  <c r="K73" i="3"/>
  <c r="L73" i="3"/>
  <c r="K74" i="3"/>
  <c r="L74" i="3"/>
  <c r="K75" i="3"/>
  <c r="L75" i="3"/>
  <c r="K76" i="3"/>
  <c r="L76" i="3"/>
  <c r="K77" i="3"/>
  <c r="L77" i="3"/>
  <c r="K78" i="3"/>
  <c r="L78" i="3"/>
  <c r="K79" i="3"/>
  <c r="L79" i="3"/>
  <c r="K80" i="3"/>
  <c r="L80" i="3"/>
  <c r="K81" i="3"/>
  <c r="L81" i="3"/>
  <c r="K82" i="3"/>
  <c r="L82" i="3"/>
  <c r="K83" i="3"/>
  <c r="L83" i="3"/>
  <c r="K84" i="3"/>
  <c r="L84" i="3"/>
  <c r="K85" i="3"/>
  <c r="L85" i="3"/>
  <c r="K86" i="3"/>
  <c r="L86" i="3"/>
  <c r="K87" i="3"/>
  <c r="L87" i="3"/>
  <c r="K88" i="3"/>
  <c r="L88" i="3"/>
  <c r="K89" i="3"/>
  <c r="L89" i="3"/>
  <c r="K90" i="3"/>
  <c r="L90" i="3"/>
  <c r="K91" i="3"/>
  <c r="L91" i="3"/>
  <c r="K92" i="3"/>
  <c r="L92" i="3"/>
  <c r="K93" i="3"/>
  <c r="L93" i="3"/>
  <c r="K94" i="3"/>
  <c r="L94" i="3"/>
  <c r="K95" i="3"/>
  <c r="L95" i="3"/>
  <c r="K96" i="3"/>
  <c r="L96" i="3"/>
  <c r="K97" i="3"/>
  <c r="L97" i="3"/>
  <c r="K98" i="3"/>
  <c r="L98" i="3"/>
  <c r="K99" i="3"/>
  <c r="L99" i="3"/>
  <c r="K100" i="3"/>
  <c r="L100" i="3"/>
  <c r="K101" i="3"/>
  <c r="L101" i="3"/>
  <c r="K102" i="3"/>
  <c r="L102" i="3"/>
  <c r="K103" i="3"/>
  <c r="L103" i="3"/>
  <c r="K104" i="3"/>
  <c r="L104" i="3"/>
  <c r="K105" i="3"/>
  <c r="L105" i="3"/>
  <c r="K106" i="3"/>
  <c r="L106" i="3"/>
  <c r="K107" i="3"/>
  <c r="L107" i="3"/>
  <c r="K108" i="3"/>
  <c r="L108" i="3"/>
  <c r="K109" i="3"/>
  <c r="L109" i="3"/>
  <c r="K110" i="3"/>
  <c r="L110" i="3"/>
  <c r="K111" i="3"/>
  <c r="L111" i="3"/>
  <c r="K112" i="3"/>
  <c r="L112" i="3"/>
  <c r="K113" i="3"/>
  <c r="L113" i="3"/>
  <c r="K114" i="3"/>
  <c r="L114" i="3"/>
  <c r="K115" i="3"/>
  <c r="L115" i="3"/>
  <c r="K116" i="3"/>
  <c r="L116" i="3"/>
  <c r="M116" i="3" s="1"/>
  <c r="K117" i="3"/>
  <c r="L117" i="3"/>
  <c r="K118" i="3"/>
  <c r="L118" i="3"/>
  <c r="K119" i="3"/>
  <c r="L119" i="3"/>
  <c r="K120" i="3"/>
  <c r="L120" i="3"/>
  <c r="K121" i="3"/>
  <c r="L121" i="3"/>
  <c r="K122" i="3"/>
  <c r="L122" i="3"/>
  <c r="K123" i="3"/>
  <c r="L123" i="3"/>
  <c r="K124" i="3"/>
  <c r="L124" i="3"/>
  <c r="K125" i="3"/>
  <c r="L125" i="3"/>
  <c r="K126" i="3"/>
  <c r="L126" i="3"/>
  <c r="K127" i="3"/>
  <c r="L127" i="3"/>
  <c r="K128" i="3"/>
  <c r="L128" i="3"/>
  <c r="K129" i="3"/>
  <c r="L129" i="3"/>
  <c r="K130" i="3"/>
  <c r="L130" i="3"/>
  <c r="P11" i="3"/>
  <c r="O11" i="3"/>
  <c r="L11" i="3"/>
  <c r="K11" i="3"/>
  <c r="C12" i="3"/>
  <c r="C13" i="3"/>
  <c r="C14" i="3"/>
  <c r="C15" i="3"/>
  <c r="C16" i="3"/>
  <c r="C17" i="3"/>
  <c r="C18" i="3"/>
  <c r="C19" i="3"/>
  <c r="C20" i="3"/>
  <c r="C21" i="3"/>
  <c r="C22" i="3"/>
  <c r="C23" i="3"/>
  <c r="I24" i="5" s="1"/>
  <c r="J24" i="5" s="1"/>
  <c r="C24" i="3"/>
  <c r="I25" i="5" s="1"/>
  <c r="J25" i="5" s="1"/>
  <c r="C25" i="3"/>
  <c r="C26" i="3"/>
  <c r="I27" i="5" s="1"/>
  <c r="J27" i="5" s="1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I61" i="5" s="1"/>
  <c r="J61" i="5" s="1"/>
  <c r="C61" i="3"/>
  <c r="C62" i="3"/>
  <c r="I63" i="5" s="1"/>
  <c r="J63" i="5" s="1"/>
  <c r="C63" i="3"/>
  <c r="C64" i="3"/>
  <c r="C65" i="3"/>
  <c r="C66" i="3"/>
  <c r="I67" i="5" s="1"/>
  <c r="J67" i="5" s="1"/>
  <c r="C67" i="3"/>
  <c r="I68" i="5" s="1"/>
  <c r="C68" i="3"/>
  <c r="I69" i="5" s="1"/>
  <c r="J69" i="5" s="1"/>
  <c r="C69" i="3"/>
  <c r="C70" i="3"/>
  <c r="C71" i="3"/>
  <c r="C72" i="3"/>
  <c r="C73" i="3"/>
  <c r="C74" i="3"/>
  <c r="I75" i="5" s="1"/>
  <c r="J75" i="5" s="1"/>
  <c r="C75" i="3"/>
  <c r="I76" i="5" s="1"/>
  <c r="J76" i="5" s="1"/>
  <c r="C76" i="3"/>
  <c r="I77" i="5" s="1"/>
  <c r="J77" i="5" s="1"/>
  <c r="C77" i="3"/>
  <c r="C78" i="3"/>
  <c r="C79" i="3"/>
  <c r="C80" i="3"/>
  <c r="C81" i="3"/>
  <c r="C82" i="3"/>
  <c r="I83" i="5" s="1"/>
  <c r="J83" i="5" s="1"/>
  <c r="C83" i="3"/>
  <c r="I84" i="5" s="1"/>
  <c r="J84" i="5" s="1"/>
  <c r="C84" i="3"/>
  <c r="I85" i="5" s="1"/>
  <c r="J85" i="5" s="1"/>
  <c r="C85" i="3"/>
  <c r="C86" i="3"/>
  <c r="C87" i="3"/>
  <c r="I88" i="5" s="1"/>
  <c r="J88" i="5" s="1"/>
  <c r="C88" i="3"/>
  <c r="I89" i="5" s="1"/>
  <c r="J89" i="5" s="1"/>
  <c r="C89" i="3"/>
  <c r="C90" i="3"/>
  <c r="C91" i="3"/>
  <c r="I92" i="5" s="1"/>
  <c r="J92" i="5" s="1"/>
  <c r="C92" i="3"/>
  <c r="I93" i="5" s="1"/>
  <c r="J93" i="5" s="1"/>
  <c r="C93" i="3"/>
  <c r="C94" i="3"/>
  <c r="C95" i="3"/>
  <c r="C96" i="3"/>
  <c r="I97" i="5" s="1"/>
  <c r="J97" i="5" s="1"/>
  <c r="C97" i="3"/>
  <c r="C98" i="3"/>
  <c r="I99" i="5" s="1"/>
  <c r="J99" i="5" s="1"/>
  <c r="C99" i="3"/>
  <c r="C100" i="3"/>
  <c r="C101" i="3"/>
  <c r="C102" i="3"/>
  <c r="I103" i="5" s="1"/>
  <c r="J103" i="5" s="1"/>
  <c r="C103" i="3"/>
  <c r="I104" i="5" s="1"/>
  <c r="J104" i="5" s="1"/>
  <c r="C104" i="3"/>
  <c r="C105" i="3"/>
  <c r="C106" i="3"/>
  <c r="I107" i="5" s="1"/>
  <c r="J107" i="5" s="1"/>
  <c r="C107" i="3"/>
  <c r="C108" i="3"/>
  <c r="C109" i="3"/>
  <c r="C110" i="3"/>
  <c r="I111" i="5" s="1"/>
  <c r="J111" i="5" s="1"/>
  <c r="C111" i="3"/>
  <c r="C112" i="3"/>
  <c r="I113" i="5" s="1"/>
  <c r="J113" i="5" s="1"/>
  <c r="C113" i="3"/>
  <c r="C114" i="3"/>
  <c r="C115" i="3"/>
  <c r="C116" i="3"/>
  <c r="I117" i="5" s="1"/>
  <c r="J117" i="5" s="1"/>
  <c r="C117" i="3"/>
  <c r="C118" i="3"/>
  <c r="I119" i="5" s="1"/>
  <c r="J119" i="5" s="1"/>
  <c r="C119" i="3"/>
  <c r="I120" i="5" s="1"/>
  <c r="J120" i="5" s="1"/>
  <c r="C120" i="3"/>
  <c r="I121" i="5" s="1"/>
  <c r="J121" i="5" s="1"/>
  <c r="C121" i="3"/>
  <c r="C122" i="3"/>
  <c r="I123" i="5" s="1"/>
  <c r="J123" i="5" s="1"/>
  <c r="C123" i="3"/>
  <c r="I124" i="5" s="1"/>
  <c r="J124" i="5" s="1"/>
  <c r="C124" i="3"/>
  <c r="I125" i="5" s="1"/>
  <c r="J125" i="5" s="1"/>
  <c r="C125" i="3"/>
  <c r="C126" i="3"/>
  <c r="I127" i="5" s="1"/>
  <c r="J127" i="5" s="1"/>
  <c r="C127" i="3"/>
  <c r="I128" i="5" s="1"/>
  <c r="J128" i="5" s="1"/>
  <c r="C128" i="3"/>
  <c r="I129" i="5" s="1"/>
  <c r="J129" i="5" s="1"/>
  <c r="C129" i="3"/>
  <c r="C130" i="3"/>
  <c r="I131" i="5" s="1"/>
  <c r="J131" i="5" s="1"/>
  <c r="I132" i="5"/>
  <c r="J132" i="5" s="1"/>
  <c r="I133" i="5"/>
  <c r="J133" i="5" s="1"/>
  <c r="I135" i="5"/>
  <c r="J135" i="5" s="1"/>
  <c r="I136" i="5"/>
  <c r="J136" i="5" s="1"/>
  <c r="I137" i="5"/>
  <c r="J137" i="5" s="1"/>
  <c r="I138" i="5"/>
  <c r="J138" i="5" s="1"/>
  <c r="I139" i="5"/>
  <c r="J139" i="5" s="1"/>
  <c r="I140" i="5"/>
  <c r="J140" i="5" s="1"/>
  <c r="I141" i="5"/>
  <c r="J141" i="5" s="1"/>
  <c r="I143" i="5"/>
  <c r="J143" i="5" s="1"/>
  <c r="I144" i="5"/>
  <c r="J144" i="5" s="1"/>
  <c r="I145" i="5"/>
  <c r="J145" i="5" s="1"/>
  <c r="C11" i="3"/>
  <c r="B12" i="3"/>
  <c r="M78" i="3" l="1"/>
  <c r="N28" i="3"/>
  <c r="N119" i="3"/>
  <c r="M111" i="3"/>
  <c r="M82" i="3"/>
  <c r="M50" i="3"/>
  <c r="M125" i="3"/>
  <c r="M26" i="3"/>
  <c r="M126" i="3"/>
  <c r="N73" i="3"/>
  <c r="N57" i="3"/>
  <c r="M108" i="3"/>
  <c r="M104" i="3"/>
  <c r="M100" i="3"/>
  <c r="M59" i="3"/>
  <c r="N91" i="3"/>
  <c r="N85" i="3"/>
  <c r="I119" i="3"/>
  <c r="J119" i="3" s="1"/>
  <c r="N90" i="3"/>
  <c r="M86" i="3"/>
  <c r="M31" i="3"/>
  <c r="M23" i="3"/>
  <c r="I122" i="3"/>
  <c r="J122" i="3" s="1"/>
  <c r="N111" i="3"/>
  <c r="N78" i="3"/>
  <c r="N74" i="3"/>
  <c r="M123" i="3"/>
  <c r="M118" i="3"/>
  <c r="I91" i="3"/>
  <c r="J91" i="3" s="1"/>
  <c r="N77" i="3"/>
  <c r="N61" i="3"/>
  <c r="N53" i="3"/>
  <c r="N45" i="3"/>
  <c r="M39" i="3"/>
  <c r="N31" i="3"/>
  <c r="M18" i="3"/>
  <c r="I84" i="3"/>
  <c r="J84" i="3" s="1"/>
  <c r="I60" i="3"/>
  <c r="J60" i="3" s="1"/>
  <c r="M130" i="3"/>
  <c r="M127" i="3"/>
  <c r="I126" i="3"/>
  <c r="J126" i="3" s="1"/>
  <c r="I123" i="3"/>
  <c r="J123" i="3" s="1"/>
  <c r="M121" i="3"/>
  <c r="N116" i="3"/>
  <c r="N115" i="3"/>
  <c r="N109" i="3"/>
  <c r="N105" i="3"/>
  <c r="N101" i="3"/>
  <c r="N97" i="3"/>
  <c r="I92" i="3"/>
  <c r="J92" i="3" s="1"/>
  <c r="M77" i="3"/>
  <c r="N70" i="3"/>
  <c r="I67" i="3"/>
  <c r="J67" i="3" s="1"/>
  <c r="N46" i="3"/>
  <c r="I26" i="3"/>
  <c r="J26" i="3" s="1"/>
  <c r="N22" i="3"/>
  <c r="M15" i="3"/>
  <c r="I130" i="3"/>
  <c r="J130" i="3" s="1"/>
  <c r="I127" i="3"/>
  <c r="J127" i="3" s="1"/>
  <c r="N123" i="3"/>
  <c r="I68" i="3"/>
  <c r="J68" i="3" s="1"/>
  <c r="N39" i="3"/>
  <c r="N23" i="3"/>
  <c r="M129" i="3"/>
  <c r="N127" i="3"/>
  <c r="M122" i="3"/>
  <c r="M119" i="3"/>
  <c r="M117" i="3"/>
  <c r="N89" i="3"/>
  <c r="N87" i="3"/>
  <c r="N86" i="3"/>
  <c r="I83" i="3"/>
  <c r="J83" i="3" s="1"/>
  <c r="M81" i="3"/>
  <c r="M74" i="3"/>
  <c r="M73" i="3"/>
  <c r="M69" i="3"/>
  <c r="M62" i="3"/>
  <c r="M53" i="3"/>
  <c r="M41" i="3"/>
  <c r="M34" i="3"/>
  <c r="N32" i="3"/>
  <c r="N30" i="3"/>
  <c r="I130" i="5"/>
  <c r="J130" i="5" s="1"/>
  <c r="I129" i="3"/>
  <c r="J129" i="3" s="1"/>
  <c r="I122" i="5"/>
  <c r="J122" i="5" s="1"/>
  <c r="I121" i="3"/>
  <c r="J121" i="3" s="1"/>
  <c r="I114" i="5"/>
  <c r="J114" i="5" s="1"/>
  <c r="I113" i="3"/>
  <c r="J113" i="3" s="1"/>
  <c r="I106" i="5"/>
  <c r="J106" i="5" s="1"/>
  <c r="I105" i="3"/>
  <c r="J105" i="3" s="1"/>
  <c r="I98" i="5"/>
  <c r="J98" i="5" s="1"/>
  <c r="I97" i="3"/>
  <c r="J97" i="3" s="1"/>
  <c r="I90" i="5"/>
  <c r="J90" i="5" s="1"/>
  <c r="I89" i="3"/>
  <c r="J89" i="3" s="1"/>
  <c r="I82" i="5"/>
  <c r="J82" i="5" s="1"/>
  <c r="I81" i="3"/>
  <c r="J81" i="3" s="1"/>
  <c r="I70" i="5"/>
  <c r="J70" i="5" s="1"/>
  <c r="I69" i="3"/>
  <c r="J69" i="3" s="1"/>
  <c r="I62" i="5"/>
  <c r="J62" i="5" s="1"/>
  <c r="I61" i="3"/>
  <c r="J61" i="3" s="1"/>
  <c r="I54" i="5"/>
  <c r="J54" i="5" s="1"/>
  <c r="I53" i="3"/>
  <c r="J53" i="3" s="1"/>
  <c r="I46" i="5"/>
  <c r="J46" i="5" s="1"/>
  <c r="I45" i="3"/>
  <c r="J45" i="3" s="1"/>
  <c r="I34" i="5"/>
  <c r="J34" i="5" s="1"/>
  <c r="I33" i="3"/>
  <c r="J33" i="3" s="1"/>
  <c r="I22" i="5"/>
  <c r="J22" i="5" s="1"/>
  <c r="I21" i="3"/>
  <c r="J21" i="3" s="1"/>
  <c r="I14" i="5"/>
  <c r="J14" i="5" s="1"/>
  <c r="I13" i="3"/>
  <c r="J13" i="3" s="1"/>
  <c r="O12" i="3"/>
  <c r="Q12" i="3" s="1"/>
  <c r="S12" i="3" s="1"/>
  <c r="P12" i="3"/>
  <c r="B13" i="3"/>
  <c r="I146" i="5"/>
  <c r="J146" i="5" s="1"/>
  <c r="I142" i="5"/>
  <c r="J142" i="5" s="1"/>
  <c r="I134" i="5"/>
  <c r="J134" i="5" s="1"/>
  <c r="I126" i="5"/>
  <c r="J126" i="5" s="1"/>
  <c r="I125" i="3"/>
  <c r="J125" i="3" s="1"/>
  <c r="I118" i="5"/>
  <c r="J118" i="5" s="1"/>
  <c r="I117" i="3"/>
  <c r="J117" i="3" s="1"/>
  <c r="I110" i="5"/>
  <c r="J110" i="5" s="1"/>
  <c r="I109" i="3"/>
  <c r="J109" i="3" s="1"/>
  <c r="I102" i="5"/>
  <c r="J102" i="5" s="1"/>
  <c r="I101" i="3"/>
  <c r="J101" i="3" s="1"/>
  <c r="I94" i="5"/>
  <c r="J94" i="5" s="1"/>
  <c r="I93" i="3"/>
  <c r="J93" i="3" s="1"/>
  <c r="I86" i="5"/>
  <c r="J86" i="5" s="1"/>
  <c r="I85" i="3"/>
  <c r="J85" i="3" s="1"/>
  <c r="I78" i="5"/>
  <c r="J78" i="5" s="1"/>
  <c r="I77" i="3"/>
  <c r="J77" i="3" s="1"/>
  <c r="I74" i="5"/>
  <c r="J74" i="5" s="1"/>
  <c r="I73" i="3"/>
  <c r="J73" i="3" s="1"/>
  <c r="I66" i="5"/>
  <c r="J66" i="5" s="1"/>
  <c r="I65" i="3"/>
  <c r="J65" i="3" s="1"/>
  <c r="I58" i="5"/>
  <c r="J58" i="5" s="1"/>
  <c r="I57" i="3"/>
  <c r="J57" i="3" s="1"/>
  <c r="I50" i="5"/>
  <c r="J50" i="5" s="1"/>
  <c r="I49" i="3"/>
  <c r="J49" i="3" s="1"/>
  <c r="I42" i="5"/>
  <c r="J42" i="5" s="1"/>
  <c r="I41" i="3"/>
  <c r="J41" i="3" s="1"/>
  <c r="I38" i="5"/>
  <c r="J38" i="5" s="1"/>
  <c r="I37" i="3"/>
  <c r="J37" i="3" s="1"/>
  <c r="I30" i="5"/>
  <c r="J30" i="5" s="1"/>
  <c r="I29" i="3"/>
  <c r="J29" i="3" s="1"/>
  <c r="I26" i="5"/>
  <c r="J26" i="5" s="1"/>
  <c r="I25" i="3"/>
  <c r="J25" i="3" s="1"/>
  <c r="I18" i="5"/>
  <c r="J18" i="5" s="1"/>
  <c r="I17" i="3"/>
  <c r="J17" i="3" s="1"/>
  <c r="S11" i="3"/>
  <c r="R11" i="3"/>
  <c r="Y11" i="3" s="1"/>
  <c r="M128" i="3"/>
  <c r="I81" i="5"/>
  <c r="J81" i="5" s="1"/>
  <c r="I80" i="3"/>
  <c r="J80" i="3" s="1"/>
  <c r="I53" i="5"/>
  <c r="J53" i="5" s="1"/>
  <c r="I52" i="3"/>
  <c r="J52" i="3" s="1"/>
  <c r="N124" i="3"/>
  <c r="N120" i="3"/>
  <c r="I118" i="3"/>
  <c r="J118" i="3" s="1"/>
  <c r="I82" i="3"/>
  <c r="J82" i="3" s="1"/>
  <c r="I66" i="3"/>
  <c r="J66" i="3" s="1"/>
  <c r="N58" i="3"/>
  <c r="M58" i="3"/>
  <c r="N42" i="3"/>
  <c r="M42" i="3"/>
  <c r="M27" i="3"/>
  <c r="N27" i="3"/>
  <c r="I24" i="3"/>
  <c r="J24" i="3" s="1"/>
  <c r="I23" i="3"/>
  <c r="J23" i="3" s="1"/>
  <c r="M49" i="3"/>
  <c r="N49" i="3"/>
  <c r="I65" i="5"/>
  <c r="J65" i="5" s="1"/>
  <c r="I64" i="3"/>
  <c r="J64" i="3" s="1"/>
  <c r="I57" i="5"/>
  <c r="J57" i="5" s="1"/>
  <c r="I56" i="3"/>
  <c r="J56" i="3" s="1"/>
  <c r="I49" i="5"/>
  <c r="J49" i="5" s="1"/>
  <c r="I48" i="3"/>
  <c r="J48" i="3" s="1"/>
  <c r="I41" i="5"/>
  <c r="J41" i="5" s="1"/>
  <c r="I40" i="3"/>
  <c r="J40" i="3" s="1"/>
  <c r="I37" i="5"/>
  <c r="J37" i="5" s="1"/>
  <c r="I36" i="3"/>
  <c r="J36" i="3" s="1"/>
  <c r="I33" i="5"/>
  <c r="I32" i="3"/>
  <c r="J32" i="3" s="1"/>
  <c r="I29" i="5"/>
  <c r="J29" i="5" s="1"/>
  <c r="I28" i="3"/>
  <c r="J28" i="3" s="1"/>
  <c r="I21" i="5"/>
  <c r="I20" i="3"/>
  <c r="J20" i="3" s="1"/>
  <c r="I13" i="5"/>
  <c r="J13" i="5" s="1"/>
  <c r="I12" i="3"/>
  <c r="J12" i="3" s="1"/>
  <c r="I116" i="5"/>
  <c r="J116" i="5" s="1"/>
  <c r="I115" i="3"/>
  <c r="J115" i="3" s="1"/>
  <c r="I112" i="5"/>
  <c r="J112" i="5" s="1"/>
  <c r="I111" i="3"/>
  <c r="J111" i="3" s="1"/>
  <c r="I108" i="5"/>
  <c r="J108" i="5" s="1"/>
  <c r="I107" i="3"/>
  <c r="J107" i="3" s="1"/>
  <c r="I100" i="5"/>
  <c r="J100" i="5" s="1"/>
  <c r="I99" i="3"/>
  <c r="J99" i="3" s="1"/>
  <c r="I96" i="5"/>
  <c r="J96" i="5" s="1"/>
  <c r="I95" i="3"/>
  <c r="J95" i="3" s="1"/>
  <c r="I80" i="5"/>
  <c r="J80" i="5" s="1"/>
  <c r="I79" i="3"/>
  <c r="J79" i="3" s="1"/>
  <c r="I72" i="5"/>
  <c r="J72" i="5" s="1"/>
  <c r="I71" i="3"/>
  <c r="J71" i="3" s="1"/>
  <c r="J68" i="5"/>
  <c r="X68" i="5" s="1"/>
  <c r="AB68" i="5" s="1"/>
  <c r="I64" i="5"/>
  <c r="J64" i="5" s="1"/>
  <c r="I63" i="3"/>
  <c r="J63" i="3" s="1"/>
  <c r="I60" i="5"/>
  <c r="J60" i="5" s="1"/>
  <c r="I59" i="3"/>
  <c r="J59" i="3" s="1"/>
  <c r="I56" i="5"/>
  <c r="J56" i="5" s="1"/>
  <c r="I55" i="3"/>
  <c r="J55" i="3" s="1"/>
  <c r="I52" i="5"/>
  <c r="J52" i="5" s="1"/>
  <c r="I51" i="3"/>
  <c r="J51" i="3" s="1"/>
  <c r="I48" i="5"/>
  <c r="J48" i="5" s="1"/>
  <c r="I47" i="3"/>
  <c r="J47" i="3" s="1"/>
  <c r="I44" i="5"/>
  <c r="J44" i="5" s="1"/>
  <c r="I43" i="3"/>
  <c r="I40" i="5"/>
  <c r="J40" i="5" s="1"/>
  <c r="I39" i="3"/>
  <c r="J39" i="3" s="1"/>
  <c r="I36" i="5"/>
  <c r="J36" i="5" s="1"/>
  <c r="I35" i="3"/>
  <c r="J35" i="3" s="1"/>
  <c r="I32" i="5"/>
  <c r="J32" i="5" s="1"/>
  <c r="I31" i="3"/>
  <c r="J31" i="3" s="1"/>
  <c r="I28" i="5"/>
  <c r="J28" i="5" s="1"/>
  <c r="I27" i="3"/>
  <c r="J27" i="3" s="1"/>
  <c r="I20" i="5"/>
  <c r="J20" i="5" s="1"/>
  <c r="I19" i="3"/>
  <c r="J19" i="3" s="1"/>
  <c r="I16" i="5"/>
  <c r="J16" i="5" s="1"/>
  <c r="I15" i="3"/>
  <c r="J15" i="3" s="1"/>
  <c r="N128" i="3"/>
  <c r="I128" i="3"/>
  <c r="J128" i="3" s="1"/>
  <c r="I124" i="3"/>
  <c r="J124" i="3" s="1"/>
  <c r="I120" i="3"/>
  <c r="J120" i="3" s="1"/>
  <c r="I112" i="3"/>
  <c r="J112" i="3" s="1"/>
  <c r="I88" i="3"/>
  <c r="J88" i="3" s="1"/>
  <c r="I87" i="3"/>
  <c r="J87" i="3" s="1"/>
  <c r="N82" i="3"/>
  <c r="I76" i="3"/>
  <c r="J76" i="3" s="1"/>
  <c r="I75" i="3"/>
  <c r="J75" i="3" s="1"/>
  <c r="M70" i="3"/>
  <c r="N69" i="3"/>
  <c r="N66" i="3"/>
  <c r="I62" i="3"/>
  <c r="J62" i="3" s="1"/>
  <c r="M65" i="3"/>
  <c r="N65" i="3"/>
  <c r="I109" i="5"/>
  <c r="I108" i="3"/>
  <c r="J108" i="3" s="1"/>
  <c r="I105" i="5"/>
  <c r="J105" i="5" s="1"/>
  <c r="I104" i="3"/>
  <c r="J104" i="3" s="1"/>
  <c r="I101" i="5"/>
  <c r="J101" i="5" s="1"/>
  <c r="I100" i="3"/>
  <c r="J100" i="3" s="1"/>
  <c r="I73" i="5"/>
  <c r="J73" i="5" s="1"/>
  <c r="I72" i="3"/>
  <c r="J72" i="3" s="1"/>
  <c r="I45" i="5"/>
  <c r="J45" i="5" s="1"/>
  <c r="I44" i="3"/>
  <c r="J44" i="3" s="1"/>
  <c r="I17" i="5"/>
  <c r="J17" i="5" s="1"/>
  <c r="I16" i="3"/>
  <c r="J16" i="3" s="1"/>
  <c r="I11" i="3"/>
  <c r="J11" i="3" s="1"/>
  <c r="I12" i="5"/>
  <c r="J12" i="5" s="1"/>
  <c r="I115" i="5"/>
  <c r="J115" i="5" s="1"/>
  <c r="I114" i="3"/>
  <c r="J114" i="3" s="1"/>
  <c r="I95" i="5"/>
  <c r="J95" i="5" s="1"/>
  <c r="I94" i="3"/>
  <c r="J94" i="3" s="1"/>
  <c r="I91" i="5"/>
  <c r="J91" i="5" s="1"/>
  <c r="I90" i="3"/>
  <c r="J90" i="3" s="1"/>
  <c r="I87" i="5"/>
  <c r="J87" i="5" s="1"/>
  <c r="I86" i="3"/>
  <c r="J86" i="3" s="1"/>
  <c r="I79" i="5"/>
  <c r="J79" i="5" s="1"/>
  <c r="I78" i="3"/>
  <c r="J78" i="3" s="1"/>
  <c r="I71" i="5"/>
  <c r="J71" i="5" s="1"/>
  <c r="I70" i="3"/>
  <c r="J70" i="3" s="1"/>
  <c r="I59" i="5"/>
  <c r="J59" i="5" s="1"/>
  <c r="I58" i="3"/>
  <c r="J58" i="3" s="1"/>
  <c r="I55" i="5"/>
  <c r="J55" i="5" s="1"/>
  <c r="I54" i="3"/>
  <c r="J54" i="3" s="1"/>
  <c r="I51" i="5"/>
  <c r="J51" i="5" s="1"/>
  <c r="I50" i="3"/>
  <c r="J50" i="3" s="1"/>
  <c r="I47" i="5"/>
  <c r="J47" i="5" s="1"/>
  <c r="I46" i="3"/>
  <c r="J46" i="3" s="1"/>
  <c r="I43" i="5"/>
  <c r="J43" i="5" s="1"/>
  <c r="I42" i="3"/>
  <c r="J42" i="3" s="1"/>
  <c r="I39" i="5"/>
  <c r="J39" i="5" s="1"/>
  <c r="I38" i="3"/>
  <c r="J38" i="3" s="1"/>
  <c r="I35" i="5"/>
  <c r="J35" i="5" s="1"/>
  <c r="I34" i="3"/>
  <c r="J34" i="3" s="1"/>
  <c r="I31" i="5"/>
  <c r="J31" i="5" s="1"/>
  <c r="I30" i="3"/>
  <c r="J30" i="3" s="1"/>
  <c r="I23" i="5"/>
  <c r="J23" i="5" s="1"/>
  <c r="I22" i="3"/>
  <c r="J22" i="3" s="1"/>
  <c r="I19" i="5"/>
  <c r="J19" i="5" s="1"/>
  <c r="I18" i="3"/>
  <c r="J18" i="3" s="1"/>
  <c r="I15" i="5"/>
  <c r="J15" i="5" s="1"/>
  <c r="I14" i="3"/>
  <c r="J14" i="3" s="1"/>
  <c r="M124" i="3"/>
  <c r="M120" i="3"/>
  <c r="I116" i="3"/>
  <c r="J116" i="3" s="1"/>
  <c r="I110" i="3"/>
  <c r="J110" i="3" s="1"/>
  <c r="I106" i="3"/>
  <c r="J106" i="3" s="1"/>
  <c r="I103" i="3"/>
  <c r="J103" i="3" s="1"/>
  <c r="I102" i="3"/>
  <c r="J102" i="3" s="1"/>
  <c r="I98" i="3"/>
  <c r="J98" i="3" s="1"/>
  <c r="I96" i="3"/>
  <c r="J96" i="3" s="1"/>
  <c r="M90" i="3"/>
  <c r="N81" i="3"/>
  <c r="I74" i="3"/>
  <c r="J74" i="3" s="1"/>
  <c r="M110" i="3"/>
  <c r="M96" i="3"/>
  <c r="M89" i="3"/>
  <c r="M85" i="3"/>
  <c r="N62" i="3"/>
  <c r="N59" i="3"/>
  <c r="M35" i="3"/>
  <c r="N35" i="3"/>
  <c r="N114" i="3"/>
  <c r="N110" i="3"/>
  <c r="N93" i="3"/>
  <c r="N54" i="3"/>
  <c r="M54" i="3"/>
  <c r="M19" i="3"/>
  <c r="N19" i="3"/>
  <c r="M61" i="3"/>
  <c r="N50" i="3"/>
  <c r="M46" i="3"/>
  <c r="M45" i="3"/>
  <c r="N41" i="3"/>
  <c r="N34" i="3"/>
  <c r="M30" i="3"/>
  <c r="N26" i="3"/>
  <c r="M22" i="3"/>
  <c r="N18" i="3"/>
  <c r="M14" i="3"/>
  <c r="X89" i="5"/>
  <c r="AB89" i="5" s="1"/>
  <c r="X97" i="5"/>
  <c r="AB97" i="5" s="1"/>
  <c r="M57" i="3"/>
  <c r="M32" i="3"/>
  <c r="X128" i="5"/>
  <c r="AB128" i="5" s="1"/>
  <c r="M28" i="3"/>
  <c r="X25" i="5"/>
  <c r="AB25" i="5" s="1"/>
  <c r="X85" i="5"/>
  <c r="AB85" i="5" s="1"/>
  <c r="X93" i="5"/>
  <c r="AB93" i="5" s="1"/>
  <c r="X125" i="5"/>
  <c r="AB125" i="5" s="1"/>
  <c r="V58" i="5"/>
  <c r="V76" i="5"/>
  <c r="V84" i="5"/>
  <c r="Y34" i="5"/>
  <c r="U34" i="5"/>
  <c r="U46" i="5"/>
  <c r="Y46" i="5"/>
  <c r="W47" i="5"/>
  <c r="Y15" i="5"/>
  <c r="U15" i="5"/>
  <c r="Y19" i="5"/>
  <c r="U19" i="5"/>
  <c r="Y23" i="5"/>
  <c r="U23" i="5"/>
  <c r="T34" i="5"/>
  <c r="Y38" i="5"/>
  <c r="U38" i="5"/>
  <c r="W38" i="5" s="1"/>
  <c r="U18" i="5"/>
  <c r="W18" i="5" s="1"/>
  <c r="Y18" i="5"/>
  <c r="U27" i="5"/>
  <c r="Y27" i="5"/>
  <c r="Y41" i="5"/>
  <c r="U41" i="5"/>
  <c r="W48" i="5"/>
  <c r="V48" i="5"/>
  <c r="T31" i="5"/>
  <c r="V31" i="5" s="1"/>
  <c r="T39" i="5"/>
  <c r="V39" i="5" s="1"/>
  <c r="Y54" i="5"/>
  <c r="U54" i="5"/>
  <c r="T49" i="5"/>
  <c r="W56" i="5"/>
  <c r="W57" i="5"/>
  <c r="W60" i="5"/>
  <c r="X61" i="5"/>
  <c r="AB61" i="5" s="1"/>
  <c r="T74" i="5"/>
  <c r="V74" i="5" s="1"/>
  <c r="U67" i="5"/>
  <c r="Y67" i="5"/>
  <c r="W115" i="5"/>
  <c r="T73" i="5"/>
  <c r="W75" i="5"/>
  <c r="W86" i="5"/>
  <c r="W90" i="5"/>
  <c r="W94" i="5"/>
  <c r="W98" i="5"/>
  <c r="W102" i="5"/>
  <c r="W106" i="5"/>
  <c r="W110" i="5"/>
  <c r="X119" i="5"/>
  <c r="AB119" i="5" s="1"/>
  <c r="U66" i="5"/>
  <c r="Y66" i="5"/>
  <c r="W69" i="5"/>
  <c r="X69" i="5" s="1"/>
  <c r="AB69" i="5" s="1"/>
  <c r="T70" i="5"/>
  <c r="V70" i="5" s="1"/>
  <c r="U77" i="5"/>
  <c r="Y77" i="5"/>
  <c r="T81" i="5"/>
  <c r="U121" i="5"/>
  <c r="Y121" i="5"/>
  <c r="T117" i="5"/>
  <c r="U123" i="5"/>
  <c r="Y123" i="5"/>
  <c r="W127" i="5"/>
  <c r="X127" i="5" s="1"/>
  <c r="AB127" i="5" s="1"/>
  <c r="T138" i="5"/>
  <c r="W133" i="5"/>
  <c r="X133" i="5" s="1"/>
  <c r="AB133" i="5" s="1"/>
  <c r="X137" i="5"/>
  <c r="AB137" i="5" s="1"/>
  <c r="U130" i="5"/>
  <c r="W130" i="5" s="1"/>
  <c r="Y130" i="5"/>
  <c r="U142" i="5"/>
  <c r="W142" i="5" s="1"/>
  <c r="Y142" i="5"/>
  <c r="W145" i="5"/>
  <c r="X145" i="5" s="1"/>
  <c r="AB145" i="5" s="1"/>
  <c r="U147" i="5"/>
  <c r="Y147" i="5"/>
  <c r="T151" i="5"/>
  <c r="V151" i="5" s="1"/>
  <c r="W170" i="5"/>
  <c r="X170" i="5" s="1"/>
  <c r="AB170" i="5" s="1"/>
  <c r="T180" i="5"/>
  <c r="V180" i="5" s="1"/>
  <c r="U163" i="5"/>
  <c r="Y163" i="5"/>
  <c r="U188" i="5"/>
  <c r="Y188" i="5"/>
  <c r="U184" i="5"/>
  <c r="Y184" i="5"/>
  <c r="T148" i="5"/>
  <c r="V148" i="5" s="1"/>
  <c r="T156" i="5"/>
  <c r="V156" i="5" s="1"/>
  <c r="W174" i="5"/>
  <c r="X174" i="5" s="1"/>
  <c r="AB174" i="5" s="1"/>
  <c r="W182" i="5"/>
  <c r="X182" i="5" s="1"/>
  <c r="AB182" i="5" s="1"/>
  <c r="W158" i="5"/>
  <c r="X158" i="5" s="1"/>
  <c r="AB158" i="5" s="1"/>
  <c r="AH158" i="5" s="1"/>
  <c r="T168" i="5"/>
  <c r="V168" i="5" s="1"/>
  <c r="U179" i="5"/>
  <c r="Y179" i="5"/>
  <c r="U12" i="5"/>
  <c r="Y12" i="5"/>
  <c r="U20" i="5"/>
  <c r="W20" i="5" s="1"/>
  <c r="Y20" i="5"/>
  <c r="Y30" i="5"/>
  <c r="U30" i="5"/>
  <c r="W27" i="5"/>
  <c r="X27" i="5" s="1"/>
  <c r="AB27" i="5" s="1"/>
  <c r="V63" i="5"/>
  <c r="X63" i="5" s="1"/>
  <c r="AB63" i="5" s="1"/>
  <c r="AH63" i="5" s="1"/>
  <c r="W63" i="5"/>
  <c r="W52" i="5"/>
  <c r="W66" i="5"/>
  <c r="Y80" i="5"/>
  <c r="U80" i="5"/>
  <c r="W80" i="5" s="1"/>
  <c r="W88" i="5"/>
  <c r="V88" i="5"/>
  <c r="W96" i="5"/>
  <c r="V96" i="5"/>
  <c r="W104" i="5"/>
  <c r="V104" i="5"/>
  <c r="V118" i="5"/>
  <c r="W118" i="5"/>
  <c r="Y73" i="5"/>
  <c r="U73" i="5"/>
  <c r="X75" i="5"/>
  <c r="AB75" i="5" s="1"/>
  <c r="U81" i="5"/>
  <c r="Y81" i="5"/>
  <c r="W131" i="5"/>
  <c r="X131" i="5" s="1"/>
  <c r="AB131" i="5" s="1"/>
  <c r="W143" i="5"/>
  <c r="X143" i="5" s="1"/>
  <c r="AB143" i="5" s="1"/>
  <c r="V122" i="5"/>
  <c r="U138" i="5"/>
  <c r="Y138" i="5"/>
  <c r="X140" i="5"/>
  <c r="AB140" i="5" s="1"/>
  <c r="U141" i="5"/>
  <c r="Y141" i="5"/>
  <c r="U113" i="5"/>
  <c r="Y113" i="5"/>
  <c r="W188" i="5"/>
  <c r="U151" i="5"/>
  <c r="W151" i="5" s="1"/>
  <c r="Y151" i="5"/>
  <c r="W162" i="5"/>
  <c r="X162" i="5" s="1"/>
  <c r="AB162" i="5" s="1"/>
  <c r="U172" i="5"/>
  <c r="Y172" i="5"/>
  <c r="U180" i="5"/>
  <c r="Y180" i="5"/>
  <c r="X188" i="5"/>
  <c r="AB188" i="5" s="1"/>
  <c r="U152" i="5"/>
  <c r="Y152" i="5"/>
  <c r="U160" i="5"/>
  <c r="Y160" i="5"/>
  <c r="W146" i="5"/>
  <c r="U164" i="5"/>
  <c r="Y164" i="5"/>
  <c r="U185" i="5"/>
  <c r="Y185" i="5"/>
  <c r="U16" i="5"/>
  <c r="Y16" i="5"/>
  <c r="U24" i="5"/>
  <c r="Y24" i="5"/>
  <c r="T12" i="5"/>
  <c r="V12" i="5" s="1"/>
  <c r="U22" i="5"/>
  <c r="W22" i="5" s="1"/>
  <c r="Y22" i="5"/>
  <c r="U42" i="5"/>
  <c r="Y42" i="5"/>
  <c r="U31" i="5"/>
  <c r="Y31" i="5"/>
  <c r="U39" i="5"/>
  <c r="Y39" i="5"/>
  <c r="W15" i="5"/>
  <c r="W19" i="5"/>
  <c r="W23" i="5"/>
  <c r="T30" i="5"/>
  <c r="T16" i="5"/>
  <c r="V16" i="5" s="1"/>
  <c r="W24" i="5"/>
  <c r="X24" i="5" s="1"/>
  <c r="AB24" i="5" s="1"/>
  <c r="W41" i="5"/>
  <c r="T45" i="5"/>
  <c r="T35" i="5"/>
  <c r="V35" i="5" s="1"/>
  <c r="Y26" i="5"/>
  <c r="U26" i="5"/>
  <c r="W26" i="5" s="1"/>
  <c r="W40" i="5"/>
  <c r="W44" i="5"/>
  <c r="T42" i="5"/>
  <c r="V42" i="5" s="1"/>
  <c r="W43" i="5"/>
  <c r="W50" i="5"/>
  <c r="Y59" i="5"/>
  <c r="U59" i="5"/>
  <c r="W59" i="5" s="1"/>
  <c r="U51" i="5"/>
  <c r="W51" i="5" s="1"/>
  <c r="Y51" i="5"/>
  <c r="W54" i="5"/>
  <c r="U55" i="5"/>
  <c r="W55" i="5" s="1"/>
  <c r="Y55" i="5"/>
  <c r="U62" i="5"/>
  <c r="W62" i="5" s="1"/>
  <c r="Y62" i="5"/>
  <c r="Y76" i="5"/>
  <c r="U76" i="5"/>
  <c r="W76" i="5" s="1"/>
  <c r="W79" i="5"/>
  <c r="W82" i="5"/>
  <c r="X83" i="5"/>
  <c r="AB83" i="5" s="1"/>
  <c r="W111" i="5"/>
  <c r="W87" i="5"/>
  <c r="W91" i="5"/>
  <c r="W95" i="5"/>
  <c r="W99" i="5"/>
  <c r="W103" i="5"/>
  <c r="W107" i="5"/>
  <c r="X111" i="5"/>
  <c r="AB111" i="5" s="1"/>
  <c r="X135" i="5"/>
  <c r="AB135" i="5" s="1"/>
  <c r="W67" i="5"/>
  <c r="W77" i="5"/>
  <c r="X77" i="5" s="1"/>
  <c r="AB77" i="5" s="1"/>
  <c r="T112" i="5"/>
  <c r="V112" i="5" s="1"/>
  <c r="T120" i="5"/>
  <c r="V120" i="5" s="1"/>
  <c r="T126" i="5"/>
  <c r="W114" i="5"/>
  <c r="U122" i="5"/>
  <c r="W122" i="5" s="1"/>
  <c r="Y122" i="5"/>
  <c r="U139" i="5"/>
  <c r="Y139" i="5"/>
  <c r="T116" i="5"/>
  <c r="V116" i="5" s="1"/>
  <c r="W124" i="5"/>
  <c r="X124" i="5" s="1"/>
  <c r="AB124" i="5" s="1"/>
  <c r="W147" i="5"/>
  <c r="W155" i="5"/>
  <c r="X155" i="5" s="1"/>
  <c r="AB155" i="5" s="1"/>
  <c r="W163" i="5"/>
  <c r="W179" i="5"/>
  <c r="W187" i="5"/>
  <c r="T113" i="5"/>
  <c r="T134" i="5"/>
  <c r="W136" i="5"/>
  <c r="X136" i="5" s="1"/>
  <c r="AB136" i="5" s="1"/>
  <c r="W141" i="5"/>
  <c r="X141" i="5" s="1"/>
  <c r="AB141" i="5" s="1"/>
  <c r="X183" i="5"/>
  <c r="AB183" i="5" s="1"/>
  <c r="U155" i="5"/>
  <c r="Y155" i="5"/>
  <c r="T159" i="5"/>
  <c r="V159" i="5" s="1"/>
  <c r="T172" i="5"/>
  <c r="V172" i="5" s="1"/>
  <c r="T187" i="5"/>
  <c r="V187" i="5" s="1"/>
  <c r="W166" i="5"/>
  <c r="X166" i="5" s="1"/>
  <c r="AB166" i="5" s="1"/>
  <c r="U167" i="5"/>
  <c r="W167" i="5" s="1"/>
  <c r="X167" i="5" s="1"/>
  <c r="AB167" i="5" s="1"/>
  <c r="Y167" i="5"/>
  <c r="U176" i="5"/>
  <c r="Y176" i="5"/>
  <c r="T152" i="5"/>
  <c r="V152" i="5" s="1"/>
  <c r="T160" i="5"/>
  <c r="V160" i="5" s="1"/>
  <c r="U171" i="5"/>
  <c r="W171" i="5" s="1"/>
  <c r="X171" i="5" s="1"/>
  <c r="AB171" i="5" s="1"/>
  <c r="Y171" i="5"/>
  <c r="W186" i="5"/>
  <c r="X186" i="5" s="1"/>
  <c r="AB186" i="5" s="1"/>
  <c r="W150" i="5"/>
  <c r="X150" i="5" s="1"/>
  <c r="AB150" i="5" s="1"/>
  <c r="T164" i="5"/>
  <c r="V164" i="5" s="1"/>
  <c r="T175" i="5"/>
  <c r="V175" i="5" s="1"/>
  <c r="T185" i="5"/>
  <c r="W39" i="5"/>
  <c r="U14" i="5"/>
  <c r="W14" i="5" s="1"/>
  <c r="Y14" i="5"/>
  <c r="Y45" i="5"/>
  <c r="U45" i="5"/>
  <c r="U35" i="5"/>
  <c r="Y35" i="5"/>
  <c r="T46" i="5"/>
  <c r="V46" i="5" s="1"/>
  <c r="U49" i="5"/>
  <c r="Y49" i="5"/>
  <c r="U58" i="5"/>
  <c r="W58" i="5" s="1"/>
  <c r="Y58" i="5"/>
  <c r="U74" i="5"/>
  <c r="W74" i="5" s="1"/>
  <c r="Y74" i="5"/>
  <c r="X67" i="5"/>
  <c r="AB67" i="5" s="1"/>
  <c r="W78" i="5"/>
  <c r="Y84" i="5"/>
  <c r="U84" i="5"/>
  <c r="W84" i="5" s="1"/>
  <c r="W92" i="5"/>
  <c r="V92" i="5"/>
  <c r="X92" i="5" s="1"/>
  <c r="AB92" i="5" s="1"/>
  <c r="W100" i="5"/>
  <c r="V100" i="5"/>
  <c r="W108" i="5"/>
  <c r="V108" i="5"/>
  <c r="X99" i="5"/>
  <c r="AB99" i="5" s="1"/>
  <c r="X103" i="5"/>
  <c r="AB103" i="5" s="1"/>
  <c r="X107" i="5"/>
  <c r="AB107" i="5" s="1"/>
  <c r="U70" i="5"/>
  <c r="Y70" i="5"/>
  <c r="U112" i="5"/>
  <c r="Y112" i="5"/>
  <c r="U120" i="5"/>
  <c r="Y120" i="5"/>
  <c r="U126" i="5"/>
  <c r="Y126" i="5"/>
  <c r="W144" i="5"/>
  <c r="X144" i="5" s="1"/>
  <c r="AB144" i="5" s="1"/>
  <c r="U117" i="5"/>
  <c r="Y117" i="5"/>
  <c r="W123" i="5"/>
  <c r="X123" i="5" s="1"/>
  <c r="AB123" i="5" s="1"/>
  <c r="U116" i="5"/>
  <c r="Y116" i="5"/>
  <c r="U129" i="5"/>
  <c r="W129" i="5" s="1"/>
  <c r="X129" i="5" s="1"/>
  <c r="AB129" i="5" s="1"/>
  <c r="Y129" i="5"/>
  <c r="W139" i="5"/>
  <c r="X139" i="5" s="1"/>
  <c r="AB139" i="5" s="1"/>
  <c r="U144" i="5"/>
  <c r="Y144" i="5"/>
  <c r="W121" i="5"/>
  <c r="X121" i="5" s="1"/>
  <c r="AB121" i="5" s="1"/>
  <c r="W132" i="5"/>
  <c r="X132" i="5" s="1"/>
  <c r="AB132" i="5" s="1"/>
  <c r="U134" i="5"/>
  <c r="Y134" i="5"/>
  <c r="W160" i="5"/>
  <c r="W176" i="5"/>
  <c r="X176" i="5" s="1"/>
  <c r="AB176" i="5" s="1"/>
  <c r="W180" i="5"/>
  <c r="W184" i="5"/>
  <c r="X184" i="5" s="1"/>
  <c r="AB184" i="5" s="1"/>
  <c r="X147" i="5"/>
  <c r="AB147" i="5" s="1"/>
  <c r="U159" i="5"/>
  <c r="Y159" i="5"/>
  <c r="U187" i="5"/>
  <c r="Y187" i="5"/>
  <c r="X163" i="5"/>
  <c r="AB163" i="5" s="1"/>
  <c r="U148" i="5"/>
  <c r="W148" i="5" s="1"/>
  <c r="Y148" i="5"/>
  <c r="U156" i="5"/>
  <c r="W156" i="5" s="1"/>
  <c r="Y156" i="5"/>
  <c r="W178" i="5"/>
  <c r="X178" i="5" s="1"/>
  <c r="AB178" i="5" s="1"/>
  <c r="W190" i="5"/>
  <c r="X190" i="5" s="1"/>
  <c r="AB190" i="5" s="1"/>
  <c r="W154" i="5"/>
  <c r="X154" i="5" s="1"/>
  <c r="AB154" i="5" s="1"/>
  <c r="U168" i="5"/>
  <c r="W168" i="5" s="1"/>
  <c r="Y168" i="5"/>
  <c r="U175" i="5"/>
  <c r="Y175" i="5"/>
  <c r="X179" i="5"/>
  <c r="AB179" i="5" s="1"/>
  <c r="T11" i="5"/>
  <c r="V11" i="5" s="1"/>
  <c r="Y11" i="5"/>
  <c r="U11" i="5"/>
  <c r="W11" i="5" s="1"/>
  <c r="X11" i="5" s="1"/>
  <c r="AB11" i="5" s="1"/>
  <c r="AH11" i="5" s="1"/>
  <c r="M92" i="3"/>
  <c r="N92" i="3"/>
  <c r="M80" i="3"/>
  <c r="N80" i="3"/>
  <c r="N130" i="3"/>
  <c r="N126" i="3"/>
  <c r="N122" i="3"/>
  <c r="N118" i="3"/>
  <c r="M115" i="3"/>
  <c r="M114" i="3"/>
  <c r="M112" i="3"/>
  <c r="N112" i="3"/>
  <c r="M102" i="3"/>
  <c r="N102" i="3"/>
  <c r="M94" i="3"/>
  <c r="N94" i="3"/>
  <c r="M72" i="3"/>
  <c r="N72" i="3"/>
  <c r="M103" i="3"/>
  <c r="N103" i="3"/>
  <c r="M95" i="3"/>
  <c r="N95" i="3"/>
  <c r="N129" i="3"/>
  <c r="N125" i="3"/>
  <c r="N121" i="3"/>
  <c r="N117" i="3"/>
  <c r="M113" i="3"/>
  <c r="N113" i="3"/>
  <c r="M107" i="3"/>
  <c r="N107" i="3"/>
  <c r="M99" i="3"/>
  <c r="N99" i="3"/>
  <c r="M84" i="3"/>
  <c r="N84" i="3"/>
  <c r="M64" i="3"/>
  <c r="N64" i="3"/>
  <c r="M106" i="3"/>
  <c r="N106" i="3"/>
  <c r="M98" i="3"/>
  <c r="N98" i="3"/>
  <c r="M88" i="3"/>
  <c r="N88" i="3"/>
  <c r="M109" i="3"/>
  <c r="M105" i="3"/>
  <c r="M101" i="3"/>
  <c r="M97" i="3"/>
  <c r="M93" i="3"/>
  <c r="M91" i="3"/>
  <c r="M87" i="3"/>
  <c r="M83" i="3"/>
  <c r="N83" i="3"/>
  <c r="M75" i="3"/>
  <c r="N75" i="3"/>
  <c r="M67" i="3"/>
  <c r="N67" i="3"/>
  <c r="M17" i="3"/>
  <c r="N17" i="3"/>
  <c r="M76" i="3"/>
  <c r="N76" i="3"/>
  <c r="M68" i="3"/>
  <c r="N68" i="3"/>
  <c r="N60" i="3"/>
  <c r="M60" i="3"/>
  <c r="M55" i="3"/>
  <c r="N55" i="3"/>
  <c r="N108" i="3"/>
  <c r="N104" i="3"/>
  <c r="N100" i="3"/>
  <c r="N96" i="3"/>
  <c r="M79" i="3"/>
  <c r="N79" i="3"/>
  <c r="M71" i="3"/>
  <c r="N71" i="3"/>
  <c r="M63" i="3"/>
  <c r="N63" i="3"/>
  <c r="M47" i="3"/>
  <c r="N47" i="3"/>
  <c r="M48" i="3"/>
  <c r="N48" i="3"/>
  <c r="M40" i="3"/>
  <c r="N40" i="3"/>
  <c r="M38" i="3"/>
  <c r="N38" i="3"/>
  <c r="M56" i="3"/>
  <c r="N56" i="3"/>
  <c r="M51" i="3"/>
  <c r="N51" i="3"/>
  <c r="M43" i="3"/>
  <c r="N43" i="3"/>
  <c r="M33" i="3"/>
  <c r="N33" i="3"/>
  <c r="M52" i="3"/>
  <c r="N52" i="3"/>
  <c r="M44" i="3"/>
  <c r="N44" i="3"/>
  <c r="M25" i="3"/>
  <c r="N25" i="3"/>
  <c r="M36" i="3"/>
  <c r="N36" i="3"/>
  <c r="M20" i="3"/>
  <c r="N20" i="3"/>
  <c r="M12" i="3"/>
  <c r="N12" i="3"/>
  <c r="M37" i="3"/>
  <c r="N37" i="3"/>
  <c r="M29" i="3"/>
  <c r="N29" i="3"/>
  <c r="M21" i="3"/>
  <c r="N21" i="3"/>
  <c r="M13" i="3"/>
  <c r="N13" i="3"/>
  <c r="M24" i="3"/>
  <c r="N24" i="3"/>
  <c r="M16" i="3"/>
  <c r="N16" i="3"/>
  <c r="M11" i="3"/>
  <c r="N11" i="3"/>
  <c r="X106" i="5" l="1"/>
  <c r="AB106" i="5" s="1"/>
  <c r="X54" i="5"/>
  <c r="AB54" i="5" s="1"/>
  <c r="X44" i="5"/>
  <c r="AB44" i="5" s="1"/>
  <c r="X15" i="5"/>
  <c r="AB15" i="5" s="1"/>
  <c r="X66" i="5"/>
  <c r="AB66" i="5" s="1"/>
  <c r="X38" i="5"/>
  <c r="AB38" i="5" s="1"/>
  <c r="X13" i="5"/>
  <c r="AB13" i="5" s="1"/>
  <c r="X72" i="5"/>
  <c r="AB72" i="5" s="1"/>
  <c r="X50" i="5"/>
  <c r="AB50" i="5" s="1"/>
  <c r="X65" i="5"/>
  <c r="AB65" i="5" s="1"/>
  <c r="X94" i="5"/>
  <c r="AB94" i="5" s="1"/>
  <c r="X105" i="5"/>
  <c r="AB105" i="5" s="1"/>
  <c r="X91" i="5"/>
  <c r="AB91" i="5" s="1"/>
  <c r="X90" i="5"/>
  <c r="AB90" i="5" s="1"/>
  <c r="X78" i="5"/>
  <c r="AB78" i="5" s="1"/>
  <c r="X14" i="5"/>
  <c r="AB14" i="5" s="1"/>
  <c r="X26" i="5"/>
  <c r="AB26" i="5" s="1"/>
  <c r="X142" i="5"/>
  <c r="AB142" i="5" s="1"/>
  <c r="X110" i="5"/>
  <c r="AB110" i="5" s="1"/>
  <c r="X29" i="5"/>
  <c r="AB29" i="5" s="1"/>
  <c r="X60" i="5"/>
  <c r="AB60" i="5" s="1"/>
  <c r="X55" i="5"/>
  <c r="AB55" i="5" s="1"/>
  <c r="X19" i="5"/>
  <c r="AB19" i="5" s="1"/>
  <c r="X47" i="5"/>
  <c r="AB47" i="5" s="1"/>
  <c r="X20" i="5"/>
  <c r="AB20" i="5" s="1"/>
  <c r="X32" i="5"/>
  <c r="AB32" i="5" s="1"/>
  <c r="X87" i="5"/>
  <c r="AB87" i="5" s="1"/>
  <c r="X101" i="5"/>
  <c r="AB101" i="5" s="1"/>
  <c r="X114" i="5"/>
  <c r="AB114" i="5" s="1"/>
  <c r="X82" i="5"/>
  <c r="AB82" i="5" s="1"/>
  <c r="X56" i="5"/>
  <c r="AB56" i="5" s="1"/>
  <c r="X40" i="5"/>
  <c r="AB40" i="5" s="1"/>
  <c r="X102" i="5"/>
  <c r="AB102" i="5" s="1"/>
  <c r="X86" i="5"/>
  <c r="AB86" i="5" s="1"/>
  <c r="X71" i="5"/>
  <c r="AB71" i="5" s="1"/>
  <c r="X108" i="5"/>
  <c r="AB108" i="5" s="1"/>
  <c r="X95" i="5"/>
  <c r="AB95" i="5" s="1"/>
  <c r="X96" i="5"/>
  <c r="AB96" i="5" s="1"/>
  <c r="X64" i="5"/>
  <c r="AB64" i="5" s="1"/>
  <c r="AH64" i="5" s="1"/>
  <c r="X98" i="5"/>
  <c r="AB98" i="5" s="1"/>
  <c r="X130" i="5"/>
  <c r="AB130" i="5" s="1"/>
  <c r="X17" i="5"/>
  <c r="AB17" i="5" s="1"/>
  <c r="T11" i="3"/>
  <c r="V11" i="3" s="1"/>
  <c r="X62" i="5"/>
  <c r="AB62" i="5" s="1"/>
  <c r="R12" i="3"/>
  <c r="T12" i="3" s="1"/>
  <c r="V12" i="3" s="1"/>
  <c r="U11" i="3"/>
  <c r="X22" i="5"/>
  <c r="AB22" i="5" s="1"/>
  <c r="J109" i="5"/>
  <c r="X109" i="5" s="1"/>
  <c r="AB109" i="5" s="1"/>
  <c r="J43" i="3"/>
  <c r="J21" i="5"/>
  <c r="X21" i="5" s="1"/>
  <c r="AB21" i="5" s="1"/>
  <c r="J33" i="5"/>
  <c r="X33" i="5" s="1"/>
  <c r="AB33" i="5" s="1"/>
  <c r="X79" i="5"/>
  <c r="AB79" i="5" s="1"/>
  <c r="X51" i="5"/>
  <c r="AB51" i="5" s="1"/>
  <c r="X43" i="5"/>
  <c r="AB43" i="5" s="1"/>
  <c r="X41" i="5"/>
  <c r="AB41" i="5" s="1"/>
  <c r="X115" i="5"/>
  <c r="AB115" i="5" s="1"/>
  <c r="X80" i="5"/>
  <c r="AB80" i="5" s="1"/>
  <c r="X36" i="5"/>
  <c r="AB36" i="5" s="1"/>
  <c r="X53" i="5"/>
  <c r="AB53" i="5" s="1"/>
  <c r="P13" i="3"/>
  <c r="B14" i="3"/>
  <c r="O13" i="3"/>
  <c r="Q13" i="3" s="1"/>
  <c r="X57" i="5"/>
  <c r="AB57" i="5" s="1"/>
  <c r="X52" i="5"/>
  <c r="AB52" i="5" s="1"/>
  <c r="X59" i="5"/>
  <c r="AB59" i="5" s="1"/>
  <c r="X28" i="5"/>
  <c r="AB28" i="5" s="1"/>
  <c r="X23" i="5"/>
  <c r="AB23" i="5" s="1"/>
  <c r="X146" i="5"/>
  <c r="AB146" i="5" s="1"/>
  <c r="X18" i="5"/>
  <c r="AB18" i="5" s="1"/>
  <c r="X37" i="5"/>
  <c r="AB37" i="5" s="1"/>
  <c r="X42" i="5"/>
  <c r="AB42" i="5" s="1"/>
  <c r="V45" i="5"/>
  <c r="W45" i="5"/>
  <c r="X122" i="5"/>
  <c r="AB122" i="5" s="1"/>
  <c r="X58" i="5"/>
  <c r="AB58" i="5" s="1"/>
  <c r="W112" i="5"/>
  <c r="W42" i="5"/>
  <c r="V185" i="5"/>
  <c r="X185" i="5" s="1"/>
  <c r="AB185" i="5" s="1"/>
  <c r="W185" i="5"/>
  <c r="W164" i="5"/>
  <c r="V134" i="5"/>
  <c r="W134" i="5"/>
  <c r="V126" i="5"/>
  <c r="W126" i="5"/>
  <c r="X118" i="5"/>
  <c r="AB118" i="5" s="1"/>
  <c r="X168" i="5"/>
  <c r="AB168" i="5" s="1"/>
  <c r="X156" i="5"/>
  <c r="AB156" i="5" s="1"/>
  <c r="X180" i="5"/>
  <c r="AB180" i="5" s="1"/>
  <c r="W175" i="5"/>
  <c r="V138" i="5"/>
  <c r="X138" i="5" s="1"/>
  <c r="AB138" i="5" s="1"/>
  <c r="W138" i="5"/>
  <c r="V73" i="5"/>
  <c r="X73" i="5" s="1"/>
  <c r="AB73" i="5" s="1"/>
  <c r="W73" i="5"/>
  <c r="X74" i="5"/>
  <c r="AB74" i="5" s="1"/>
  <c r="X48" i="5"/>
  <c r="AB48" i="5" s="1"/>
  <c r="V34" i="5"/>
  <c r="X34" i="5" s="1"/>
  <c r="AB34" i="5" s="1"/>
  <c r="W34" i="5"/>
  <c r="W12" i="5"/>
  <c r="X160" i="5"/>
  <c r="AB160" i="5" s="1"/>
  <c r="X100" i="5"/>
  <c r="AB100" i="5" s="1"/>
  <c r="X175" i="5"/>
  <c r="AB175" i="5" s="1"/>
  <c r="W35" i="5"/>
  <c r="X35" i="5" s="1"/>
  <c r="AB35" i="5" s="1"/>
  <c r="X104" i="5"/>
  <c r="AB104" i="5" s="1"/>
  <c r="X88" i="5"/>
  <c r="AB88" i="5" s="1"/>
  <c r="X148" i="5"/>
  <c r="AB148" i="5" s="1"/>
  <c r="V117" i="5"/>
  <c r="W117" i="5"/>
  <c r="X70" i="5"/>
  <c r="AB70" i="5" s="1"/>
  <c r="W70" i="5"/>
  <c r="W16" i="5"/>
  <c r="X16" i="5" s="1"/>
  <c r="AB16" i="5" s="1"/>
  <c r="W31" i="5"/>
  <c r="X31" i="5" s="1"/>
  <c r="AB31" i="5" s="1"/>
  <c r="W46" i="5"/>
  <c r="X46" i="5" s="1"/>
  <c r="AB46" i="5" s="1"/>
  <c r="X76" i="5"/>
  <c r="AB76" i="5" s="1"/>
  <c r="X164" i="5"/>
  <c r="AB164" i="5" s="1"/>
  <c r="X187" i="5"/>
  <c r="AB187" i="5" s="1"/>
  <c r="V113" i="5"/>
  <c r="X113" i="5" s="1"/>
  <c r="AB113" i="5" s="1"/>
  <c r="W113" i="5"/>
  <c r="X112" i="5"/>
  <c r="AB112" i="5" s="1"/>
  <c r="W116" i="5"/>
  <c r="X116" i="5" s="1"/>
  <c r="AB116" i="5" s="1"/>
  <c r="V30" i="5"/>
  <c r="W30" i="5"/>
  <c r="X12" i="5"/>
  <c r="AB12" i="5" s="1"/>
  <c r="AH12" i="5" s="1"/>
  <c r="W152" i="5"/>
  <c r="X152" i="5" s="1"/>
  <c r="AB152" i="5" s="1"/>
  <c r="W120" i="5"/>
  <c r="X120" i="5" s="1"/>
  <c r="AB120" i="5" s="1"/>
  <c r="X151" i="5"/>
  <c r="AB151" i="5" s="1"/>
  <c r="W172" i="5"/>
  <c r="X172" i="5" s="1"/>
  <c r="AB172" i="5" s="1"/>
  <c r="W159" i="5"/>
  <c r="X159" i="5" s="1"/>
  <c r="AB159" i="5" s="1"/>
  <c r="AH159" i="5" s="1"/>
  <c r="AH160" i="5" s="1"/>
  <c r="AH161" i="5" s="1"/>
  <c r="AH162" i="5" s="1"/>
  <c r="AH163" i="5" s="1"/>
  <c r="V81" i="5"/>
  <c r="W81" i="5"/>
  <c r="V49" i="5"/>
  <c r="X49" i="5" s="1"/>
  <c r="AB49" i="5" s="1"/>
  <c r="W49" i="5"/>
  <c r="X39" i="5"/>
  <c r="AB39" i="5" s="1"/>
  <c r="X84" i="5"/>
  <c r="AB84" i="5" s="1"/>
  <c r="W11" i="3" l="1"/>
  <c r="AB11" i="3" s="1"/>
  <c r="AI11" i="3" s="1"/>
  <c r="U12" i="3"/>
  <c r="W12" i="3" s="1"/>
  <c r="X12" i="3" s="1"/>
  <c r="AB12" i="3" s="1"/>
  <c r="AH13" i="5"/>
  <c r="Y12" i="3"/>
  <c r="AH164" i="5"/>
  <c r="AH165" i="5" s="1"/>
  <c r="AH166" i="5" s="1"/>
  <c r="AH167" i="5" s="1"/>
  <c r="AH168" i="5" s="1"/>
  <c r="AH169" i="5" s="1"/>
  <c r="AH170" i="5" s="1"/>
  <c r="AH171" i="5" s="1"/>
  <c r="AH172" i="5" s="1"/>
  <c r="AH173" i="5" s="1"/>
  <c r="AH174" i="5" s="1"/>
  <c r="AH175" i="5" s="1"/>
  <c r="AH176" i="5" s="1"/>
  <c r="AH177" i="5" s="1"/>
  <c r="AH178" i="5" s="1"/>
  <c r="AH179" i="5" s="1"/>
  <c r="AH180" i="5" s="1"/>
  <c r="AH181" i="5" s="1"/>
  <c r="AH182" i="5" s="1"/>
  <c r="AH183" i="5" s="1"/>
  <c r="AH184" i="5" s="1"/>
  <c r="AH185" i="5" s="1"/>
  <c r="AH186" i="5" s="1"/>
  <c r="AH187" i="5" s="1"/>
  <c r="AH188" i="5" s="1"/>
  <c r="AH189" i="5" s="1"/>
  <c r="AH190" i="5" s="1"/>
  <c r="AH65" i="5"/>
  <c r="AH66" i="5" s="1"/>
  <c r="AH67" i="5" s="1"/>
  <c r="AH68" i="5" s="1"/>
  <c r="AH69" i="5" s="1"/>
  <c r="AH70" i="5" s="1"/>
  <c r="AH71" i="5" s="1"/>
  <c r="AH72" i="5" s="1"/>
  <c r="AH73" i="5" s="1"/>
  <c r="AH74" i="5" s="1"/>
  <c r="AH75" i="5" s="1"/>
  <c r="AH76" i="5" s="1"/>
  <c r="AH77" i="5" s="1"/>
  <c r="AH78" i="5" s="1"/>
  <c r="AH79" i="5" s="1"/>
  <c r="AH80" i="5" s="1"/>
  <c r="AH14" i="5"/>
  <c r="AH15" i="5" s="1"/>
  <c r="AH16" i="5" s="1"/>
  <c r="AH17" i="5" s="1"/>
  <c r="AH18" i="5" s="1"/>
  <c r="AH19" i="5" s="1"/>
  <c r="AH20" i="5" s="1"/>
  <c r="AH21" i="5" s="1"/>
  <c r="AH22" i="5" s="1"/>
  <c r="AH23" i="5" s="1"/>
  <c r="AH24" i="5" s="1"/>
  <c r="AH25" i="5" s="1"/>
  <c r="AH26" i="5" s="1"/>
  <c r="AH27" i="5" s="1"/>
  <c r="AH28" i="5" s="1"/>
  <c r="AH29" i="5" s="1"/>
  <c r="R13" i="3"/>
  <c r="S13" i="3"/>
  <c r="B15" i="3"/>
  <c r="O14" i="3"/>
  <c r="Q14" i="3" s="1"/>
  <c r="P14" i="3"/>
  <c r="X134" i="5"/>
  <c r="AB134" i="5" s="1"/>
  <c r="X30" i="5"/>
  <c r="AB30" i="5" s="1"/>
  <c r="X117" i="5"/>
  <c r="AB117" i="5" s="1"/>
  <c r="X81" i="5"/>
  <c r="AB81" i="5" s="1"/>
  <c r="X126" i="5"/>
  <c r="AB126" i="5" s="1"/>
  <c r="X45" i="5"/>
  <c r="AB45" i="5" s="1"/>
  <c r="AH30" i="5" l="1"/>
  <c r="AH31" i="5" s="1"/>
  <c r="AH32" i="5" s="1"/>
  <c r="AH33" i="5" s="1"/>
  <c r="AH34" i="5" s="1"/>
  <c r="AH35" i="5" s="1"/>
  <c r="AH36" i="5" s="1"/>
  <c r="AH37" i="5" s="1"/>
  <c r="AH38" i="5" s="1"/>
  <c r="AH39" i="5" s="1"/>
  <c r="AH40" i="5" s="1"/>
  <c r="AH41" i="5" s="1"/>
  <c r="AH42" i="5" s="1"/>
  <c r="AH43" i="5" s="1"/>
  <c r="AH44" i="5" s="1"/>
  <c r="AH45" i="5" s="1"/>
  <c r="AH46" i="5" s="1"/>
  <c r="AH47" i="5" s="1"/>
  <c r="AH48" i="5" s="1"/>
  <c r="AH49" i="5" s="1"/>
  <c r="AH50" i="5" s="1"/>
  <c r="AH51" i="5" s="1"/>
  <c r="AH52" i="5" s="1"/>
  <c r="AH53" i="5" s="1"/>
  <c r="AH54" i="5" s="1"/>
  <c r="AH55" i="5" s="1"/>
  <c r="AH56" i="5" s="1"/>
  <c r="AH57" i="5" s="1"/>
  <c r="AH58" i="5" s="1"/>
  <c r="AH59" i="5" s="1"/>
  <c r="AH60" i="5" s="1"/>
  <c r="O15" i="3"/>
  <c r="Q15" i="3" s="1"/>
  <c r="P15" i="3"/>
  <c r="B16" i="3"/>
  <c r="T13" i="3"/>
  <c r="S14" i="3"/>
  <c r="R14" i="3"/>
  <c r="U13" i="3"/>
  <c r="Y13" i="3"/>
  <c r="AH81" i="5"/>
  <c r="AH82" i="5" s="1"/>
  <c r="AH83" i="5" s="1"/>
  <c r="AH84" i="5" s="1"/>
  <c r="AH85" i="5" s="1"/>
  <c r="AH86" i="5" s="1"/>
  <c r="AH87" i="5" s="1"/>
  <c r="AH88" i="5" s="1"/>
  <c r="AH89" i="5" s="1"/>
  <c r="AH90" i="5" s="1"/>
  <c r="AF91" i="5" s="1"/>
  <c r="V13" i="3" l="1"/>
  <c r="W13" i="3"/>
  <c r="O16" i="3"/>
  <c r="Q16" i="3" s="1"/>
  <c r="P16" i="3"/>
  <c r="B17" i="3"/>
  <c r="U14" i="3"/>
  <c r="Y14" i="3"/>
  <c r="T14" i="3"/>
  <c r="V14" i="3" s="1"/>
  <c r="S15" i="3"/>
  <c r="R15" i="3"/>
  <c r="AH91" i="5"/>
  <c r="AH92" i="5" s="1"/>
  <c r="AH93" i="5" s="1"/>
  <c r="AH94" i="5" s="1"/>
  <c r="AH95" i="5" s="1"/>
  <c r="AH96" i="5" s="1"/>
  <c r="AH97" i="5" s="1"/>
  <c r="AH98" i="5" s="1"/>
  <c r="AH99" i="5" s="1"/>
  <c r="AH100" i="5" s="1"/>
  <c r="AH101" i="5" s="1"/>
  <c r="AH102" i="5" s="1"/>
  <c r="AH103" i="5" s="1"/>
  <c r="AH104" i="5" s="1"/>
  <c r="AH105" i="5" s="1"/>
  <c r="AH106" i="5" s="1"/>
  <c r="AH107" i="5" s="1"/>
  <c r="AH108" i="5" s="1"/>
  <c r="AH109" i="5" s="1"/>
  <c r="AH110" i="5" s="1"/>
  <c r="AH111" i="5" s="1"/>
  <c r="AH112" i="5" s="1"/>
  <c r="AH113" i="5" s="1"/>
  <c r="AH114" i="5" s="1"/>
  <c r="AH115" i="5" s="1"/>
  <c r="AH116" i="5" s="1"/>
  <c r="AH117" i="5" s="1"/>
  <c r="AH118" i="5" s="1"/>
  <c r="AH119" i="5" s="1"/>
  <c r="AH120" i="5" s="1"/>
  <c r="AF121" i="5" s="1"/>
  <c r="AH121" i="5" s="1"/>
  <c r="AH122" i="5" s="1"/>
  <c r="AH123" i="5" s="1"/>
  <c r="AH124" i="5" s="1"/>
  <c r="AH125" i="5" s="1"/>
  <c r="AH126" i="5" s="1"/>
  <c r="AH127" i="5" s="1"/>
  <c r="AH128" i="5" s="1"/>
  <c r="AH129" i="5" s="1"/>
  <c r="AH130" i="5" s="1"/>
  <c r="AH131" i="5" s="1"/>
  <c r="AH132" i="5" s="1"/>
  <c r="AH133" i="5" s="1"/>
  <c r="AH134" i="5" s="1"/>
  <c r="AH135" i="5" s="1"/>
  <c r="AH136" i="5" s="1"/>
  <c r="AH137" i="5" s="1"/>
  <c r="AH138" i="5" s="1"/>
  <c r="AH139" i="5" s="1"/>
  <c r="AH140" i="5" s="1"/>
  <c r="AH141" i="5" s="1"/>
  <c r="AH142" i="5" s="1"/>
  <c r="AH143" i="5" s="1"/>
  <c r="AH144" i="5" s="1"/>
  <c r="AH145" i="5" s="1"/>
  <c r="AH146" i="5" s="1"/>
  <c r="AH147" i="5" s="1"/>
  <c r="AH148" i="5" s="1"/>
  <c r="AH149" i="5" s="1"/>
  <c r="AH150" i="5" s="1"/>
  <c r="AH151" i="5" s="1"/>
  <c r="AH152" i="5" s="1"/>
  <c r="AH153" i="5" s="1"/>
  <c r="R16" i="3" l="1"/>
  <c r="S16" i="3"/>
  <c r="U15" i="3"/>
  <c r="Y15" i="3"/>
  <c r="W14" i="3"/>
  <c r="X14" i="3" s="1"/>
  <c r="AB14" i="3" s="1"/>
  <c r="T15" i="3"/>
  <c r="V15" i="3" s="1"/>
  <c r="O17" i="3"/>
  <c r="Q17" i="3" s="1"/>
  <c r="P17" i="3"/>
  <c r="B18" i="3"/>
  <c r="X13" i="3"/>
  <c r="AB13" i="3" s="1"/>
  <c r="W15" i="3" l="1"/>
  <c r="X15" i="3" s="1"/>
  <c r="AB15" i="3" s="1"/>
  <c r="R17" i="3"/>
  <c r="S17" i="3"/>
  <c r="T16" i="3"/>
  <c r="P18" i="3"/>
  <c r="O18" i="3"/>
  <c r="Q18" i="3" s="1"/>
  <c r="B19" i="3"/>
  <c r="U16" i="3"/>
  <c r="Y16" i="3"/>
  <c r="V16" i="3" l="1"/>
  <c r="W16" i="3"/>
  <c r="P19" i="3"/>
  <c r="O19" i="3"/>
  <c r="Q19" i="3" s="1"/>
  <c r="B20" i="3"/>
  <c r="T17" i="3"/>
  <c r="S18" i="3"/>
  <c r="R18" i="3"/>
  <c r="U17" i="3"/>
  <c r="Y17" i="3"/>
  <c r="R19" i="3" l="1"/>
  <c r="S19" i="3"/>
  <c r="T18" i="3"/>
  <c r="V17" i="3"/>
  <c r="W17" i="3"/>
  <c r="X16" i="3"/>
  <c r="AB16" i="3" s="1"/>
  <c r="U18" i="3"/>
  <c r="Y18" i="3"/>
  <c r="O20" i="3"/>
  <c r="Q20" i="3" s="1"/>
  <c r="P20" i="3"/>
  <c r="B21" i="3"/>
  <c r="X17" i="3" l="1"/>
  <c r="AB17" i="3" s="1"/>
  <c r="P21" i="3"/>
  <c r="O21" i="3"/>
  <c r="Q21" i="3" s="1"/>
  <c r="B22" i="3"/>
  <c r="V18" i="3"/>
  <c r="W18" i="3"/>
  <c r="T19" i="3"/>
  <c r="V19" i="3" s="1"/>
  <c r="R20" i="3"/>
  <c r="S20" i="3"/>
  <c r="U19" i="3"/>
  <c r="Y19" i="3"/>
  <c r="T20" i="3" l="1"/>
  <c r="V20" i="3" s="1"/>
  <c r="W19" i="3"/>
  <c r="X19" i="3" s="1"/>
  <c r="AB19" i="3" s="1"/>
  <c r="X18" i="3"/>
  <c r="AB18" i="3" s="1"/>
  <c r="Y20" i="3"/>
  <c r="U20" i="3"/>
  <c r="W20" i="3" s="1"/>
  <c r="O22" i="3"/>
  <c r="Q22" i="3" s="1"/>
  <c r="P22" i="3"/>
  <c r="B23" i="3"/>
  <c r="S21" i="3"/>
  <c r="R21" i="3"/>
  <c r="U21" i="3" l="1"/>
  <c r="Y21" i="3"/>
  <c r="S22" i="3"/>
  <c r="R22" i="3"/>
  <c r="T21" i="3"/>
  <c r="X20" i="3"/>
  <c r="AB20" i="3" s="1"/>
  <c r="O23" i="3"/>
  <c r="Q23" i="3" s="1"/>
  <c r="P23" i="3"/>
  <c r="B24" i="3"/>
  <c r="R23" i="3" l="1"/>
  <c r="S23" i="3"/>
  <c r="Y22" i="3"/>
  <c r="U22" i="3"/>
  <c r="T22" i="3"/>
  <c r="O24" i="3"/>
  <c r="Q24" i="3" s="1"/>
  <c r="P24" i="3"/>
  <c r="B25" i="3"/>
  <c r="V21" i="3"/>
  <c r="W21" i="3"/>
  <c r="R24" i="3" l="1"/>
  <c r="S24" i="3"/>
  <c r="T23" i="3"/>
  <c r="O25" i="3"/>
  <c r="Q25" i="3" s="1"/>
  <c r="P25" i="3"/>
  <c r="B26" i="3"/>
  <c r="X21" i="3"/>
  <c r="AB21" i="3" s="1"/>
  <c r="V22" i="3"/>
  <c r="W22" i="3"/>
  <c r="U23" i="3"/>
  <c r="Y23" i="3"/>
  <c r="X22" i="3" l="1"/>
  <c r="AB22" i="3" s="1"/>
  <c r="R25" i="3"/>
  <c r="S25" i="3"/>
  <c r="V23" i="3"/>
  <c r="W23" i="3"/>
  <c r="P26" i="3"/>
  <c r="O26" i="3"/>
  <c r="Q26" i="3" s="1"/>
  <c r="B27" i="3"/>
  <c r="T24" i="3"/>
  <c r="U24" i="3"/>
  <c r="Y24" i="3"/>
  <c r="X23" i="3" l="1"/>
  <c r="AB23" i="3" s="1"/>
  <c r="T25" i="3"/>
  <c r="V25" i="3" s="1"/>
  <c r="Y25" i="3"/>
  <c r="U25" i="3"/>
  <c r="W25" i="3" s="1"/>
  <c r="P27" i="3"/>
  <c r="O27" i="3"/>
  <c r="Q27" i="3" s="1"/>
  <c r="B28" i="3"/>
  <c r="S26" i="3"/>
  <c r="R26" i="3"/>
  <c r="V24" i="3"/>
  <c r="W24" i="3"/>
  <c r="X25" i="3" l="1"/>
  <c r="AB25" i="3" s="1"/>
  <c r="X24" i="3"/>
  <c r="AB24" i="3" s="1"/>
  <c r="U26" i="3"/>
  <c r="Y26" i="3"/>
  <c r="O28" i="3"/>
  <c r="Q28" i="3" s="1"/>
  <c r="P28" i="3"/>
  <c r="B29" i="3"/>
  <c r="T26" i="3"/>
  <c r="V26" i="3" s="1"/>
  <c r="R27" i="3"/>
  <c r="S27" i="3"/>
  <c r="T27" i="3" l="1"/>
  <c r="V27" i="3" s="1"/>
  <c r="W26" i="3"/>
  <c r="X26" i="3" s="1"/>
  <c r="AB26" i="3" s="1"/>
  <c r="P29" i="3"/>
  <c r="O29" i="3"/>
  <c r="Q29" i="3" s="1"/>
  <c r="B30" i="3"/>
  <c r="Y27" i="3"/>
  <c r="U27" i="3"/>
  <c r="R28" i="3"/>
  <c r="S28" i="3"/>
  <c r="W27" i="3" l="1"/>
  <c r="X27" i="3" s="1"/>
  <c r="AB27" i="3" s="1"/>
  <c r="T28" i="3"/>
  <c r="V28" i="3" s="1"/>
  <c r="Y28" i="3"/>
  <c r="U28" i="3"/>
  <c r="O30" i="3"/>
  <c r="Q30" i="3" s="1"/>
  <c r="P30" i="3"/>
  <c r="B31" i="3"/>
  <c r="R29" i="3"/>
  <c r="S29" i="3"/>
  <c r="W28" i="3" l="1"/>
  <c r="X28" i="3" s="1"/>
  <c r="AB28" i="3" s="1"/>
  <c r="T29" i="3"/>
  <c r="V29" i="3" s="1"/>
  <c r="U29" i="3"/>
  <c r="Y29" i="3"/>
  <c r="S30" i="3"/>
  <c r="R30" i="3"/>
  <c r="O31" i="3"/>
  <c r="Q31" i="3" s="1"/>
  <c r="P31" i="3"/>
  <c r="B32" i="3"/>
  <c r="W29" i="3" l="1"/>
  <c r="X29" i="3" s="1"/>
  <c r="AB29" i="3" s="1"/>
  <c r="U30" i="3"/>
  <c r="Y30" i="3"/>
  <c r="O32" i="3"/>
  <c r="Q32" i="3" s="1"/>
  <c r="P32" i="3"/>
  <c r="B33" i="3"/>
  <c r="T30" i="3"/>
  <c r="V30" i="3" s="1"/>
  <c r="R31" i="3"/>
  <c r="S31" i="3"/>
  <c r="W30" i="3" l="1"/>
  <c r="X30" i="3" s="1"/>
  <c r="AB30" i="3" s="1"/>
  <c r="T31" i="3"/>
  <c r="R32" i="3"/>
  <c r="S32" i="3"/>
  <c r="O33" i="3"/>
  <c r="Q33" i="3" s="1"/>
  <c r="P33" i="3"/>
  <c r="B34" i="3"/>
  <c r="U31" i="3"/>
  <c r="Y31" i="3"/>
  <c r="T32" i="3" l="1"/>
  <c r="V32" i="3" s="1"/>
  <c r="U32" i="3"/>
  <c r="Y32" i="3"/>
  <c r="P34" i="3"/>
  <c r="O34" i="3"/>
  <c r="Q34" i="3" s="1"/>
  <c r="B35" i="3"/>
  <c r="R33" i="3"/>
  <c r="S33" i="3"/>
  <c r="V31" i="3"/>
  <c r="W31" i="3"/>
  <c r="X31" i="3" l="1"/>
  <c r="AB31" i="3" s="1"/>
  <c r="W32" i="3"/>
  <c r="X32" i="3" s="1"/>
  <c r="AB32" i="3" s="1"/>
  <c r="P35" i="3"/>
  <c r="O35" i="3"/>
  <c r="Q35" i="3" s="1"/>
  <c r="B36" i="3"/>
  <c r="S34" i="3"/>
  <c r="R34" i="3"/>
  <c r="T33" i="3"/>
  <c r="Y33" i="3"/>
  <c r="U33" i="3"/>
  <c r="O36" i="3" l="1"/>
  <c r="Q36" i="3" s="1"/>
  <c r="P36" i="3"/>
  <c r="B37" i="3"/>
  <c r="V33" i="3"/>
  <c r="W33" i="3"/>
  <c r="U34" i="3"/>
  <c r="Y34" i="3"/>
  <c r="R35" i="3"/>
  <c r="S35" i="3"/>
  <c r="T34" i="3"/>
  <c r="T35" i="3" l="1"/>
  <c r="V35" i="3" s="1"/>
  <c r="X33" i="3"/>
  <c r="AB33" i="3" s="1"/>
  <c r="P37" i="3"/>
  <c r="O37" i="3"/>
  <c r="Q37" i="3" s="1"/>
  <c r="B38" i="3"/>
  <c r="R36" i="3"/>
  <c r="S36" i="3"/>
  <c r="V34" i="3"/>
  <c r="W34" i="3"/>
  <c r="U35" i="3"/>
  <c r="W35" i="3" s="1"/>
  <c r="Y35" i="3"/>
  <c r="X35" i="3" l="1"/>
  <c r="AB35" i="3" s="1"/>
  <c r="R37" i="3"/>
  <c r="S37" i="3"/>
  <c r="T36" i="3"/>
  <c r="O38" i="3"/>
  <c r="Q38" i="3" s="1"/>
  <c r="P38" i="3"/>
  <c r="B39" i="3"/>
  <c r="X34" i="3"/>
  <c r="AB34" i="3" s="1"/>
  <c r="U36" i="3"/>
  <c r="Y36" i="3"/>
  <c r="R38" i="3" l="1"/>
  <c r="S38" i="3"/>
  <c r="V36" i="3"/>
  <c r="W36" i="3"/>
  <c r="X36" i="3" s="1"/>
  <c r="AB36" i="3" s="1"/>
  <c r="O39" i="3"/>
  <c r="Q39" i="3" s="1"/>
  <c r="P39" i="3"/>
  <c r="B40" i="3"/>
  <c r="T37" i="3"/>
  <c r="U37" i="3"/>
  <c r="Y37" i="3"/>
  <c r="V37" i="3" l="1"/>
  <c r="W37" i="3"/>
  <c r="O40" i="3"/>
  <c r="Q40" i="3" s="1"/>
  <c r="P40" i="3"/>
  <c r="B41" i="3"/>
  <c r="S39" i="3"/>
  <c r="R39" i="3"/>
  <c r="T38" i="3"/>
  <c r="U38" i="3"/>
  <c r="Y38" i="3"/>
  <c r="R40" i="3" l="1"/>
  <c r="S40" i="3"/>
  <c r="T39" i="3"/>
  <c r="P41" i="3"/>
  <c r="O41" i="3"/>
  <c r="Q41" i="3" s="1"/>
  <c r="B42" i="3"/>
  <c r="X37" i="3"/>
  <c r="AB37" i="3" s="1"/>
  <c r="U39" i="3"/>
  <c r="Y39" i="3"/>
  <c r="V38" i="3"/>
  <c r="W38" i="3"/>
  <c r="X38" i="3" l="1"/>
  <c r="AB38" i="3" s="1"/>
  <c r="V39" i="3"/>
  <c r="W39" i="3"/>
  <c r="O42" i="3"/>
  <c r="Q42" i="3" s="1"/>
  <c r="P42" i="3"/>
  <c r="B43" i="3"/>
  <c r="T40" i="3"/>
  <c r="S41" i="3"/>
  <c r="R41" i="3"/>
  <c r="Y40" i="3"/>
  <c r="U40" i="3"/>
  <c r="T41" i="3" l="1"/>
  <c r="V41" i="3" s="1"/>
  <c r="R42" i="3"/>
  <c r="S42" i="3"/>
  <c r="V40" i="3"/>
  <c r="W40" i="3"/>
  <c r="O43" i="3"/>
  <c r="Q43" i="3" s="1"/>
  <c r="S43" i="3" s="1"/>
  <c r="P43" i="3"/>
  <c r="B44" i="3"/>
  <c r="X39" i="3"/>
  <c r="AB39" i="3" s="1"/>
  <c r="Y41" i="3"/>
  <c r="U41" i="3"/>
  <c r="W41" i="3" l="1"/>
  <c r="X41" i="3" s="1"/>
  <c r="AB41" i="3" s="1"/>
  <c r="O44" i="3"/>
  <c r="Q44" i="3" s="1"/>
  <c r="P44" i="3"/>
  <c r="B45" i="3"/>
  <c r="X40" i="3"/>
  <c r="AB40" i="3" s="1"/>
  <c r="R43" i="3"/>
  <c r="T43" i="3" s="1"/>
  <c r="T42" i="3"/>
  <c r="Y42" i="3"/>
  <c r="U42" i="3"/>
  <c r="O45" i="3" l="1"/>
  <c r="Q45" i="3" s="1"/>
  <c r="P45" i="3"/>
  <c r="B46" i="3"/>
  <c r="W42" i="3"/>
  <c r="V42" i="3"/>
  <c r="V43" i="3"/>
  <c r="Y43" i="3"/>
  <c r="U43" i="3"/>
  <c r="W43" i="3" s="1"/>
  <c r="R44" i="3"/>
  <c r="S44" i="3"/>
  <c r="X42" i="3" l="1"/>
  <c r="AB42" i="3" s="1"/>
  <c r="U44" i="3"/>
  <c r="Y44" i="3"/>
  <c r="X43" i="3"/>
  <c r="AB43" i="3" s="1"/>
  <c r="S45" i="3"/>
  <c r="R45" i="3"/>
  <c r="T44" i="3"/>
  <c r="P46" i="3"/>
  <c r="O46" i="3"/>
  <c r="Q46" i="3" s="1"/>
  <c r="B47" i="3"/>
  <c r="O47" i="3" l="1"/>
  <c r="Q47" i="3" s="1"/>
  <c r="S47" i="3" s="1"/>
  <c r="P47" i="3"/>
  <c r="B48" i="3"/>
  <c r="U45" i="3"/>
  <c r="Y45" i="3"/>
  <c r="V44" i="3"/>
  <c r="W44" i="3"/>
  <c r="R46" i="3"/>
  <c r="S46" i="3"/>
  <c r="T45" i="3"/>
  <c r="R47" i="3" l="1"/>
  <c r="Y47" i="3" s="1"/>
  <c r="T46" i="3"/>
  <c r="O48" i="3"/>
  <c r="Q48" i="3" s="1"/>
  <c r="P48" i="3"/>
  <c r="B49" i="3"/>
  <c r="W45" i="3"/>
  <c r="V45" i="3"/>
  <c r="X44" i="3"/>
  <c r="AB44" i="3" s="1"/>
  <c r="Y46" i="3"/>
  <c r="U46" i="3"/>
  <c r="T47" i="3" l="1"/>
  <c r="V47" i="3" s="1"/>
  <c r="U47" i="3"/>
  <c r="W47" i="3" s="1"/>
  <c r="O49" i="3"/>
  <c r="Q49" i="3" s="1"/>
  <c r="P49" i="3"/>
  <c r="B50" i="3"/>
  <c r="V46" i="3"/>
  <c r="W46" i="3"/>
  <c r="X45" i="3"/>
  <c r="AB45" i="3" s="1"/>
  <c r="R48" i="3"/>
  <c r="S48" i="3"/>
  <c r="X47" i="3" l="1"/>
  <c r="AB47" i="3" s="1"/>
  <c r="T48" i="3"/>
  <c r="V48" i="3" s="1"/>
  <c r="O50" i="3"/>
  <c r="Q50" i="3" s="1"/>
  <c r="P50" i="3"/>
  <c r="B51" i="3"/>
  <c r="U48" i="3"/>
  <c r="W48" i="3" s="1"/>
  <c r="Y48" i="3"/>
  <c r="X46" i="3"/>
  <c r="AB46" i="3" s="1"/>
  <c r="S49" i="3"/>
  <c r="R49" i="3"/>
  <c r="R50" i="3" l="1"/>
  <c r="S50" i="3"/>
  <c r="T49" i="3"/>
  <c r="P51" i="3"/>
  <c r="O51" i="3"/>
  <c r="Q51" i="3" s="1"/>
  <c r="S51" i="3" s="1"/>
  <c r="B52" i="3"/>
  <c r="X48" i="3"/>
  <c r="AB48" i="3" s="1"/>
  <c r="U49" i="3"/>
  <c r="Y49" i="3"/>
  <c r="T50" i="3" l="1"/>
  <c r="V50" i="3" s="1"/>
  <c r="V49" i="3"/>
  <c r="W49" i="3"/>
  <c r="O52" i="3"/>
  <c r="Q52" i="3" s="1"/>
  <c r="P52" i="3"/>
  <c r="B53" i="3"/>
  <c r="U50" i="3"/>
  <c r="Y50" i="3"/>
  <c r="R51" i="3"/>
  <c r="W50" i="3" l="1"/>
  <c r="X49" i="3"/>
  <c r="AB49" i="3" s="1"/>
  <c r="O53" i="3"/>
  <c r="Q53" i="3" s="1"/>
  <c r="P53" i="3"/>
  <c r="B54" i="3"/>
  <c r="U51" i="3"/>
  <c r="Y51" i="3"/>
  <c r="R52" i="3"/>
  <c r="S52" i="3"/>
  <c r="T51" i="3"/>
  <c r="X50" i="3"/>
  <c r="AB50" i="3" s="1"/>
  <c r="U52" i="3" l="1"/>
  <c r="Y52" i="3"/>
  <c r="R53" i="3"/>
  <c r="S53" i="3"/>
  <c r="T52" i="3"/>
  <c r="O54" i="3"/>
  <c r="Q54" i="3" s="1"/>
  <c r="P54" i="3"/>
  <c r="B55" i="3"/>
  <c r="V51" i="3"/>
  <c r="W51" i="3"/>
  <c r="X51" i="3" l="1"/>
  <c r="AB51" i="3" s="1"/>
  <c r="V52" i="3"/>
  <c r="W52" i="3"/>
  <c r="O55" i="3"/>
  <c r="Q55" i="3" s="1"/>
  <c r="P55" i="3"/>
  <c r="B56" i="3"/>
  <c r="T53" i="3"/>
  <c r="R54" i="3"/>
  <c r="S54" i="3"/>
  <c r="Y53" i="3"/>
  <c r="U53" i="3"/>
  <c r="R55" i="3" l="1"/>
  <c r="S55" i="3"/>
  <c r="V53" i="3"/>
  <c r="W53" i="3"/>
  <c r="O56" i="3"/>
  <c r="Q56" i="3" s="1"/>
  <c r="P56" i="3"/>
  <c r="B57" i="3"/>
  <c r="X52" i="3"/>
  <c r="AB52" i="3" s="1"/>
  <c r="U54" i="3"/>
  <c r="Y54" i="3"/>
  <c r="T54" i="3"/>
  <c r="V54" i="3" l="1"/>
  <c r="W54" i="3"/>
  <c r="O57" i="3"/>
  <c r="Q57" i="3" s="1"/>
  <c r="P57" i="3"/>
  <c r="B58" i="3"/>
  <c r="X53" i="3"/>
  <c r="AB53" i="3" s="1"/>
  <c r="T55" i="3"/>
  <c r="V55" i="3" s="1"/>
  <c r="R56" i="3"/>
  <c r="S56" i="3"/>
  <c r="Y55" i="3"/>
  <c r="U55" i="3"/>
  <c r="W55" i="3" s="1"/>
  <c r="X55" i="3" l="1"/>
  <c r="AB55" i="3" s="1"/>
  <c r="T56" i="3"/>
  <c r="V56" i="3" s="1"/>
  <c r="P58" i="3"/>
  <c r="O58" i="3"/>
  <c r="Q58" i="3" s="1"/>
  <c r="B59" i="3"/>
  <c r="X54" i="3"/>
  <c r="AB54" i="3" s="1"/>
  <c r="S57" i="3"/>
  <c r="R57" i="3"/>
  <c r="Y56" i="3"/>
  <c r="U56" i="3"/>
  <c r="W56" i="3" s="1"/>
  <c r="X56" i="3" s="1"/>
  <c r="AB56" i="3" s="1"/>
  <c r="T57" i="3" l="1"/>
  <c r="V57" i="3" s="1"/>
  <c r="O59" i="3"/>
  <c r="Q59" i="3" s="1"/>
  <c r="P59" i="3"/>
  <c r="B60" i="3"/>
  <c r="U57" i="3"/>
  <c r="W57" i="3" s="1"/>
  <c r="Y57" i="3"/>
  <c r="R58" i="3"/>
  <c r="S58" i="3"/>
  <c r="T58" i="3" l="1"/>
  <c r="V58" i="3" s="1"/>
  <c r="Y58" i="3"/>
  <c r="U58" i="3"/>
  <c r="X57" i="3"/>
  <c r="AB57" i="3" s="1"/>
  <c r="R59" i="3"/>
  <c r="S59" i="3"/>
  <c r="O60" i="3"/>
  <c r="Q60" i="3" s="1"/>
  <c r="P60" i="3"/>
  <c r="B61" i="3"/>
  <c r="W58" i="3" l="1"/>
  <c r="X58" i="3" s="1"/>
  <c r="AB58" i="3" s="1"/>
  <c r="T59" i="3"/>
  <c r="V59" i="3" s="1"/>
  <c r="R60" i="3"/>
  <c r="S60" i="3"/>
  <c r="O61" i="3"/>
  <c r="Q61" i="3" s="1"/>
  <c r="P61" i="3"/>
  <c r="B62" i="3"/>
  <c r="Y59" i="3"/>
  <c r="U59" i="3"/>
  <c r="W59" i="3" l="1"/>
  <c r="X59" i="3" s="1"/>
  <c r="AB59" i="3" s="1"/>
  <c r="T60" i="3"/>
  <c r="V60" i="3" s="1"/>
  <c r="P62" i="3"/>
  <c r="O62" i="3"/>
  <c r="Q62" i="3" s="1"/>
  <c r="B63" i="3"/>
  <c r="Y60" i="3"/>
  <c r="U60" i="3"/>
  <c r="S61" i="3"/>
  <c r="R61" i="3"/>
  <c r="W60" i="3" l="1"/>
  <c r="X60" i="3" s="1"/>
  <c r="AB60" i="3" s="1"/>
  <c r="U61" i="3"/>
  <c r="Y61" i="3"/>
  <c r="O63" i="3"/>
  <c r="Q63" i="3" s="1"/>
  <c r="P63" i="3"/>
  <c r="B64" i="3"/>
  <c r="T61" i="3"/>
  <c r="V61" i="3" s="1"/>
  <c r="R62" i="3"/>
  <c r="S62" i="3"/>
  <c r="Y62" i="3" l="1"/>
  <c r="U62" i="3"/>
  <c r="W61" i="3"/>
  <c r="X61" i="3" s="1"/>
  <c r="AB61" i="3" s="1"/>
  <c r="R63" i="3"/>
  <c r="S63" i="3"/>
  <c r="P64" i="3"/>
  <c r="O64" i="3"/>
  <c r="Q64" i="3" s="1"/>
  <c r="B65" i="3"/>
  <c r="T62" i="3"/>
  <c r="P65" i="3" l="1"/>
  <c r="O65" i="3"/>
  <c r="Q65" i="3" s="1"/>
  <c r="B66" i="3"/>
  <c r="U63" i="3"/>
  <c r="Y63" i="3"/>
  <c r="R64" i="3"/>
  <c r="S64" i="3"/>
  <c r="W62" i="3"/>
  <c r="V62" i="3"/>
  <c r="T63" i="3"/>
  <c r="U64" i="3" l="1"/>
  <c r="Y64" i="3"/>
  <c r="X62" i="3"/>
  <c r="AB62" i="3" s="1"/>
  <c r="S65" i="3"/>
  <c r="R65" i="3"/>
  <c r="T64" i="3"/>
  <c r="V63" i="3"/>
  <c r="W63" i="3"/>
  <c r="X63" i="3" s="1"/>
  <c r="AB63" i="3" s="1"/>
  <c r="O66" i="3"/>
  <c r="Q66" i="3" s="1"/>
  <c r="P66" i="3"/>
  <c r="B67" i="3"/>
  <c r="T65" i="3" l="1"/>
  <c r="V65" i="3" s="1"/>
  <c r="O67" i="3"/>
  <c r="Q67" i="3" s="1"/>
  <c r="P67" i="3"/>
  <c r="B68" i="3"/>
  <c r="V64" i="3"/>
  <c r="W64" i="3"/>
  <c r="R66" i="3"/>
  <c r="S66" i="3"/>
  <c r="Y65" i="3"/>
  <c r="U65" i="3"/>
  <c r="W65" i="3" l="1"/>
  <c r="X65" i="3" s="1"/>
  <c r="AB65" i="3" s="1"/>
  <c r="X64" i="3"/>
  <c r="AB64" i="3" s="1"/>
  <c r="R67" i="3"/>
  <c r="S67" i="3"/>
  <c r="T66" i="3"/>
  <c r="U66" i="3"/>
  <c r="Y66" i="3"/>
  <c r="O68" i="3"/>
  <c r="Q68" i="3" s="1"/>
  <c r="P68" i="3"/>
  <c r="B69" i="3"/>
  <c r="R68" i="3" l="1"/>
  <c r="S68" i="3"/>
  <c r="T67" i="3"/>
  <c r="W66" i="3"/>
  <c r="V66" i="3"/>
  <c r="O69" i="3"/>
  <c r="Q69" i="3" s="1"/>
  <c r="P69" i="3"/>
  <c r="B70" i="3"/>
  <c r="Y67" i="3"/>
  <c r="U67" i="3"/>
  <c r="T68" i="3" l="1"/>
  <c r="P70" i="3"/>
  <c r="O70" i="3"/>
  <c r="Q70" i="3" s="1"/>
  <c r="B71" i="3"/>
  <c r="V67" i="3"/>
  <c r="W67" i="3"/>
  <c r="S69" i="3"/>
  <c r="R69" i="3"/>
  <c r="V68" i="3"/>
  <c r="X66" i="3"/>
  <c r="AB66" i="3" s="1"/>
  <c r="Y68" i="3"/>
  <c r="U68" i="3"/>
  <c r="W68" i="3" l="1"/>
  <c r="X68" i="3" s="1"/>
  <c r="AB68" i="3" s="1"/>
  <c r="X67" i="3"/>
  <c r="AB67" i="3" s="1"/>
  <c r="Y69" i="3"/>
  <c r="U69" i="3"/>
  <c r="P71" i="3"/>
  <c r="O71" i="3"/>
  <c r="Q71" i="3" s="1"/>
  <c r="B72" i="3"/>
  <c r="T69" i="3"/>
  <c r="R70" i="3"/>
  <c r="S70" i="3"/>
  <c r="T70" i="3" l="1"/>
  <c r="V70" i="3" s="1"/>
  <c r="R71" i="3"/>
  <c r="S71" i="3"/>
  <c r="U70" i="3"/>
  <c r="Y70" i="3"/>
  <c r="V69" i="3"/>
  <c r="W69" i="3"/>
  <c r="P72" i="3"/>
  <c r="O72" i="3"/>
  <c r="Q72" i="3" s="1"/>
  <c r="B73" i="3"/>
  <c r="W70" i="3" l="1"/>
  <c r="X70" i="3" s="1"/>
  <c r="AB70" i="3" s="1"/>
  <c r="T71" i="3"/>
  <c r="V71" i="3" s="1"/>
  <c r="R72" i="3"/>
  <c r="S72" i="3"/>
  <c r="O73" i="3"/>
  <c r="Q73" i="3" s="1"/>
  <c r="P73" i="3"/>
  <c r="B74" i="3"/>
  <c r="X69" i="3"/>
  <c r="AB69" i="3" s="1"/>
  <c r="Y71" i="3"/>
  <c r="U71" i="3"/>
  <c r="W71" i="3" s="1"/>
  <c r="O74" i="3" l="1"/>
  <c r="Q74" i="3" s="1"/>
  <c r="P74" i="3"/>
  <c r="B75" i="3"/>
  <c r="X71" i="3"/>
  <c r="AB71" i="3" s="1"/>
  <c r="T72" i="3"/>
  <c r="S73" i="3"/>
  <c r="R73" i="3"/>
  <c r="U72" i="3"/>
  <c r="Y72" i="3"/>
  <c r="U73" i="3" l="1"/>
  <c r="Y73" i="3"/>
  <c r="O75" i="3"/>
  <c r="Q75" i="3" s="1"/>
  <c r="P75" i="3"/>
  <c r="B76" i="3"/>
  <c r="T73" i="3"/>
  <c r="V73" i="3" s="1"/>
  <c r="V72" i="3"/>
  <c r="W72" i="3"/>
  <c r="X72" i="3" s="1"/>
  <c r="AB72" i="3" s="1"/>
  <c r="S74" i="3"/>
  <c r="R74" i="3"/>
  <c r="S75" i="3" l="1"/>
  <c r="R75" i="3"/>
  <c r="U74" i="3"/>
  <c r="Y74" i="3"/>
  <c r="T74" i="3"/>
  <c r="O76" i="3"/>
  <c r="Q76" i="3" s="1"/>
  <c r="P76" i="3"/>
  <c r="B77" i="3"/>
  <c r="W73" i="3"/>
  <c r="X73" i="3" s="1"/>
  <c r="AB73" i="3" s="1"/>
  <c r="R76" i="3" l="1"/>
  <c r="S76" i="3"/>
  <c r="U75" i="3"/>
  <c r="Y75" i="3"/>
  <c r="V74" i="3"/>
  <c r="W74" i="3"/>
  <c r="O77" i="3"/>
  <c r="Q77" i="3" s="1"/>
  <c r="P77" i="3"/>
  <c r="B78" i="3"/>
  <c r="T75" i="3"/>
  <c r="T76" i="3" l="1"/>
  <c r="V76" i="3" s="1"/>
  <c r="S77" i="3"/>
  <c r="R77" i="3"/>
  <c r="V75" i="3"/>
  <c r="W75" i="3"/>
  <c r="P78" i="3"/>
  <c r="O78" i="3"/>
  <c r="Q78" i="3" s="1"/>
  <c r="B79" i="3"/>
  <c r="X74" i="3"/>
  <c r="AB74" i="3" s="1"/>
  <c r="U76" i="3"/>
  <c r="W76" i="3" s="1"/>
  <c r="X76" i="3" s="1"/>
  <c r="AB76" i="3" s="1"/>
  <c r="Y76" i="3"/>
  <c r="X75" i="3" l="1"/>
  <c r="AB75" i="3" s="1"/>
  <c r="P79" i="3"/>
  <c r="O79" i="3"/>
  <c r="Q79" i="3" s="1"/>
  <c r="B80" i="3"/>
  <c r="R78" i="3"/>
  <c r="S78" i="3"/>
  <c r="U77" i="3"/>
  <c r="Y77" i="3"/>
  <c r="T77" i="3"/>
  <c r="V77" i="3" l="1"/>
  <c r="W77" i="3"/>
  <c r="U78" i="3"/>
  <c r="Y78" i="3"/>
  <c r="P80" i="3"/>
  <c r="O80" i="3"/>
  <c r="Q80" i="3" s="1"/>
  <c r="B81" i="3"/>
  <c r="R79" i="3"/>
  <c r="S79" i="3"/>
  <c r="T78" i="3"/>
  <c r="U79" i="3" l="1"/>
  <c r="Y79" i="3"/>
  <c r="R80" i="3"/>
  <c r="S80" i="3"/>
  <c r="T80" i="3" s="1"/>
  <c r="O81" i="3"/>
  <c r="Q81" i="3" s="1"/>
  <c r="P81" i="3"/>
  <c r="B82" i="3"/>
  <c r="V78" i="3"/>
  <c r="W78" i="3"/>
  <c r="T79" i="3"/>
  <c r="X77" i="3"/>
  <c r="AB77" i="3" s="1"/>
  <c r="X78" i="3" l="1"/>
  <c r="AB78" i="3" s="1"/>
  <c r="V80" i="3"/>
  <c r="O82" i="3"/>
  <c r="Q82" i="3" s="1"/>
  <c r="P82" i="3"/>
  <c r="B83" i="3"/>
  <c r="U80" i="3"/>
  <c r="W80" i="3" s="1"/>
  <c r="X80" i="3" s="1"/>
  <c r="AB80" i="3" s="1"/>
  <c r="Y80" i="3"/>
  <c r="V79" i="3"/>
  <c r="W79" i="3"/>
  <c r="S81" i="3"/>
  <c r="R81" i="3"/>
  <c r="U81" i="3" l="1"/>
  <c r="Y81" i="3"/>
  <c r="R82" i="3"/>
  <c r="S82" i="3"/>
  <c r="T81" i="3"/>
  <c r="X79" i="3"/>
  <c r="AB79" i="3" s="1"/>
  <c r="O83" i="3"/>
  <c r="Q83" i="3" s="1"/>
  <c r="P83" i="3"/>
  <c r="B84" i="3"/>
  <c r="T82" i="3" l="1"/>
  <c r="V82" i="3" s="1"/>
  <c r="R83" i="3"/>
  <c r="S83" i="3"/>
  <c r="U82" i="3"/>
  <c r="Y82" i="3"/>
  <c r="O84" i="3"/>
  <c r="Q84" i="3" s="1"/>
  <c r="P84" i="3"/>
  <c r="B85" i="3"/>
  <c r="V81" i="3"/>
  <c r="W81" i="3"/>
  <c r="X81" i="3" s="1"/>
  <c r="AB81" i="3" s="1"/>
  <c r="W82" i="3" l="1"/>
  <c r="X82" i="3" s="1"/>
  <c r="AB82" i="3" s="1"/>
  <c r="T83" i="3"/>
  <c r="V83" i="3" s="1"/>
  <c r="R84" i="3"/>
  <c r="S84" i="3"/>
  <c r="P85" i="3"/>
  <c r="O85" i="3"/>
  <c r="Q85" i="3" s="1"/>
  <c r="B86" i="3"/>
  <c r="U83" i="3"/>
  <c r="W83" i="3" s="1"/>
  <c r="Y83" i="3"/>
  <c r="X83" i="3" l="1"/>
  <c r="AB83" i="3" s="1"/>
  <c r="P86" i="3"/>
  <c r="O86" i="3"/>
  <c r="Q86" i="3" s="1"/>
  <c r="B87" i="3"/>
  <c r="R85" i="3"/>
  <c r="S85" i="3"/>
  <c r="T84" i="3"/>
  <c r="Y84" i="3"/>
  <c r="U84" i="3"/>
  <c r="V84" i="3" l="1"/>
  <c r="W84" i="3"/>
  <c r="S86" i="3"/>
  <c r="R86" i="3"/>
  <c r="U85" i="3"/>
  <c r="Y85" i="3"/>
  <c r="O87" i="3"/>
  <c r="Q87" i="3" s="1"/>
  <c r="P87" i="3"/>
  <c r="B88" i="3"/>
  <c r="T85" i="3"/>
  <c r="V85" i="3" s="1"/>
  <c r="X84" i="3" l="1"/>
  <c r="AB84" i="3" s="1"/>
  <c r="W85" i="3"/>
  <c r="X85" i="3" s="1"/>
  <c r="AB85" i="3" s="1"/>
  <c r="U86" i="3"/>
  <c r="Y86" i="3"/>
  <c r="S87" i="3"/>
  <c r="R87" i="3"/>
  <c r="T86" i="3"/>
  <c r="O88" i="3"/>
  <c r="Q88" i="3" s="1"/>
  <c r="P88" i="3"/>
  <c r="B89" i="3"/>
  <c r="R88" i="3" l="1"/>
  <c r="S88" i="3"/>
  <c r="Y87" i="3"/>
  <c r="U87" i="3"/>
  <c r="T87" i="3"/>
  <c r="V87" i="3" s="1"/>
  <c r="P89" i="3"/>
  <c r="O89" i="3"/>
  <c r="Q89" i="3" s="1"/>
  <c r="B90" i="3"/>
  <c r="V86" i="3"/>
  <c r="W86" i="3"/>
  <c r="X86" i="3" l="1"/>
  <c r="AB86" i="3" s="1"/>
  <c r="T88" i="3"/>
  <c r="V88" i="3" s="1"/>
  <c r="W87" i="3"/>
  <c r="X87" i="3" s="1"/>
  <c r="AB87" i="3" s="1"/>
  <c r="P90" i="3"/>
  <c r="O90" i="3"/>
  <c r="Q90" i="3" s="1"/>
  <c r="B91" i="3"/>
  <c r="R89" i="3"/>
  <c r="S89" i="3"/>
  <c r="U88" i="3"/>
  <c r="Y88" i="3"/>
  <c r="W88" i="3" l="1"/>
  <c r="X88" i="3" s="1"/>
  <c r="AB88" i="3" s="1"/>
  <c r="U89" i="3"/>
  <c r="Y89" i="3"/>
  <c r="O91" i="3"/>
  <c r="Q91" i="3" s="1"/>
  <c r="P91" i="3"/>
  <c r="B92" i="3"/>
  <c r="S90" i="3"/>
  <c r="R90" i="3"/>
  <c r="T89" i="3"/>
  <c r="V89" i="3" s="1"/>
  <c r="U90" i="3" l="1"/>
  <c r="Y90" i="3"/>
  <c r="S91" i="3"/>
  <c r="R91" i="3"/>
  <c r="T90" i="3"/>
  <c r="O92" i="3"/>
  <c r="Q92" i="3" s="1"/>
  <c r="P92" i="3"/>
  <c r="B93" i="3"/>
  <c r="W89" i="3"/>
  <c r="X89" i="3" s="1"/>
  <c r="AB89" i="3" s="1"/>
  <c r="P93" i="3" l="1"/>
  <c r="O93" i="3"/>
  <c r="Q93" i="3" s="1"/>
  <c r="B94" i="3"/>
  <c r="U91" i="3"/>
  <c r="Y91" i="3"/>
  <c r="T91" i="3"/>
  <c r="R92" i="3"/>
  <c r="S92" i="3"/>
  <c r="V90" i="3"/>
  <c r="W90" i="3"/>
  <c r="X90" i="3" l="1"/>
  <c r="AB90" i="3" s="1"/>
  <c r="T92" i="3"/>
  <c r="V92" i="3" s="1"/>
  <c r="U92" i="3"/>
  <c r="Y92" i="3"/>
  <c r="P94" i="3"/>
  <c r="O94" i="3"/>
  <c r="Q94" i="3" s="1"/>
  <c r="B95" i="3"/>
  <c r="V91" i="3"/>
  <c r="W91" i="3"/>
  <c r="S93" i="3"/>
  <c r="R93" i="3"/>
  <c r="W92" i="3" l="1"/>
  <c r="X92" i="3" s="1"/>
  <c r="AB92" i="3" s="1"/>
  <c r="X91" i="3"/>
  <c r="AB91" i="3" s="1"/>
  <c r="U93" i="3"/>
  <c r="Y93" i="3"/>
  <c r="P95" i="3"/>
  <c r="O95" i="3"/>
  <c r="Q95" i="3" s="1"/>
  <c r="S95" i="3" s="1"/>
  <c r="B96" i="3"/>
  <c r="T93" i="3"/>
  <c r="R94" i="3"/>
  <c r="S94" i="3"/>
  <c r="T94" i="3" l="1"/>
  <c r="V94" i="3" s="1"/>
  <c r="U94" i="3"/>
  <c r="Y94" i="3"/>
  <c r="R95" i="3"/>
  <c r="T95" i="3" s="1"/>
  <c r="W93" i="3"/>
  <c r="V93" i="3"/>
  <c r="O96" i="3"/>
  <c r="Q96" i="3" s="1"/>
  <c r="P96" i="3"/>
  <c r="B97" i="3"/>
  <c r="W94" i="3" l="1"/>
  <c r="X94" i="3" s="1"/>
  <c r="AB94" i="3" s="1"/>
  <c r="X93" i="3"/>
  <c r="AB93" i="3" s="1"/>
  <c r="V95" i="3"/>
  <c r="O97" i="3"/>
  <c r="Q97" i="3" s="1"/>
  <c r="P97" i="3"/>
  <c r="B98" i="3"/>
  <c r="R96" i="3"/>
  <c r="S96" i="3"/>
  <c r="Y95" i="3"/>
  <c r="U95" i="3"/>
  <c r="W95" i="3" s="1"/>
  <c r="T96" i="3" l="1"/>
  <c r="V96" i="3" s="1"/>
  <c r="S97" i="3"/>
  <c r="R97" i="3"/>
  <c r="Y96" i="3"/>
  <c r="U96" i="3"/>
  <c r="W96" i="3" s="1"/>
  <c r="O98" i="3"/>
  <c r="Q98" i="3" s="1"/>
  <c r="P98" i="3"/>
  <c r="B99" i="3"/>
  <c r="X95" i="3"/>
  <c r="AB95" i="3" s="1"/>
  <c r="R98" i="3" l="1"/>
  <c r="S98" i="3"/>
  <c r="T97" i="3"/>
  <c r="U97" i="3"/>
  <c r="Y97" i="3"/>
  <c r="P99" i="3"/>
  <c r="O99" i="3"/>
  <c r="Q99" i="3" s="1"/>
  <c r="S99" i="3" s="1"/>
  <c r="B100" i="3"/>
  <c r="X96" i="3"/>
  <c r="AB96" i="3" s="1"/>
  <c r="V97" i="3" l="1"/>
  <c r="W97" i="3"/>
  <c r="R99" i="3"/>
  <c r="T98" i="3"/>
  <c r="P100" i="3"/>
  <c r="O100" i="3"/>
  <c r="Q100" i="3" s="1"/>
  <c r="B101" i="3"/>
  <c r="U98" i="3"/>
  <c r="Y98" i="3"/>
  <c r="X97" i="3" l="1"/>
  <c r="AB97" i="3" s="1"/>
  <c r="O101" i="3"/>
  <c r="Q101" i="3" s="1"/>
  <c r="P101" i="3"/>
  <c r="B102" i="3"/>
  <c r="Y99" i="3"/>
  <c r="U99" i="3"/>
  <c r="S100" i="3"/>
  <c r="R100" i="3"/>
  <c r="V98" i="3"/>
  <c r="W98" i="3"/>
  <c r="T99" i="3"/>
  <c r="X98" i="3" l="1"/>
  <c r="AB98" i="3" s="1"/>
  <c r="U100" i="3"/>
  <c r="Y100" i="3"/>
  <c r="O102" i="3"/>
  <c r="Q102" i="3" s="1"/>
  <c r="P102" i="3"/>
  <c r="B103" i="3"/>
  <c r="V99" i="3"/>
  <c r="W99" i="3"/>
  <c r="X99" i="3" s="1"/>
  <c r="AB99" i="3" s="1"/>
  <c r="T100" i="3"/>
  <c r="V100" i="3" s="1"/>
  <c r="S101" i="3"/>
  <c r="R101" i="3"/>
  <c r="W100" i="3" l="1"/>
  <c r="X100" i="3" s="1"/>
  <c r="AB100" i="3" s="1"/>
  <c r="U101" i="3"/>
  <c r="Y101" i="3"/>
  <c r="R102" i="3"/>
  <c r="S102" i="3"/>
  <c r="T101" i="3"/>
  <c r="O103" i="3"/>
  <c r="Q103" i="3" s="1"/>
  <c r="S103" i="3" s="1"/>
  <c r="P103" i="3"/>
  <c r="B104" i="3"/>
  <c r="R103" i="3" l="1"/>
  <c r="U103" i="3" s="1"/>
  <c r="T102" i="3"/>
  <c r="P104" i="3"/>
  <c r="O104" i="3"/>
  <c r="Q104" i="3" s="1"/>
  <c r="B105" i="3"/>
  <c r="V102" i="3"/>
  <c r="U102" i="3"/>
  <c r="Y102" i="3"/>
  <c r="Y103" i="3"/>
  <c r="W101" i="3"/>
  <c r="V101" i="3"/>
  <c r="W102" i="3" l="1"/>
  <c r="X102" i="3" s="1"/>
  <c r="AB102" i="3" s="1"/>
  <c r="T103" i="3"/>
  <c r="W103" i="3" s="1"/>
  <c r="X101" i="3"/>
  <c r="AB101" i="3" s="1"/>
  <c r="O105" i="3"/>
  <c r="Q105" i="3" s="1"/>
  <c r="P105" i="3"/>
  <c r="B106" i="3"/>
  <c r="V103" i="3"/>
  <c r="R104" i="3"/>
  <c r="S104" i="3"/>
  <c r="X103" i="3" l="1"/>
  <c r="AB103" i="3" s="1"/>
  <c r="T104" i="3"/>
  <c r="V104" i="3" s="1"/>
  <c r="O106" i="3"/>
  <c r="Q106" i="3" s="1"/>
  <c r="P106" i="3"/>
  <c r="B107" i="3"/>
  <c r="Y104" i="3"/>
  <c r="U104" i="3"/>
  <c r="S105" i="3"/>
  <c r="R105" i="3"/>
  <c r="W104" i="3" l="1"/>
  <c r="X104" i="3" s="1"/>
  <c r="AB104" i="3" s="1"/>
  <c r="T105" i="3"/>
  <c r="V105" i="3" s="1"/>
  <c r="P107" i="3"/>
  <c r="O107" i="3"/>
  <c r="Q107" i="3" s="1"/>
  <c r="S107" i="3" s="1"/>
  <c r="B108" i="3"/>
  <c r="U105" i="3"/>
  <c r="Y105" i="3"/>
  <c r="R106" i="3"/>
  <c r="S106" i="3"/>
  <c r="W105" i="3" l="1"/>
  <c r="X105" i="3" s="1"/>
  <c r="AB105" i="3" s="1"/>
  <c r="R107" i="3"/>
  <c r="Y107" i="3" s="1"/>
  <c r="T106" i="3"/>
  <c r="V106" i="3" s="1"/>
  <c r="P108" i="3"/>
  <c r="O108" i="3"/>
  <c r="Q108" i="3" s="1"/>
  <c r="B109" i="3"/>
  <c r="U106" i="3"/>
  <c r="Y106" i="3"/>
  <c r="W106" i="3" l="1"/>
  <c r="X106" i="3" s="1"/>
  <c r="AB106" i="3" s="1"/>
  <c r="U107" i="3"/>
  <c r="T107" i="3"/>
  <c r="V107" i="3" s="1"/>
  <c r="O109" i="3"/>
  <c r="Q109" i="3" s="1"/>
  <c r="P109" i="3"/>
  <c r="B110" i="3"/>
  <c r="S108" i="3"/>
  <c r="R108" i="3"/>
  <c r="W107" i="3" l="1"/>
  <c r="X107" i="3" s="1"/>
  <c r="AB107" i="3" s="1"/>
  <c r="Y108" i="3"/>
  <c r="U108" i="3"/>
  <c r="T108" i="3"/>
  <c r="P110" i="3"/>
  <c r="O110" i="3"/>
  <c r="Q110" i="3" s="1"/>
  <c r="B111" i="3"/>
  <c r="S109" i="3"/>
  <c r="R109" i="3"/>
  <c r="U109" i="3" l="1"/>
  <c r="Y109" i="3"/>
  <c r="T109" i="3"/>
  <c r="V108" i="3"/>
  <c r="W108" i="3"/>
  <c r="O111" i="3"/>
  <c r="Q111" i="3" s="1"/>
  <c r="P111" i="3"/>
  <c r="B112" i="3"/>
  <c r="S110" i="3"/>
  <c r="R110" i="3"/>
  <c r="O112" i="3" l="1"/>
  <c r="Q112" i="3" s="1"/>
  <c r="S112" i="3" s="1"/>
  <c r="P112" i="3"/>
  <c r="B113" i="3"/>
  <c r="V109" i="3"/>
  <c r="W109" i="3"/>
  <c r="U110" i="3"/>
  <c r="Y110" i="3"/>
  <c r="R111" i="3"/>
  <c r="S111" i="3"/>
  <c r="T110" i="3"/>
  <c r="X108" i="3"/>
  <c r="AB108" i="3" s="1"/>
  <c r="T111" i="3" l="1"/>
  <c r="V111" i="3" s="1"/>
  <c r="Y111" i="3"/>
  <c r="U111" i="3"/>
  <c r="X109" i="3"/>
  <c r="AB109" i="3" s="1"/>
  <c r="O113" i="3"/>
  <c r="Q113" i="3" s="1"/>
  <c r="P113" i="3"/>
  <c r="B114" i="3"/>
  <c r="V110" i="3"/>
  <c r="W110" i="3"/>
  <c r="R112" i="3"/>
  <c r="T112" i="3" s="1"/>
  <c r="W111" i="3" l="1"/>
  <c r="X111" i="3" s="1"/>
  <c r="AB111" i="3" s="1"/>
  <c r="V112" i="3"/>
  <c r="P114" i="3"/>
  <c r="O114" i="3"/>
  <c r="Q114" i="3" s="1"/>
  <c r="B115" i="3"/>
  <c r="U112" i="3"/>
  <c r="W112" i="3" s="1"/>
  <c r="X112" i="3" s="1"/>
  <c r="AB112" i="3" s="1"/>
  <c r="Y112" i="3"/>
  <c r="R113" i="3"/>
  <c r="S113" i="3"/>
  <c r="X110" i="3"/>
  <c r="AB110" i="3" s="1"/>
  <c r="U113" i="3" l="1"/>
  <c r="Y113" i="3"/>
  <c r="S114" i="3"/>
  <c r="R114" i="3"/>
  <c r="T113" i="3"/>
  <c r="P115" i="3"/>
  <c r="O115" i="3"/>
  <c r="Q115" i="3" s="1"/>
  <c r="B116" i="3"/>
  <c r="O116" i="3" l="1"/>
  <c r="Q116" i="3" s="1"/>
  <c r="P116" i="3"/>
  <c r="B117" i="3"/>
  <c r="U114" i="3"/>
  <c r="Y114" i="3"/>
  <c r="R115" i="3"/>
  <c r="S115" i="3"/>
  <c r="T114" i="3"/>
  <c r="V114" i="3" s="1"/>
  <c r="V113" i="3"/>
  <c r="W113" i="3"/>
  <c r="X113" i="3" s="1"/>
  <c r="AB113" i="3" s="1"/>
  <c r="T115" i="3" l="1"/>
  <c r="V115" i="3" s="1"/>
  <c r="W114" i="3"/>
  <c r="X114" i="3" s="1"/>
  <c r="AB114" i="3" s="1"/>
  <c r="O117" i="3"/>
  <c r="Q117" i="3" s="1"/>
  <c r="S117" i="3" s="1"/>
  <c r="P117" i="3"/>
  <c r="B118" i="3"/>
  <c r="Y115" i="3"/>
  <c r="U115" i="3"/>
  <c r="R116" i="3"/>
  <c r="S116" i="3"/>
  <c r="W115" i="3" l="1"/>
  <c r="X115" i="3" s="1"/>
  <c r="AB115" i="3" s="1"/>
  <c r="T116" i="3"/>
  <c r="V116" i="3" s="1"/>
  <c r="O118" i="3"/>
  <c r="Q118" i="3" s="1"/>
  <c r="P118" i="3"/>
  <c r="B119" i="3"/>
  <c r="U116" i="3"/>
  <c r="W116" i="3" s="1"/>
  <c r="Y116" i="3"/>
  <c r="R117" i="3"/>
  <c r="X116" i="3" l="1"/>
  <c r="AB116" i="3" s="1"/>
  <c r="P119" i="3"/>
  <c r="O119" i="3"/>
  <c r="Q119" i="3" s="1"/>
  <c r="B120" i="3"/>
  <c r="U117" i="3"/>
  <c r="Y117" i="3"/>
  <c r="R118" i="3"/>
  <c r="S118" i="3"/>
  <c r="T117" i="3"/>
  <c r="T118" i="3" l="1"/>
  <c r="V118" i="3" s="1"/>
  <c r="O120" i="3"/>
  <c r="Q120" i="3" s="1"/>
  <c r="P120" i="3"/>
  <c r="B121" i="3"/>
  <c r="R119" i="3"/>
  <c r="S119" i="3"/>
  <c r="Y118" i="3"/>
  <c r="U118" i="3"/>
  <c r="V117" i="3"/>
  <c r="W117" i="3"/>
  <c r="W118" i="3" l="1"/>
  <c r="X118" i="3" s="1"/>
  <c r="AB118" i="3" s="1"/>
  <c r="X117" i="3"/>
  <c r="AB117" i="3" s="1"/>
  <c r="T119" i="3"/>
  <c r="R120" i="3"/>
  <c r="S120" i="3"/>
  <c r="Y119" i="3"/>
  <c r="U119" i="3"/>
  <c r="P121" i="3"/>
  <c r="O121" i="3"/>
  <c r="Q121" i="3" s="1"/>
  <c r="S121" i="3" s="1"/>
  <c r="B122" i="3"/>
  <c r="T120" i="3" l="1"/>
  <c r="O122" i="3"/>
  <c r="Q122" i="3" s="1"/>
  <c r="P122" i="3"/>
  <c r="B123" i="3"/>
  <c r="V120" i="3"/>
  <c r="U120" i="3"/>
  <c r="W120" i="3" s="1"/>
  <c r="Y120" i="3"/>
  <c r="R121" i="3"/>
  <c r="T121" i="3" s="1"/>
  <c r="W119" i="3"/>
  <c r="V119" i="3"/>
  <c r="X119" i="3" l="1"/>
  <c r="AB119" i="3" s="1"/>
  <c r="X120" i="3"/>
  <c r="AB120" i="3" s="1"/>
  <c r="P123" i="3"/>
  <c r="O123" i="3"/>
  <c r="Q123" i="3" s="1"/>
  <c r="B124" i="3"/>
  <c r="V121" i="3"/>
  <c r="Y121" i="3"/>
  <c r="U121" i="3"/>
  <c r="W121" i="3" s="1"/>
  <c r="R122" i="3"/>
  <c r="S122" i="3"/>
  <c r="X121" i="3" l="1"/>
  <c r="AB121" i="3" s="1"/>
  <c r="U122" i="3"/>
  <c r="Y122" i="3"/>
  <c r="O124" i="3"/>
  <c r="Q124" i="3" s="1"/>
  <c r="P124" i="3"/>
  <c r="B125" i="3"/>
  <c r="S123" i="3"/>
  <c r="R123" i="3"/>
  <c r="T122" i="3"/>
  <c r="V122" i="3" s="1"/>
  <c r="R124" i="3" l="1"/>
  <c r="S124" i="3"/>
  <c r="U123" i="3"/>
  <c r="Y123" i="3"/>
  <c r="T123" i="3"/>
  <c r="P125" i="3"/>
  <c r="O125" i="3"/>
  <c r="Q125" i="3" s="1"/>
  <c r="B126" i="3"/>
  <c r="W122" i="3"/>
  <c r="X122" i="3" s="1"/>
  <c r="AB122" i="3" s="1"/>
  <c r="O126" i="3" l="1"/>
  <c r="Q126" i="3" s="1"/>
  <c r="P126" i="3"/>
  <c r="B127" i="3"/>
  <c r="R125" i="3"/>
  <c r="S125" i="3"/>
  <c r="T124" i="3"/>
  <c r="V123" i="3"/>
  <c r="W123" i="3"/>
  <c r="U124" i="3"/>
  <c r="Y124" i="3"/>
  <c r="X123" i="3" l="1"/>
  <c r="AB123" i="3" s="1"/>
  <c r="P127" i="3"/>
  <c r="O127" i="3"/>
  <c r="Q127" i="3" s="1"/>
  <c r="B128" i="3"/>
  <c r="Y125" i="3"/>
  <c r="U125" i="3"/>
  <c r="V124" i="3"/>
  <c r="W124" i="3"/>
  <c r="T125" i="3"/>
  <c r="R126" i="3"/>
  <c r="S126" i="3"/>
  <c r="T126" i="3" l="1"/>
  <c r="V126" i="3" s="1"/>
  <c r="S127" i="3"/>
  <c r="R127" i="3"/>
  <c r="Y126" i="3"/>
  <c r="U126" i="3"/>
  <c r="O128" i="3"/>
  <c r="Q128" i="3" s="1"/>
  <c r="P128" i="3"/>
  <c r="B129" i="3"/>
  <c r="X124" i="3"/>
  <c r="AB124" i="3" s="1"/>
  <c r="V125" i="3"/>
  <c r="W125" i="3"/>
  <c r="W126" i="3" l="1"/>
  <c r="X126" i="3" s="1"/>
  <c r="AB126" i="3" s="1"/>
  <c r="R128" i="3"/>
  <c r="S128" i="3"/>
  <c r="X125" i="3"/>
  <c r="AB125" i="3" s="1"/>
  <c r="U127" i="3"/>
  <c r="Y127" i="3"/>
  <c r="O129" i="3"/>
  <c r="Q129" i="3" s="1"/>
  <c r="P129" i="3"/>
  <c r="B130" i="3"/>
  <c r="T127" i="3"/>
  <c r="T128" i="3" l="1"/>
  <c r="V128" i="3" s="1"/>
  <c r="R129" i="3"/>
  <c r="S129" i="3"/>
  <c r="O130" i="3"/>
  <c r="Q130" i="3" s="1"/>
  <c r="P130" i="3"/>
  <c r="W127" i="3"/>
  <c r="V127" i="3"/>
  <c r="Y128" i="3"/>
  <c r="U128" i="3"/>
  <c r="W128" i="3" l="1"/>
  <c r="X128" i="3" s="1"/>
  <c r="AB128" i="3" s="1"/>
  <c r="R130" i="3"/>
  <c r="S130" i="3"/>
  <c r="T129" i="3"/>
  <c r="X127" i="3"/>
  <c r="AB127" i="3" s="1"/>
  <c r="U129" i="3"/>
  <c r="Y129" i="3"/>
  <c r="V129" i="3" l="1"/>
  <c r="W129" i="3"/>
  <c r="T130" i="3"/>
  <c r="V130" i="3" s="1"/>
  <c r="Y130" i="3"/>
  <c r="U130" i="3"/>
  <c r="X129" i="3" l="1"/>
  <c r="AB129" i="3" s="1"/>
  <c r="W130" i="3"/>
  <c r="X130" i="3" s="1"/>
  <c r="AB130" i="3" s="1"/>
  <c r="AC11" i="3" l="1"/>
  <c r="AG12" i="3" l="1"/>
  <c r="AA12" i="3"/>
  <c r="AC12" i="3" s="1"/>
  <c r="AK11" i="3"/>
  <c r="AH12" i="3" s="1"/>
  <c r="AI12" i="3" s="1"/>
  <c r="AJ12" i="3" l="1"/>
  <c r="AA13" i="3" s="1"/>
  <c r="AC13" i="3" s="1"/>
  <c r="AG13" i="3" l="1"/>
  <c r="AK12" i="3"/>
  <c r="AH13" i="3" s="1"/>
  <c r="AI13" i="3" s="1"/>
  <c r="AJ13" i="3" l="1"/>
  <c r="AK13" i="3" l="1"/>
  <c r="AH14" i="3" s="1"/>
  <c r="AI14" i="3" s="1"/>
  <c r="AG14" i="3"/>
  <c r="AJ14" i="3" l="1"/>
  <c r="AG15" i="3" s="1"/>
  <c r="AK14" i="3" l="1"/>
  <c r="AH15" i="3" s="1"/>
  <c r="AI15" i="3" s="1"/>
  <c r="AK15" i="3" s="1"/>
  <c r="AI16" i="3" s="1"/>
  <c r="AG16" i="3" l="1"/>
  <c r="AJ16" i="3" s="1"/>
  <c r="AK16" i="3" s="1"/>
  <c r="AH17" i="3" s="1"/>
  <c r="AI17" i="3" s="1"/>
  <c r="AG17" i="3" l="1"/>
  <c r="AJ17" i="3" s="1"/>
  <c r="AK17" i="3" l="1"/>
  <c r="AH18" i="3" s="1"/>
  <c r="AI18" i="3" s="1"/>
  <c r="AG18" i="3"/>
  <c r="AJ18" i="3" l="1"/>
  <c r="AG19" i="3" s="1"/>
  <c r="AK18" i="3" l="1"/>
  <c r="AH19" i="3" s="1"/>
  <c r="AI19" i="3" s="1"/>
  <c r="AJ19" i="3"/>
  <c r="AK19" i="3" s="1"/>
  <c r="AH20" i="3" s="1"/>
  <c r="AI20" i="3" s="1"/>
  <c r="AG20" i="3" l="1"/>
  <c r="AJ20" i="3"/>
  <c r="AG21" i="3" s="1"/>
  <c r="AK20" i="3" l="1"/>
  <c r="AH21" i="3" s="1"/>
  <c r="AI21" i="3" s="1"/>
  <c r="AJ21" i="3" s="1"/>
  <c r="AG22" i="3" s="1"/>
  <c r="AK21" i="3" l="1"/>
  <c r="AH22" i="3" s="1"/>
  <c r="AI22" i="3" s="1"/>
  <c r="AJ22" i="3" s="1"/>
  <c r="AK22" i="3" s="1"/>
  <c r="AH23" i="3" s="1"/>
  <c r="AI23" i="3" s="1"/>
  <c r="AG23" i="3" l="1"/>
  <c r="AJ23" i="3" s="1"/>
  <c r="AK23" i="3" l="1"/>
  <c r="AH24" i="3" s="1"/>
  <c r="AI24" i="3" s="1"/>
  <c r="AG24" i="3" s="1"/>
  <c r="AK24" i="3" l="1"/>
  <c r="AH25" i="3" s="1"/>
  <c r="AI25" i="3" s="1"/>
  <c r="AG25" i="3" l="1"/>
  <c r="AJ25" i="3" s="1"/>
  <c r="AG26" i="3" s="1"/>
  <c r="AK25" i="3" l="1"/>
  <c r="AH26" i="3" s="1"/>
  <c r="AI26" i="3" s="1"/>
  <c r="AJ26" i="3" s="1"/>
  <c r="AG27" i="3" s="1"/>
  <c r="AK26" i="3" l="1"/>
  <c r="AH27" i="3" s="1"/>
  <c r="AI27" i="3" s="1"/>
  <c r="AJ27" i="3" s="1"/>
  <c r="AG28" i="3" l="1"/>
  <c r="AK27" i="3"/>
  <c r="AH28" i="3" s="1"/>
  <c r="AI28" i="3" s="1"/>
  <c r="AJ28" i="3" l="1"/>
  <c r="AK28" i="3" s="1"/>
  <c r="AH29" i="3" s="1"/>
  <c r="AI29" i="3" s="1"/>
  <c r="AG29" i="3" l="1"/>
  <c r="AJ29" i="3" s="1"/>
  <c r="AK29" i="3" s="1"/>
  <c r="AH30" i="3" s="1"/>
  <c r="AI30" i="3" s="1"/>
  <c r="AG30" i="3" l="1"/>
  <c r="AJ30" i="3" s="1"/>
  <c r="AK30" i="3" l="1"/>
  <c r="AH31" i="3" s="1"/>
  <c r="AI31" i="3" s="1"/>
  <c r="AG31" i="3"/>
  <c r="AJ31" i="3" l="1"/>
  <c r="AK31" i="3" l="1"/>
  <c r="AH32" i="3" s="1"/>
  <c r="AI32" i="3" s="1"/>
  <c r="AG32" i="3"/>
  <c r="AJ32" i="3" l="1"/>
  <c r="AK32" i="3" l="1"/>
  <c r="AH33" i="3" s="1"/>
  <c r="AI33" i="3" s="1"/>
  <c r="AG33" i="3"/>
  <c r="AJ33" i="3" l="1"/>
  <c r="AK33" i="3" l="1"/>
  <c r="AH34" i="3" s="1"/>
  <c r="AI34" i="3" s="1"/>
  <c r="AG34" i="3"/>
  <c r="AJ34" i="3" l="1"/>
  <c r="AK34" i="3" s="1"/>
  <c r="AH35" i="3" s="1"/>
  <c r="AI35" i="3" s="1"/>
  <c r="AG35" i="3" l="1"/>
  <c r="AJ35" i="3" s="1"/>
  <c r="AG36" i="3" s="1"/>
  <c r="AK35" i="3" l="1"/>
  <c r="AH36" i="3" s="1"/>
  <c r="AI36" i="3" s="1"/>
  <c r="AJ36" i="3" s="1"/>
  <c r="AG37" i="3" s="1"/>
  <c r="AK36" i="3" l="1"/>
  <c r="AH37" i="3" s="1"/>
  <c r="AI37" i="3" s="1"/>
  <c r="AJ37" i="3" s="1"/>
  <c r="AG38" i="3" l="1"/>
  <c r="AK37" i="3"/>
  <c r="AH38" i="3" s="1"/>
  <c r="AI38" i="3" s="1"/>
  <c r="AJ38" i="3" l="1"/>
  <c r="AK38" i="3" l="1"/>
  <c r="AH39" i="3" s="1"/>
  <c r="AI39" i="3" s="1"/>
  <c r="AG39" i="3"/>
  <c r="AJ39" i="3" l="1"/>
  <c r="AG40" i="3" l="1"/>
  <c r="AK39" i="3"/>
  <c r="AH40" i="3" s="1"/>
  <c r="AI40" i="3" s="1"/>
  <c r="AJ40" i="3" l="1"/>
  <c r="AK40" i="3" s="1"/>
  <c r="AH41" i="3" s="1"/>
  <c r="AI41" i="3" s="1"/>
  <c r="AG41" i="3" s="1"/>
  <c r="AJ41" i="3" s="1"/>
  <c r="AG42" i="3" l="1"/>
  <c r="AK41" i="3"/>
  <c r="AH42" i="3" s="1"/>
  <c r="AI42" i="3" s="1"/>
  <c r="AJ42" i="3" l="1"/>
  <c r="AG43" i="3" l="1"/>
  <c r="AK42" i="3"/>
  <c r="AH43" i="3" s="1"/>
  <c r="AI43" i="3" s="1"/>
  <c r="AJ43" i="3" l="1"/>
  <c r="AK43" i="3" l="1"/>
  <c r="AH44" i="3" s="1"/>
  <c r="AI44" i="3" s="1"/>
  <c r="AG44" i="3"/>
  <c r="AJ44" i="3" l="1"/>
  <c r="AK44" i="3" s="1"/>
  <c r="AH45" i="3" s="1"/>
  <c r="AI45" i="3" s="1"/>
  <c r="AG45" i="3"/>
  <c r="AJ45" i="3" l="1"/>
  <c r="AG46" i="3"/>
  <c r="AK45" i="3"/>
  <c r="AH46" i="3" s="1"/>
  <c r="AI46" i="3" s="1"/>
  <c r="AJ46" i="3" s="1"/>
  <c r="AK46" i="3" l="1"/>
  <c r="AH47" i="3" s="1"/>
  <c r="AI47" i="3" s="1"/>
  <c r="AG47" i="3"/>
  <c r="AJ47" i="3" l="1"/>
  <c r="AG48" i="3" s="1"/>
  <c r="AK47" i="3" l="1"/>
  <c r="AH48" i="3" s="1"/>
  <c r="AI48" i="3" s="1"/>
  <c r="AJ48" i="3" s="1"/>
  <c r="AK48" i="3" s="1"/>
  <c r="AH49" i="3" s="1"/>
  <c r="AI49" i="3" s="1"/>
  <c r="AG49" i="3" s="1"/>
  <c r="AJ49" i="3" s="1"/>
  <c r="AG50" i="3" s="1"/>
  <c r="AK49" i="3" l="1"/>
  <c r="AH50" i="3" s="1"/>
  <c r="AI50" i="3" s="1"/>
  <c r="AJ50" i="3" s="1"/>
  <c r="AK50" i="3" l="1"/>
  <c r="AH51" i="3" s="1"/>
  <c r="AI51" i="3" s="1"/>
  <c r="AG51" i="3"/>
  <c r="AJ51" i="3" l="1"/>
  <c r="AG52" i="3" s="1"/>
  <c r="AK51" i="3" l="1"/>
  <c r="AH52" i="3" s="1"/>
  <c r="AI52" i="3" s="1"/>
  <c r="AJ52" i="3" s="1"/>
  <c r="AG53" i="3" l="1"/>
  <c r="AK52" i="3"/>
  <c r="AH53" i="3" s="1"/>
  <c r="AI53" i="3" s="1"/>
  <c r="AJ53" i="3" l="1"/>
  <c r="AK53" i="3" s="1"/>
  <c r="AH54" i="3" s="1"/>
  <c r="AI54" i="3" s="1"/>
  <c r="AG54" i="3" l="1"/>
  <c r="AJ54" i="3"/>
  <c r="AG55" i="3" s="1"/>
  <c r="AK54" i="3"/>
  <c r="AH55" i="3" s="1"/>
  <c r="AI55" i="3" s="1"/>
  <c r="AJ55" i="3" l="1"/>
  <c r="AK55" i="3" s="1"/>
  <c r="AH56" i="3" s="1"/>
  <c r="AI56" i="3" s="1"/>
  <c r="AG56" i="3"/>
  <c r="AJ56" i="3" l="1"/>
  <c r="AK56" i="3" l="1"/>
  <c r="AH57" i="3" s="1"/>
  <c r="AI57" i="3" s="1"/>
  <c r="AG57" i="3" s="1"/>
  <c r="AJ57" i="3" s="1"/>
  <c r="AK57" i="3" l="1"/>
  <c r="AH58" i="3" s="1"/>
  <c r="AI58" i="3" s="1"/>
  <c r="AG58" i="3"/>
  <c r="AJ58" i="3" l="1"/>
  <c r="AK58" i="3"/>
  <c r="AH59" i="3" s="1"/>
  <c r="AI59" i="3" s="1"/>
  <c r="AG59" i="3"/>
  <c r="AJ59" i="3" l="1"/>
  <c r="AK59" i="3" s="1"/>
  <c r="AH60" i="3" s="1"/>
  <c r="AI60" i="3" s="1"/>
  <c r="AG60" i="3" l="1"/>
  <c r="AJ60" i="3"/>
  <c r="AK60" i="3" s="1"/>
  <c r="AH61" i="3" s="1"/>
  <c r="AI61" i="3" s="1"/>
  <c r="AG61" i="3" l="1"/>
  <c r="AJ61" i="3" s="1"/>
  <c r="AK61" i="3" l="1"/>
  <c r="AH62" i="3" s="1"/>
  <c r="AI62" i="3" s="1"/>
  <c r="AG62" i="3"/>
  <c r="AJ62" i="3" l="1"/>
  <c r="AK62" i="3" l="1"/>
  <c r="AH63" i="3" s="1"/>
  <c r="AI63" i="3" s="1"/>
  <c r="AG63" i="3"/>
  <c r="AJ63" i="3" l="1"/>
  <c r="AK63" i="3" l="1"/>
  <c r="AH64" i="3" s="1"/>
  <c r="AI64" i="3" s="1"/>
  <c r="AG64" i="3"/>
  <c r="AJ64" i="3" l="1"/>
  <c r="AK64" i="3" l="1"/>
  <c r="AH65" i="3" s="1"/>
  <c r="AI65" i="3" s="1"/>
  <c r="AG65" i="3" s="1"/>
  <c r="AJ65" i="3" l="1"/>
  <c r="AK65" i="3" l="1"/>
  <c r="AH66" i="3" s="1"/>
  <c r="AI66" i="3" s="1"/>
  <c r="AG66" i="3"/>
  <c r="AJ66" i="3" l="1"/>
  <c r="AG67" i="3" l="1"/>
  <c r="AK66" i="3"/>
  <c r="AH67" i="3" s="1"/>
  <c r="AI67" i="3" s="1"/>
  <c r="AJ67" i="3" l="1"/>
  <c r="AK67" i="3" l="1"/>
  <c r="AH68" i="3" s="1"/>
  <c r="AI68" i="3" s="1"/>
  <c r="AG68" i="3"/>
  <c r="AJ68" i="3" l="1"/>
  <c r="AG69" i="3" l="1"/>
  <c r="AK68" i="3"/>
  <c r="AH69" i="3" s="1"/>
  <c r="AI69" i="3" s="1"/>
  <c r="AJ69" i="3" s="1"/>
  <c r="AK69" i="3" l="1"/>
  <c r="AH70" i="3" s="1"/>
  <c r="AI70" i="3" s="1"/>
  <c r="AG70" i="3" s="1"/>
  <c r="AJ70" i="3" l="1"/>
  <c r="AG71" i="3"/>
  <c r="AK70" i="3"/>
  <c r="AH71" i="3" s="1"/>
  <c r="AI71" i="3" s="1"/>
  <c r="AJ71" i="3" l="1"/>
  <c r="AG72" i="3"/>
  <c r="AK71" i="3"/>
  <c r="AH72" i="3" s="1"/>
  <c r="AI72" i="3" s="1"/>
  <c r="AJ72" i="3" l="1"/>
  <c r="AG73" i="3"/>
  <c r="AK72" i="3"/>
  <c r="AH73" i="3" s="1"/>
  <c r="AI73" i="3" s="1"/>
  <c r="AJ73" i="3" l="1"/>
  <c r="AG74" i="3" s="1"/>
  <c r="AK73" i="3" l="1"/>
  <c r="AH74" i="3" s="1"/>
  <c r="AI74" i="3" s="1"/>
  <c r="AJ74" i="3" s="1"/>
  <c r="AK74" i="3" s="1"/>
  <c r="AH75" i="3" s="1"/>
  <c r="AI75" i="3" s="1"/>
  <c r="AG75" i="3" l="1"/>
  <c r="AJ75" i="3"/>
  <c r="AK75" i="3" l="1"/>
  <c r="AH76" i="3" s="1"/>
  <c r="AI76" i="3" s="1"/>
  <c r="AG76" i="3" s="1"/>
  <c r="AJ76" i="3" l="1"/>
  <c r="AG77" i="3" l="1"/>
  <c r="AK76" i="3"/>
  <c r="AH77" i="3" s="1"/>
  <c r="AI77" i="3" s="1"/>
  <c r="AJ77" i="3" l="1"/>
  <c r="AG78" i="3" l="1"/>
  <c r="AK77" i="3"/>
  <c r="AH78" i="3" s="1"/>
  <c r="AI78" i="3" s="1"/>
  <c r="AJ78" i="3" s="1"/>
  <c r="AK78" i="3" l="1"/>
  <c r="AH79" i="3" s="1"/>
  <c r="AI79" i="3" s="1"/>
  <c r="AG79" i="3"/>
  <c r="AJ79" i="3" s="1"/>
  <c r="AG80" i="3" l="1"/>
  <c r="AK79" i="3"/>
  <c r="AH80" i="3" s="1"/>
  <c r="AI80" i="3" s="1"/>
  <c r="AJ80" i="3" s="1"/>
  <c r="AG81" i="3" l="1"/>
  <c r="AK80" i="3"/>
  <c r="AH81" i="3" s="1"/>
  <c r="AI81" i="3" s="1"/>
  <c r="AJ81" i="3" s="1"/>
  <c r="AK81" i="3" l="1"/>
  <c r="AH82" i="3" s="1"/>
  <c r="AI82" i="3" s="1"/>
  <c r="AG82" i="3"/>
  <c r="AJ82" i="3" l="1"/>
  <c r="AK82" i="3"/>
  <c r="AH83" i="3" s="1"/>
  <c r="AI83" i="3" s="1"/>
  <c r="AG83" i="3"/>
  <c r="AJ83" i="3" l="1"/>
  <c r="AG84" i="3"/>
  <c r="AK83" i="3"/>
  <c r="AH84" i="3" s="1"/>
  <c r="AI84" i="3" s="1"/>
  <c r="AJ84" i="3" s="1"/>
  <c r="AK84" i="3" l="1"/>
  <c r="AH85" i="3" s="1"/>
  <c r="AI85" i="3" s="1"/>
  <c r="AG85" i="3" s="1"/>
  <c r="AJ85" i="3" l="1"/>
  <c r="AG86" i="3" l="1"/>
  <c r="AK85" i="3"/>
  <c r="AH86" i="3" s="1"/>
  <c r="AI86" i="3" s="1"/>
  <c r="AJ86" i="3" l="1"/>
  <c r="AK86" i="3" l="1"/>
  <c r="AH87" i="3" s="1"/>
  <c r="AI87" i="3" s="1"/>
  <c r="AG87" i="3"/>
  <c r="AJ87" i="3" l="1"/>
  <c r="AG88" i="3"/>
  <c r="AK87" i="3"/>
  <c r="AH88" i="3" s="1"/>
  <c r="AI88" i="3" s="1"/>
  <c r="AJ88" i="3" l="1"/>
  <c r="AK88" i="3" s="1"/>
  <c r="AH89" i="3" s="1"/>
  <c r="AI89" i="3" s="1"/>
  <c r="AG89" i="3" l="1"/>
  <c r="AJ89" i="3" s="1"/>
  <c r="AK89" i="3" l="1"/>
  <c r="AH90" i="3" s="1"/>
  <c r="AI90" i="3" s="1"/>
  <c r="AG90" i="3"/>
  <c r="AJ90" i="3" l="1"/>
  <c r="AK90" i="3" l="1"/>
  <c r="AH91" i="3" s="1"/>
  <c r="AI91" i="3" s="1"/>
  <c r="AG91" i="3"/>
  <c r="AJ91" i="3" l="1"/>
  <c r="AK91" i="3" s="1"/>
  <c r="AH92" i="3" s="1"/>
  <c r="AI92" i="3" s="1"/>
  <c r="AG92" i="3" s="1"/>
  <c r="AJ92" i="3"/>
  <c r="AG93" i="3"/>
  <c r="AK92" i="3"/>
  <c r="AH93" i="3" s="1"/>
  <c r="AI93" i="3" s="1"/>
  <c r="AJ93" i="3" s="1"/>
  <c r="AG94" i="3" l="1"/>
  <c r="AK93" i="3"/>
  <c r="AH94" i="3" s="1"/>
  <c r="AI94" i="3" s="1"/>
  <c r="AJ94" i="3" l="1"/>
  <c r="AG95" i="3"/>
  <c r="AK94" i="3"/>
  <c r="AH95" i="3" s="1"/>
  <c r="AI95" i="3" s="1"/>
  <c r="AJ95" i="3" s="1"/>
  <c r="AG96" i="3" l="1"/>
  <c r="AK95" i="3"/>
  <c r="AH96" i="3" s="1"/>
  <c r="AI96" i="3" s="1"/>
  <c r="AJ96" i="3" s="1"/>
  <c r="AG97" i="3" l="1"/>
  <c r="AK96" i="3"/>
  <c r="AH97" i="3" s="1"/>
  <c r="AI97" i="3" s="1"/>
  <c r="AJ97" i="3" s="1"/>
  <c r="AK97" i="3" l="1"/>
  <c r="AH98" i="3" s="1"/>
  <c r="AI98" i="3" s="1"/>
  <c r="AG98" i="3"/>
  <c r="AJ98" i="3" l="1"/>
  <c r="AK98" i="3" l="1"/>
  <c r="AH99" i="3" s="1"/>
  <c r="AI99" i="3" s="1"/>
  <c r="AG99" i="3"/>
  <c r="AJ99" i="3" l="1"/>
  <c r="AK99" i="3" s="1"/>
  <c r="AH100" i="3" s="1"/>
  <c r="AI100" i="3" s="1"/>
  <c r="AG100" i="3" s="1"/>
  <c r="AJ100" i="3" s="1"/>
  <c r="AG101" i="3" l="1"/>
  <c r="AK100" i="3"/>
  <c r="AH101" i="3" s="1"/>
  <c r="AI101" i="3" s="1"/>
  <c r="AJ101" i="3" s="1"/>
  <c r="AG102" i="3" l="1"/>
  <c r="AK101" i="3"/>
  <c r="AH102" i="3" s="1"/>
  <c r="AI102" i="3" s="1"/>
  <c r="AJ102" i="3" s="1"/>
  <c r="AG103" i="3" l="1"/>
  <c r="AK102" i="3"/>
  <c r="AH103" i="3" s="1"/>
  <c r="AI103" i="3" s="1"/>
  <c r="AJ103" i="3" s="1"/>
  <c r="AK103" i="3" l="1"/>
  <c r="AH104" i="3" s="1"/>
  <c r="AI104" i="3" s="1"/>
  <c r="AG104" i="3"/>
  <c r="AJ104" i="3" l="1"/>
  <c r="AG105" i="3"/>
  <c r="AK104" i="3"/>
  <c r="AH105" i="3" s="1"/>
  <c r="AI105" i="3" s="1"/>
  <c r="AJ105" i="3" s="1"/>
  <c r="AG106" i="3" l="1"/>
  <c r="AK105" i="3"/>
  <c r="AH106" i="3" s="1"/>
  <c r="AI106" i="3" s="1"/>
  <c r="AJ106" i="3" s="1"/>
  <c r="AG107" i="3" l="1"/>
  <c r="AK106" i="3"/>
  <c r="AH107" i="3" s="1"/>
  <c r="AI107" i="3" s="1"/>
  <c r="AJ107" i="3" s="1"/>
  <c r="AK107" i="3" s="1"/>
  <c r="AH108" i="3" s="1"/>
  <c r="AI108" i="3" s="1"/>
  <c r="AG108" i="3" s="1"/>
  <c r="AJ108" i="3" s="1"/>
  <c r="AK108" i="3" l="1"/>
  <c r="AH109" i="3" s="1"/>
  <c r="AI109" i="3" s="1"/>
  <c r="AG109" i="3"/>
  <c r="AJ109" i="3" l="1"/>
  <c r="AK109" i="3" l="1"/>
  <c r="AH110" i="3" s="1"/>
  <c r="AI110" i="3" s="1"/>
  <c r="AG110" i="3"/>
  <c r="AJ110" i="3" l="1"/>
  <c r="AG111" i="3"/>
  <c r="AK110" i="3"/>
  <c r="AH111" i="3" s="1"/>
  <c r="AI111" i="3" s="1"/>
  <c r="AJ111" i="3" s="1"/>
  <c r="AK111" i="3" l="1"/>
  <c r="AH112" i="3" s="1"/>
  <c r="AI112" i="3" s="1"/>
  <c r="AG112" i="3"/>
  <c r="AJ112" i="3" l="1"/>
  <c r="AG113" i="3" s="1"/>
  <c r="AK112" i="3"/>
  <c r="AH113" i="3" s="1"/>
  <c r="AI113" i="3" s="1"/>
  <c r="AJ113" i="3" s="1"/>
  <c r="AK113" i="3" s="1"/>
  <c r="AH114" i="3" s="1"/>
  <c r="AI114" i="3" s="1"/>
  <c r="AG114" i="3" l="1"/>
  <c r="AJ114" i="3" s="1"/>
  <c r="AG115" i="3" l="1"/>
  <c r="AK114" i="3"/>
  <c r="AH115" i="3" s="1"/>
  <c r="AI115" i="3" s="1"/>
  <c r="AJ115" i="3" s="1"/>
  <c r="AK115" i="3" s="1"/>
  <c r="AH116" i="3" s="1"/>
  <c r="AI116" i="3" s="1"/>
  <c r="AG116" i="3" s="1"/>
  <c r="AJ116" i="3" s="1"/>
  <c r="AK116" i="3" s="1"/>
  <c r="AH117" i="3" s="1"/>
  <c r="AI117" i="3" s="1"/>
  <c r="AG117" i="3" l="1"/>
  <c r="AJ117" i="3" s="1"/>
  <c r="AG118" i="3" l="1"/>
  <c r="AK117" i="3"/>
  <c r="AH118" i="3" s="1"/>
  <c r="AI118" i="3" s="1"/>
  <c r="AJ118" i="3" s="1"/>
  <c r="AK118" i="3" l="1"/>
  <c r="AH119" i="3" s="1"/>
  <c r="AI119" i="3" s="1"/>
  <c r="AG119" i="3"/>
  <c r="AJ119" i="3" l="1"/>
  <c r="AG120" i="3"/>
  <c r="AK119" i="3"/>
  <c r="AH120" i="3" s="1"/>
  <c r="AI120" i="3" s="1"/>
  <c r="AJ120" i="3" l="1"/>
  <c r="AK120" i="3" l="1"/>
  <c r="AH121" i="3" s="1"/>
  <c r="AI121" i="3" s="1"/>
  <c r="AG121" i="3"/>
  <c r="AJ121" i="3" l="1"/>
  <c r="AG122" i="3"/>
  <c r="AK121" i="3"/>
  <c r="AH122" i="3" s="1"/>
  <c r="AI122" i="3" s="1"/>
  <c r="AJ122" i="3" s="1"/>
  <c r="AG123" i="3" l="1"/>
  <c r="AK122" i="3"/>
  <c r="AH123" i="3" s="1"/>
  <c r="AI123" i="3" s="1"/>
  <c r="AJ123" i="3" l="1"/>
  <c r="AG124" i="3" s="1"/>
  <c r="AK123" i="3" l="1"/>
  <c r="AH124" i="3" s="1"/>
  <c r="AI124" i="3" s="1"/>
  <c r="AJ124" i="3" s="1"/>
  <c r="AK124" i="3" l="1"/>
  <c r="AH125" i="3" s="1"/>
  <c r="AI125" i="3" s="1"/>
  <c r="AG125" i="3"/>
  <c r="AJ125" i="3" l="1"/>
  <c r="AG126" i="3"/>
  <c r="AK125" i="3"/>
  <c r="AH126" i="3" s="1"/>
  <c r="AI126" i="3" s="1"/>
  <c r="AJ126" i="3" l="1"/>
  <c r="AK126" i="3" s="1"/>
  <c r="AH127" i="3" s="1"/>
  <c r="AI127" i="3" s="1"/>
  <c r="AG127" i="3" s="1"/>
  <c r="AJ127" i="3" s="1"/>
  <c r="AK127" i="3" l="1"/>
  <c r="AH128" i="3" s="1"/>
  <c r="AI128" i="3" s="1"/>
  <c r="AG128" i="3"/>
  <c r="AJ128" i="3" l="1"/>
  <c r="AG129" i="3"/>
  <c r="AK128" i="3"/>
  <c r="AH129" i="3" s="1"/>
  <c r="AI129" i="3" s="1"/>
  <c r="AJ129" i="3" s="1"/>
  <c r="AG130" i="3" l="1"/>
  <c r="AK129" i="3"/>
  <c r="AH130" i="3" s="1"/>
  <c r="AI130" i="3" s="1"/>
  <c r="AJ130" i="3" s="1"/>
  <c r="AK130" i="3" l="1"/>
  <c r="AI131" i="3" l="1"/>
</calcChain>
</file>

<file path=xl/sharedStrings.xml><?xml version="1.0" encoding="utf-8"?>
<sst xmlns="http://schemas.openxmlformats.org/spreadsheetml/2006/main" count="124" uniqueCount="71">
  <si>
    <t>DOY</t>
  </si>
  <si>
    <t>Kc</t>
  </si>
  <si>
    <t>yes</t>
  </si>
  <si>
    <t>delta</t>
  </si>
  <si>
    <t>delta+gamma(1+0.34WS2M)</t>
  </si>
  <si>
    <t>e0(Tmax)</t>
  </si>
  <si>
    <t>e0(Tmin)</t>
  </si>
  <si>
    <t>es</t>
  </si>
  <si>
    <t>ea</t>
  </si>
  <si>
    <t>del</t>
  </si>
  <si>
    <t>ws</t>
  </si>
  <si>
    <t>dr</t>
  </si>
  <si>
    <t>Ra</t>
  </si>
  <si>
    <t>N</t>
  </si>
  <si>
    <t>Date</t>
  </si>
  <si>
    <t>Rs</t>
  </si>
  <si>
    <t>Rns</t>
  </si>
  <si>
    <t>Rnl</t>
  </si>
  <si>
    <t>sunshine_hour</t>
  </si>
  <si>
    <t>ET0_PM</t>
  </si>
  <si>
    <t>DP (mm)</t>
  </si>
  <si>
    <t>Soil_water(mm)</t>
  </si>
  <si>
    <t>theta (%)</t>
  </si>
  <si>
    <t xml:space="preserve">Irrigation </t>
  </si>
  <si>
    <t>min T</t>
  </si>
  <si>
    <t>max T</t>
  </si>
  <si>
    <t>Ave T</t>
  </si>
  <si>
    <t>RH</t>
  </si>
  <si>
    <t>WS</t>
  </si>
  <si>
    <t>Kharagpur</t>
  </si>
  <si>
    <t>crop: Tomato</t>
  </si>
  <si>
    <t xml:space="preserve">Latitude: 22°34'N
</t>
  </si>
  <si>
    <t xml:space="preserve">Longitude: 87°23' E
</t>
  </si>
  <si>
    <t>Rso</t>
  </si>
  <si>
    <t>ET0_Hargreaves</t>
  </si>
  <si>
    <t>Etc</t>
  </si>
  <si>
    <t>Rainfall</t>
  </si>
  <si>
    <t>Eff_Rain</t>
  </si>
  <si>
    <t>soil type: sandy loam</t>
  </si>
  <si>
    <t>Input</t>
  </si>
  <si>
    <t>ET0 calculation</t>
  </si>
  <si>
    <t>water balance</t>
  </si>
  <si>
    <t>Effective Rainfall:</t>
  </si>
  <si>
    <t>1. Fixed Percentage: 80%</t>
  </si>
  <si>
    <t xml:space="preserve">2. Empirical Formula: </t>
  </si>
  <si>
    <t>MAD : 40%</t>
  </si>
  <si>
    <t>soil water at saturation: 77mm</t>
  </si>
  <si>
    <t>Irrigation Applied</t>
  </si>
  <si>
    <t xml:space="preserve">Irrigation Amount (mm) </t>
  </si>
  <si>
    <t>crop: cotton</t>
  </si>
  <si>
    <t xml:space="preserve">Ave T </t>
  </si>
  <si>
    <t>Root Zone Depth: 1.2m</t>
  </si>
  <si>
    <t>Eff Rain</t>
  </si>
  <si>
    <t>p</t>
  </si>
  <si>
    <t>Ks</t>
  </si>
  <si>
    <t xml:space="preserve">AWC </t>
  </si>
  <si>
    <t>RAW</t>
  </si>
  <si>
    <t>FC</t>
  </si>
  <si>
    <t>wp</t>
  </si>
  <si>
    <t>FC (%)</t>
  </si>
  <si>
    <t>wp (%)</t>
  </si>
  <si>
    <t xml:space="preserve">p </t>
  </si>
  <si>
    <t>TAW</t>
  </si>
  <si>
    <t>Root Zone Depth (mm)</t>
  </si>
  <si>
    <t>MAD (mm)</t>
  </si>
  <si>
    <t>q</t>
  </si>
  <si>
    <t>Dr</t>
  </si>
  <si>
    <t>Etcadj</t>
  </si>
  <si>
    <t>soil_water(mm)</t>
  </si>
  <si>
    <t xml:space="preserve">Ks </t>
  </si>
  <si>
    <t>Irrigation applied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</si>
</sst>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scheme val="minor"/>
    </font>
    <font>
      <sz val="12"/>
      <color theme="1"/>
      <name val="&quot;Times New Roman&quot;"/>
    </font>
    <font>
      <b/>
      <sz val="12"/>
      <color theme="1"/>
      <name val="&quot;Times New Roman&quot;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75">
    <xf numFmtId="0" fontId="0" fillId="0" borderId="0" xfId="0"/>
    <xf numFmtId="14" fontId="0" fillId="0" borderId="0" xfId="0" applyNumberFormat="1"/>
    <xf numFmtId="0" fontId="1" fillId="2" borderId="0" xfId="0" applyFont="1" applyFill="1"/>
    <xf numFmtId="0" fontId="0" fillId="0" borderId="0" xfId="0" applyFill="1"/>
    <xf numFmtId="0" fontId="0" fillId="0" borderId="0" xfId="0" applyAlignment="1">
      <alignment wrapText="1"/>
    </xf>
    <xf numFmtId="0" fontId="3" fillId="0" borderId="1" xfId="1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0" fillId="3" borderId="0" xfId="0" applyFill="1"/>
    <xf numFmtId="0" fontId="3" fillId="3" borderId="1" xfId="1" applyFont="1" applyFill="1" applyBorder="1" applyAlignment="1">
      <alignment horizontal="center"/>
    </xf>
    <xf numFmtId="0" fontId="3" fillId="3" borderId="2" xfId="1" applyFont="1" applyFill="1" applyBorder="1" applyAlignment="1">
      <alignment horizontal="center"/>
    </xf>
    <xf numFmtId="0" fontId="0" fillId="4" borderId="0" xfId="0" applyFill="1"/>
    <xf numFmtId="0" fontId="1" fillId="4" borderId="0" xfId="0" applyFont="1" applyFill="1"/>
    <xf numFmtId="0" fontId="3" fillId="0" borderId="1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1" fillId="5" borderId="0" xfId="0" applyFont="1" applyFill="1"/>
    <xf numFmtId="0" fontId="3" fillId="0" borderId="1" xfId="1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14" fontId="0" fillId="0" borderId="0" xfId="0" applyNumberFormat="1" applyFill="1"/>
    <xf numFmtId="0" fontId="3" fillId="0" borderId="1" xfId="1" applyFont="1" applyFill="1" applyBorder="1" applyAlignment="1">
      <alignment horizontal="center"/>
    </xf>
    <xf numFmtId="0" fontId="3" fillId="0" borderId="2" xfId="1" applyFont="1" applyFill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1" fillId="0" borderId="0" xfId="0" applyFont="1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Soil Water vs DOY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33811057009408"/>
          <c:y val="0.21174443780562036"/>
          <c:w val="0.73610347250125763"/>
          <c:h val="0.6102395013123359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Tomato!$AJ$10:$AJ$130</c:f>
              <c:numCache>
                <c:formatCode>General</c:formatCode>
                <c:ptCount val="121"/>
                <c:pt idx="0">
                  <c:v>77</c:v>
                </c:pt>
                <c:pt idx="1">
                  <c:v>73.605093975578839</c:v>
                </c:pt>
                <c:pt idx="2">
                  <c:v>70.604540633304367</c:v>
                </c:pt>
                <c:pt idx="3">
                  <c:v>66.883180997468315</c:v>
                </c:pt>
                <c:pt idx="4">
                  <c:v>63.611429181839526</c:v>
                </c:pt>
                <c:pt idx="5">
                  <c:v>60.541698756928859</c:v>
                </c:pt>
                <c:pt idx="6">
                  <c:v>57.332554309454473</c:v>
                </c:pt>
                <c:pt idx="7">
                  <c:v>53.582436352102299</c:v>
                </c:pt>
                <c:pt idx="8">
                  <c:v>50.301241947112587</c:v>
                </c:pt>
                <c:pt idx="9">
                  <c:v>47.133033405636503</c:v>
                </c:pt>
                <c:pt idx="10">
                  <c:v>44.49666774273188</c:v>
                </c:pt>
                <c:pt idx="11">
                  <c:v>42.239542233668786</c:v>
                </c:pt>
                <c:pt idx="12">
                  <c:v>39.734882083417006</c:v>
                </c:pt>
                <c:pt idx="13">
                  <c:v>38.036461511712766</c:v>
                </c:pt>
                <c:pt idx="14">
                  <c:v>77</c:v>
                </c:pt>
                <c:pt idx="15">
                  <c:v>74.258677254056096</c:v>
                </c:pt>
                <c:pt idx="16">
                  <c:v>71.766611692567764</c:v>
                </c:pt>
                <c:pt idx="17">
                  <c:v>68.896113056549368</c:v>
                </c:pt>
                <c:pt idx="18">
                  <c:v>66.885143845848589</c:v>
                </c:pt>
                <c:pt idx="19">
                  <c:v>64.499167853155356</c:v>
                </c:pt>
                <c:pt idx="20">
                  <c:v>61.615065189385341</c:v>
                </c:pt>
                <c:pt idx="21">
                  <c:v>58.598851038319481</c:v>
                </c:pt>
                <c:pt idx="22">
                  <c:v>55.362458781842413</c:v>
                </c:pt>
                <c:pt idx="23">
                  <c:v>52.5441829782336</c:v>
                </c:pt>
                <c:pt idx="24">
                  <c:v>49.895631946524134</c:v>
                </c:pt>
                <c:pt idx="25">
                  <c:v>47.757544041214203</c:v>
                </c:pt>
                <c:pt idx="26">
                  <c:v>45.967368309718523</c:v>
                </c:pt>
                <c:pt idx="27">
                  <c:v>43.802312269407388</c:v>
                </c:pt>
                <c:pt idx="28">
                  <c:v>41.021362476011944</c:v>
                </c:pt>
                <c:pt idx="29">
                  <c:v>38.670511576049925</c:v>
                </c:pt>
                <c:pt idx="30">
                  <c:v>36.946976840131306</c:v>
                </c:pt>
                <c:pt idx="31">
                  <c:v>77</c:v>
                </c:pt>
                <c:pt idx="32">
                  <c:v>69.820410953300197</c:v>
                </c:pt>
                <c:pt idx="33">
                  <c:v>63.808937211516387</c:v>
                </c:pt>
                <c:pt idx="34">
                  <c:v>56.499700091838662</c:v>
                </c:pt>
                <c:pt idx="35">
                  <c:v>50.856994267847831</c:v>
                </c:pt>
                <c:pt idx="36">
                  <c:v>43.888389310455167</c:v>
                </c:pt>
                <c:pt idx="37">
                  <c:v>39.12033638058432</c:v>
                </c:pt>
                <c:pt idx="38">
                  <c:v>34.751294729793003</c:v>
                </c:pt>
                <c:pt idx="39">
                  <c:v>77</c:v>
                </c:pt>
                <c:pt idx="40">
                  <c:v>69.404369551831579</c:v>
                </c:pt>
                <c:pt idx="41">
                  <c:v>62.383933881918971</c:v>
                </c:pt>
                <c:pt idx="42">
                  <c:v>54.95721234371301</c:v>
                </c:pt>
                <c:pt idx="43">
                  <c:v>48.566572129122108</c:v>
                </c:pt>
                <c:pt idx="44">
                  <c:v>43.72753262009752</c:v>
                </c:pt>
                <c:pt idx="45">
                  <c:v>38.782447489217255</c:v>
                </c:pt>
                <c:pt idx="46">
                  <c:v>34.003038943581394</c:v>
                </c:pt>
                <c:pt idx="47">
                  <c:v>77</c:v>
                </c:pt>
                <c:pt idx="48">
                  <c:v>69.864504292705803</c:v>
                </c:pt>
                <c:pt idx="49">
                  <c:v>62.752643952647759</c:v>
                </c:pt>
                <c:pt idx="50">
                  <c:v>56.415259366193169</c:v>
                </c:pt>
                <c:pt idx="51">
                  <c:v>50.348390667845308</c:v>
                </c:pt>
                <c:pt idx="52">
                  <c:v>44.782380341371443</c:v>
                </c:pt>
                <c:pt idx="53">
                  <c:v>39.96149718121039</c:v>
                </c:pt>
                <c:pt idx="54">
                  <c:v>35.41026605117375</c:v>
                </c:pt>
                <c:pt idx="55">
                  <c:v>77</c:v>
                </c:pt>
                <c:pt idx="56">
                  <c:v>66.604799561706727</c:v>
                </c:pt>
                <c:pt idx="57">
                  <c:v>56.393728443960512</c:v>
                </c:pt>
                <c:pt idx="58">
                  <c:v>45.943328975774783</c:v>
                </c:pt>
                <c:pt idx="59">
                  <c:v>37.210870647652641</c:v>
                </c:pt>
                <c:pt idx="60">
                  <c:v>77</c:v>
                </c:pt>
                <c:pt idx="61">
                  <c:v>67.55868952411771</c:v>
                </c:pt>
                <c:pt idx="62">
                  <c:v>57.076109475317907</c:v>
                </c:pt>
                <c:pt idx="63">
                  <c:v>48.159872715421706</c:v>
                </c:pt>
                <c:pt idx="64">
                  <c:v>41.278588251099038</c:v>
                </c:pt>
                <c:pt idx="65">
                  <c:v>33.242370455410253</c:v>
                </c:pt>
                <c:pt idx="66">
                  <c:v>77</c:v>
                </c:pt>
                <c:pt idx="67">
                  <c:v>69.659264038064975</c:v>
                </c:pt>
                <c:pt idx="68">
                  <c:v>63.445517795081322</c:v>
                </c:pt>
                <c:pt idx="69">
                  <c:v>58.529975391253366</c:v>
                </c:pt>
                <c:pt idx="70">
                  <c:v>54.469130216027061</c:v>
                </c:pt>
                <c:pt idx="71">
                  <c:v>51.142283344675612</c:v>
                </c:pt>
                <c:pt idx="72">
                  <c:v>45.88958939911236</c:v>
                </c:pt>
                <c:pt idx="73">
                  <c:v>40.254929620469618</c:v>
                </c:pt>
                <c:pt idx="74">
                  <c:v>35.544656875091448</c:v>
                </c:pt>
                <c:pt idx="75">
                  <c:v>77</c:v>
                </c:pt>
                <c:pt idx="76">
                  <c:v>70.251694605883316</c:v>
                </c:pt>
                <c:pt idx="77">
                  <c:v>62.37606063922486</c:v>
                </c:pt>
                <c:pt idx="78">
                  <c:v>54.401090976677857</c:v>
                </c:pt>
                <c:pt idx="79">
                  <c:v>47.45827679868033</c:v>
                </c:pt>
                <c:pt idx="80">
                  <c:v>42.025531575299908</c:v>
                </c:pt>
                <c:pt idx="81">
                  <c:v>37.022351310348746</c:v>
                </c:pt>
                <c:pt idx="82">
                  <c:v>77</c:v>
                </c:pt>
                <c:pt idx="83">
                  <c:v>70.481726884507182</c:v>
                </c:pt>
                <c:pt idx="84">
                  <c:v>63.557602287005636</c:v>
                </c:pt>
                <c:pt idx="85">
                  <c:v>56.138926740398503</c:v>
                </c:pt>
                <c:pt idx="86">
                  <c:v>48.576844858388867</c:v>
                </c:pt>
                <c:pt idx="87">
                  <c:v>42.952023882855428</c:v>
                </c:pt>
                <c:pt idx="88">
                  <c:v>38.580302493992768</c:v>
                </c:pt>
                <c:pt idx="89">
                  <c:v>33.502205563662386</c:v>
                </c:pt>
                <c:pt idx="90">
                  <c:v>77</c:v>
                </c:pt>
                <c:pt idx="91">
                  <c:v>68.543711643357057</c:v>
                </c:pt>
                <c:pt idx="92">
                  <c:v>60.971487927840165</c:v>
                </c:pt>
                <c:pt idx="93">
                  <c:v>54.171605537658174</c:v>
                </c:pt>
                <c:pt idx="94">
                  <c:v>47.609505705877993</c:v>
                </c:pt>
                <c:pt idx="95">
                  <c:v>42.929449576323378</c:v>
                </c:pt>
                <c:pt idx="96">
                  <c:v>38.664961290710892</c:v>
                </c:pt>
                <c:pt idx="97">
                  <c:v>35.47112603037084</c:v>
                </c:pt>
                <c:pt idx="98">
                  <c:v>77</c:v>
                </c:pt>
                <c:pt idx="99">
                  <c:v>72.835551897230843</c:v>
                </c:pt>
                <c:pt idx="100">
                  <c:v>65.198087113236511</c:v>
                </c:pt>
                <c:pt idx="101">
                  <c:v>58.997898367841451</c:v>
                </c:pt>
                <c:pt idx="102">
                  <c:v>52.938658517407951</c:v>
                </c:pt>
                <c:pt idx="103">
                  <c:v>46.569088399464093</c:v>
                </c:pt>
                <c:pt idx="104">
                  <c:v>41.009504351657036</c:v>
                </c:pt>
                <c:pt idx="105">
                  <c:v>36.494883435654287</c:v>
                </c:pt>
                <c:pt idx="106">
                  <c:v>77</c:v>
                </c:pt>
                <c:pt idx="107">
                  <c:v>69.69401072606432</c:v>
                </c:pt>
                <c:pt idx="108">
                  <c:v>69.163298381998814</c:v>
                </c:pt>
                <c:pt idx="109">
                  <c:v>63.455142498359393</c:v>
                </c:pt>
                <c:pt idx="110">
                  <c:v>55.637362207195878</c:v>
                </c:pt>
                <c:pt idx="111">
                  <c:v>50.680399370579863</c:v>
                </c:pt>
                <c:pt idx="112">
                  <c:v>51.967231800512252</c:v>
                </c:pt>
                <c:pt idx="113">
                  <c:v>48.195939198183694</c:v>
                </c:pt>
                <c:pt idx="114">
                  <c:v>43.229674501743119</c:v>
                </c:pt>
                <c:pt idx="115">
                  <c:v>38.90748825471924</c:v>
                </c:pt>
                <c:pt idx="116">
                  <c:v>34.768705671821166</c:v>
                </c:pt>
                <c:pt idx="117">
                  <c:v>77</c:v>
                </c:pt>
                <c:pt idx="118">
                  <c:v>72.354642387816199</c:v>
                </c:pt>
                <c:pt idx="119">
                  <c:v>67.279718629968045</c:v>
                </c:pt>
                <c:pt idx="120">
                  <c:v>62.20410837505775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425605008"/>
        <c:axId val="1425601200"/>
      </c:lineChart>
      <c:catAx>
        <c:axId val="142560500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601200"/>
        <c:crosses val="autoZero"/>
        <c:auto val="1"/>
        <c:lblAlgn val="ctr"/>
        <c:lblOffset val="100"/>
        <c:noMultiLvlLbl val="0"/>
      </c:catAx>
      <c:valAx>
        <c:axId val="142560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60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cotton!$AH$10:$AH$190</c:f>
              <c:numCache>
                <c:formatCode>General</c:formatCode>
                <c:ptCount val="181"/>
                <c:pt idx="0">
                  <c:v>132</c:v>
                </c:pt>
                <c:pt idx="1">
                  <c:v>128.20284224225466</c:v>
                </c:pt>
                <c:pt idx="2">
                  <c:v>125.27367467480219</c:v>
                </c:pt>
                <c:pt idx="3">
                  <c:v>130.25023714095832</c:v>
                </c:pt>
                <c:pt idx="4">
                  <c:v>134.00016111460982</c:v>
                </c:pt>
                <c:pt idx="5">
                  <c:v>131.56864198409269</c:v>
                </c:pt>
                <c:pt idx="6">
                  <c:v>132.51442933637708</c:v>
                </c:pt>
                <c:pt idx="7">
                  <c:v>130.59740226504749</c:v>
                </c:pt>
                <c:pt idx="8">
                  <c:v>127.9119759278402</c:v>
                </c:pt>
                <c:pt idx="9">
                  <c:v>125.67706968399696</c:v>
                </c:pt>
                <c:pt idx="10">
                  <c:v>132.73174779395038</c:v>
                </c:pt>
                <c:pt idx="11">
                  <c:v>130.68411357985286</c:v>
                </c:pt>
                <c:pt idx="12">
                  <c:v>129.4192685393709</c:v>
                </c:pt>
                <c:pt idx="13">
                  <c:v>128.00062070234537</c:v>
                </c:pt>
                <c:pt idx="14">
                  <c:v>124.72547026003944</c:v>
                </c:pt>
                <c:pt idx="15">
                  <c:v>122.35576791627533</c:v>
                </c:pt>
                <c:pt idx="16">
                  <c:v>119.75161726741781</c:v>
                </c:pt>
                <c:pt idx="17">
                  <c:v>116.82146833834221</c:v>
                </c:pt>
                <c:pt idx="18">
                  <c:v>113.99739463497964</c:v>
                </c:pt>
                <c:pt idx="19">
                  <c:v>112.20428697819011</c:v>
                </c:pt>
                <c:pt idx="20">
                  <c:v>112.2876163832241</c:v>
                </c:pt>
                <c:pt idx="21">
                  <c:v>110.06009394938849</c:v>
                </c:pt>
                <c:pt idx="22">
                  <c:v>107.78272129920428</c:v>
                </c:pt>
                <c:pt idx="23">
                  <c:v>105.14427132083462</c:v>
                </c:pt>
                <c:pt idx="24">
                  <c:v>102.26529437329164</c:v>
                </c:pt>
                <c:pt idx="25">
                  <c:v>107.14892942791552</c:v>
                </c:pt>
                <c:pt idx="26">
                  <c:v>112.97756894736231</c:v>
                </c:pt>
                <c:pt idx="27">
                  <c:v>117.19580733784998</c:v>
                </c:pt>
                <c:pt idx="28">
                  <c:v>115.40410018643207</c:v>
                </c:pt>
                <c:pt idx="29">
                  <c:v>113.72453912775995</c:v>
                </c:pt>
                <c:pt idx="30">
                  <c:v>112.222026924961</c:v>
                </c:pt>
                <c:pt idx="31">
                  <c:v>116.0099905669545</c:v>
                </c:pt>
                <c:pt idx="32">
                  <c:v>112.31883111744392</c:v>
                </c:pt>
                <c:pt idx="33">
                  <c:v>115.3917609446794</c:v>
                </c:pt>
                <c:pt idx="34">
                  <c:v>111.15749219551931</c:v>
                </c:pt>
                <c:pt idx="35">
                  <c:v>105.4669215200781</c:v>
                </c:pt>
                <c:pt idx="36">
                  <c:v>99.379254766169041</c:v>
                </c:pt>
                <c:pt idx="37">
                  <c:v>93.641218291968471</c:v>
                </c:pt>
                <c:pt idx="38">
                  <c:v>89.638510598294928</c:v>
                </c:pt>
                <c:pt idx="39">
                  <c:v>91.551749472153787</c:v>
                </c:pt>
                <c:pt idx="40">
                  <c:v>98.474296654019057</c:v>
                </c:pt>
                <c:pt idx="41">
                  <c:v>95.225312237030877</c:v>
                </c:pt>
                <c:pt idx="42">
                  <c:v>98.713548215463547</c:v>
                </c:pt>
                <c:pt idx="43">
                  <c:v>97.239192108564595</c:v>
                </c:pt>
                <c:pt idx="44">
                  <c:v>103.39979295680754</c:v>
                </c:pt>
                <c:pt idx="45">
                  <c:v>109.84660325530834</c:v>
                </c:pt>
                <c:pt idx="46">
                  <c:v>112.6831572891805</c:v>
                </c:pt>
                <c:pt idx="47">
                  <c:v>117.23342779069753</c:v>
                </c:pt>
                <c:pt idx="48">
                  <c:v>119.45502311833499</c:v>
                </c:pt>
                <c:pt idx="49">
                  <c:v>130.13404965771994</c:v>
                </c:pt>
                <c:pt idx="50">
                  <c:v>131.55539744898397</c:v>
                </c:pt>
                <c:pt idx="51">
                  <c:v>132</c:v>
                </c:pt>
                <c:pt idx="52">
                  <c:v>132</c:v>
                </c:pt>
                <c:pt idx="53">
                  <c:v>130.47173583920099</c:v>
                </c:pt>
                <c:pt idx="54">
                  <c:v>127.62896558339941</c:v>
                </c:pt>
                <c:pt idx="55">
                  <c:v>123.63312040135133</c:v>
                </c:pt>
                <c:pt idx="56">
                  <c:v>119.64277412330146</c:v>
                </c:pt>
                <c:pt idx="57">
                  <c:v>115.65707337770168</c:v>
                </c:pt>
                <c:pt idx="58">
                  <c:v>111.59645972878106</c:v>
                </c:pt>
                <c:pt idx="59">
                  <c:v>113.81881811065993</c:v>
                </c:pt>
                <c:pt idx="60">
                  <c:v>110.50900458861238</c:v>
                </c:pt>
                <c:pt idx="61">
                  <c:v>107.579596596676</c:v>
                </c:pt>
                <c:pt idx="62">
                  <c:v>106.49657767276362</c:v>
                </c:pt>
                <c:pt idx="63">
                  <c:v>108.52103730418449</c:v>
                </c:pt>
                <c:pt idx="64">
                  <c:v>104.52465969185909</c:v>
                </c:pt>
                <c:pt idx="65">
                  <c:v>101.40041207544058</c:v>
                </c:pt>
                <c:pt idx="66">
                  <c:v>106.2303402369505</c:v>
                </c:pt>
                <c:pt idx="67">
                  <c:v>103.9007285034389</c:v>
                </c:pt>
                <c:pt idx="68">
                  <c:v>101.43926085643706</c:v>
                </c:pt>
                <c:pt idx="69">
                  <c:v>102.56805563833069</c:v>
                </c:pt>
                <c:pt idx="70">
                  <c:v>101.05047339703395</c:v>
                </c:pt>
                <c:pt idx="71">
                  <c:v>98.205329685450835</c:v>
                </c:pt>
                <c:pt idx="72">
                  <c:v>100.88199761346613</c:v>
                </c:pt>
                <c:pt idx="73">
                  <c:v>101.97872838604243</c:v>
                </c:pt>
                <c:pt idx="74">
                  <c:v>103.0607915444922</c:v>
                </c:pt>
                <c:pt idx="75">
                  <c:v>101.08445214648262</c:v>
                </c:pt>
                <c:pt idx="76">
                  <c:v>96.731926646632829</c:v>
                </c:pt>
                <c:pt idx="77">
                  <c:v>94.194194828591094</c:v>
                </c:pt>
                <c:pt idx="78">
                  <c:v>88.777751324662603</c:v>
                </c:pt>
                <c:pt idx="79">
                  <c:v>83.997931642449814</c:v>
                </c:pt>
                <c:pt idx="80">
                  <c:v>79.992827738539077</c:v>
                </c:pt>
                <c:pt idx="81">
                  <c:v>132</c:v>
                </c:pt>
                <c:pt idx="82">
                  <c:v>129.52543683193539</c:v>
                </c:pt>
                <c:pt idx="83">
                  <c:v>124.78285255245322</c:v>
                </c:pt>
                <c:pt idx="84">
                  <c:v>126.86213825756988</c:v>
                </c:pt>
                <c:pt idx="85">
                  <c:v>127.40050619230098</c:v>
                </c:pt>
                <c:pt idx="86">
                  <c:v>121.33415334473548</c:v>
                </c:pt>
                <c:pt idx="87">
                  <c:v>120.30013959426057</c:v>
                </c:pt>
                <c:pt idx="88">
                  <c:v>116.3076068030492</c:v>
                </c:pt>
                <c:pt idx="89">
                  <c:v>117.94213002949108</c:v>
                </c:pt>
                <c:pt idx="90">
                  <c:v>121.92365371145091</c:v>
                </c:pt>
                <c:pt idx="91">
                  <c:v>124.34089586931908</c:v>
                </c:pt>
                <c:pt idx="92">
                  <c:v>118.48742080349868</c:v>
                </c:pt>
                <c:pt idx="93">
                  <c:v>111.57893504422877</c:v>
                </c:pt>
                <c:pt idx="94">
                  <c:v>105.93683440939918</c:v>
                </c:pt>
                <c:pt idx="95">
                  <c:v>100.51652390727915</c:v>
                </c:pt>
                <c:pt idx="96">
                  <c:v>101.73646252848475</c:v>
                </c:pt>
                <c:pt idx="97">
                  <c:v>104.68059315940496</c:v>
                </c:pt>
                <c:pt idx="98">
                  <c:v>105.42823231271201</c:v>
                </c:pt>
                <c:pt idx="99">
                  <c:v>105.82376414014578</c:v>
                </c:pt>
                <c:pt idx="100">
                  <c:v>107.27458411298612</c:v>
                </c:pt>
                <c:pt idx="101">
                  <c:v>102.86927786684103</c:v>
                </c:pt>
                <c:pt idx="102">
                  <c:v>98.297698150430577</c:v>
                </c:pt>
                <c:pt idx="103">
                  <c:v>91.995428562301285</c:v>
                </c:pt>
                <c:pt idx="104">
                  <c:v>88.607949240460258</c:v>
                </c:pt>
                <c:pt idx="105">
                  <c:v>91.42135500091868</c:v>
                </c:pt>
                <c:pt idx="106">
                  <c:v>91.778860343974614</c:v>
                </c:pt>
                <c:pt idx="107">
                  <c:v>88.050961935804736</c:v>
                </c:pt>
                <c:pt idx="108">
                  <c:v>82.478322675750462</c:v>
                </c:pt>
                <c:pt idx="109">
                  <c:v>80.553608434860962</c:v>
                </c:pt>
                <c:pt idx="110">
                  <c:v>82.063916950217603</c:v>
                </c:pt>
                <c:pt idx="111">
                  <c:v>132</c:v>
                </c:pt>
                <c:pt idx="112">
                  <c:v>133.59540608302382</c:v>
                </c:pt>
                <c:pt idx="113">
                  <c:v>134.21684878129514</c:v>
                </c:pt>
                <c:pt idx="114">
                  <c:v>126.76949461332786</c:v>
                </c:pt>
                <c:pt idx="115">
                  <c:v>119.28981547294293</c:v>
                </c:pt>
                <c:pt idx="116">
                  <c:v>113.51755101635477</c:v>
                </c:pt>
                <c:pt idx="117">
                  <c:v>113.38775604387662</c:v>
                </c:pt>
                <c:pt idx="118">
                  <c:v>113.1445892397066</c:v>
                </c:pt>
                <c:pt idx="119">
                  <c:v>113.00771052858664</c:v>
                </c:pt>
                <c:pt idx="120">
                  <c:v>108.81347424150073</c:v>
                </c:pt>
                <c:pt idx="121">
                  <c:v>109.98783465111605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132</c:v>
                </c:pt>
                <c:pt idx="145">
                  <c:v>132</c:v>
                </c:pt>
                <c:pt idx="146">
                  <c:v>132</c:v>
                </c:pt>
                <c:pt idx="147">
                  <c:v>132</c:v>
                </c:pt>
                <c:pt idx="148">
                  <c:v>128.52776719276579</c:v>
                </c:pt>
                <c:pt idx="149">
                  <c:v>125.02219548211472</c:v>
                </c:pt>
                <c:pt idx="150">
                  <c:v>126.83651234147791</c:v>
                </c:pt>
                <c:pt idx="151">
                  <c:v>131.36619665409194</c:v>
                </c:pt>
                <c:pt idx="152">
                  <c:v>136.64450748184265</c:v>
                </c:pt>
                <c:pt idx="153">
                  <c:v>139.7229286790415</c:v>
                </c:pt>
                <c:pt idx="154">
                  <c:v>136.27974644665929</c:v>
                </c:pt>
                <c:pt idx="155">
                  <c:v>131.88378373611192</c:v>
                </c:pt>
                <c:pt idx="156">
                  <c:v>128.65768602767207</c:v>
                </c:pt>
                <c:pt idx="157">
                  <c:v>134.54847964280773</c:v>
                </c:pt>
                <c:pt idx="158">
                  <c:v>131.22817554656916</c:v>
                </c:pt>
                <c:pt idx="159">
                  <c:v>127.28802916323123</c:v>
                </c:pt>
                <c:pt idx="160">
                  <c:v>124.66106539693459</c:v>
                </c:pt>
                <c:pt idx="161">
                  <c:v>120.95291787449969</c:v>
                </c:pt>
                <c:pt idx="162">
                  <c:v>115.64932853955362</c:v>
                </c:pt>
                <c:pt idx="163">
                  <c:v>111.97059452097179</c:v>
                </c:pt>
                <c:pt idx="164">
                  <c:v>107.58234193986956</c:v>
                </c:pt>
                <c:pt idx="165">
                  <c:v>103.22049466909428</c:v>
                </c:pt>
                <c:pt idx="166">
                  <c:v>97.966540083193223</c:v>
                </c:pt>
                <c:pt idx="167">
                  <c:v>96.180724524067941</c:v>
                </c:pt>
                <c:pt idx="168">
                  <c:v>91.057730166942108</c:v>
                </c:pt>
                <c:pt idx="169">
                  <c:v>91.302999149179342</c:v>
                </c:pt>
                <c:pt idx="170">
                  <c:v>94.825914194372757</c:v>
                </c:pt>
                <c:pt idx="171">
                  <c:v>106.34555582515556</c:v>
                </c:pt>
                <c:pt idx="172">
                  <c:v>116.1637454472974</c:v>
                </c:pt>
                <c:pt idx="173">
                  <c:v>113.3509131936593</c:v>
                </c:pt>
                <c:pt idx="174">
                  <c:v>113.16962118492822</c:v>
                </c:pt>
                <c:pt idx="175">
                  <c:v>106.08720747582062</c:v>
                </c:pt>
                <c:pt idx="176">
                  <c:v>99.527907877657256</c:v>
                </c:pt>
                <c:pt idx="177">
                  <c:v>93.716209970535374</c:v>
                </c:pt>
                <c:pt idx="178">
                  <c:v>90.352148264876575</c:v>
                </c:pt>
                <c:pt idx="179">
                  <c:v>86.209351999004156</c:v>
                </c:pt>
                <c:pt idx="180">
                  <c:v>83.199699282825279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5606096"/>
        <c:axId val="1425607728"/>
      </c:lineChart>
      <c:catAx>
        <c:axId val="142560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607728"/>
        <c:crosses val="autoZero"/>
        <c:auto val="1"/>
        <c:lblAlgn val="ctr"/>
        <c:lblOffset val="100"/>
        <c:noMultiLvlLbl val="0"/>
      </c:catAx>
      <c:valAx>
        <c:axId val="142560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60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412374</xdr:colOff>
      <xdr:row>86</xdr:row>
      <xdr:rowOff>134471</xdr:rowOff>
    </xdr:from>
    <xdr:to>
      <xdr:col>48</xdr:col>
      <xdr:colOff>242045</xdr:colOff>
      <xdr:row>101</xdr:row>
      <xdr:rowOff>31376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15240</xdr:colOff>
      <xdr:row>126</xdr:row>
      <xdr:rowOff>91440</xdr:rowOff>
    </xdr:from>
    <xdr:to>
      <xdr:col>43</xdr:col>
      <xdr:colOff>83820</xdr:colOff>
      <xdr:row>140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91441</xdr:rowOff>
    </xdr:from>
    <xdr:to>
      <xdr:col>6</xdr:col>
      <xdr:colOff>213360</xdr:colOff>
      <xdr:row>7</xdr:row>
      <xdr:rowOff>173535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1441"/>
          <a:ext cx="3870960" cy="1362254"/>
        </a:xfrm>
        <a:prstGeom prst="round2DiagRect">
          <a:avLst>
            <a:gd name="adj1" fmla="val 16667"/>
            <a:gd name="adj2" fmla="val 0"/>
          </a:avLst>
        </a:prstGeom>
        <a:ln w="88900" cap="sq">
          <a:solidFill>
            <a:srgbClr val="FFFFFF"/>
          </a:solidFill>
          <a:miter lim="800000"/>
        </a:ln>
        <a:effectLst>
          <a:outerShdw blurRad="254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0</xdr:col>
      <xdr:colOff>0</xdr:colOff>
      <xdr:row>9</xdr:row>
      <xdr:rowOff>114301</xdr:rowOff>
    </xdr:from>
    <xdr:to>
      <xdr:col>8</xdr:col>
      <xdr:colOff>341759</xdr:colOff>
      <xdr:row>17</xdr:row>
      <xdr:rowOff>99060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760221"/>
          <a:ext cx="5218559" cy="1447799"/>
        </a:xfrm>
        <a:prstGeom prst="round2DiagRect">
          <a:avLst>
            <a:gd name="adj1" fmla="val 16667"/>
            <a:gd name="adj2" fmla="val 0"/>
          </a:avLst>
        </a:prstGeom>
        <a:ln w="88900" cap="sq">
          <a:solidFill>
            <a:srgbClr val="FFFFFF"/>
          </a:solidFill>
          <a:miter lim="800000"/>
        </a:ln>
        <a:effectLst>
          <a:outerShdw blurRad="254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0</xdr:col>
      <xdr:colOff>0</xdr:colOff>
      <xdr:row>19</xdr:row>
      <xdr:rowOff>22860</xdr:rowOff>
    </xdr:from>
    <xdr:to>
      <xdr:col>8</xdr:col>
      <xdr:colOff>350519</xdr:colOff>
      <xdr:row>29</xdr:row>
      <xdr:rowOff>63471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497580"/>
          <a:ext cx="5227319" cy="1869411"/>
        </a:xfrm>
        <a:prstGeom prst="snip2Diag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0</xdr:col>
      <xdr:colOff>0</xdr:colOff>
      <xdr:row>32</xdr:row>
      <xdr:rowOff>121920</xdr:rowOff>
    </xdr:from>
    <xdr:to>
      <xdr:col>9</xdr:col>
      <xdr:colOff>389399</xdr:colOff>
      <xdr:row>40</xdr:row>
      <xdr:rowOff>129540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5974080"/>
          <a:ext cx="5875799" cy="1470660"/>
        </a:xfrm>
        <a:prstGeom prst="round2DiagRect">
          <a:avLst>
            <a:gd name="adj1" fmla="val 16667"/>
            <a:gd name="adj2" fmla="val 0"/>
          </a:avLst>
        </a:prstGeom>
        <a:ln w="88900" cap="sq">
          <a:solidFill>
            <a:srgbClr val="FFFFFF"/>
          </a:solidFill>
          <a:miter lim="800000"/>
        </a:ln>
        <a:effectLst>
          <a:outerShdw blurRad="254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0</xdr:col>
      <xdr:colOff>0</xdr:colOff>
      <xdr:row>42</xdr:row>
      <xdr:rowOff>83819</xdr:rowOff>
    </xdr:from>
    <xdr:to>
      <xdr:col>7</xdr:col>
      <xdr:colOff>426720</xdr:colOff>
      <xdr:row>55</xdr:row>
      <xdr:rowOff>111354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7764779"/>
          <a:ext cx="4693920" cy="240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31"/>
  <sheetViews>
    <sheetView tabSelected="1" zoomScale="122" zoomScaleNormal="85" workbookViewId="0">
      <pane ySplit="9" topLeftCell="A13" activePane="bottomLeft" state="frozen"/>
      <selection pane="bottomLeft" activeCell="N11" sqref="N11"/>
    </sheetView>
  </sheetViews>
  <sheetFormatPr defaultRowHeight="14.4"/>
  <cols>
    <col min="1" max="1" width="21.44140625" customWidth="1"/>
    <col min="2" max="2" width="13.33203125" customWidth="1"/>
    <col min="8" max="8" width="14.5546875" customWidth="1"/>
    <col min="10" max="10" width="28.5546875" customWidth="1"/>
    <col min="11" max="11" width="11" customWidth="1"/>
    <col min="12" max="12" width="11.88671875" customWidth="1"/>
    <col min="24" max="24" width="16.21875" customWidth="1"/>
    <col min="25" max="25" width="13.88671875" customWidth="1"/>
    <col min="33" max="38" width="20.33203125" customWidth="1"/>
  </cols>
  <sheetData>
    <row r="1" spans="1:39">
      <c r="A1" t="s">
        <v>29</v>
      </c>
    </row>
    <row r="2" spans="1:39">
      <c r="A2" t="s">
        <v>30</v>
      </c>
    </row>
    <row r="3" spans="1:39" ht="43.2">
      <c r="A3" s="4" t="s">
        <v>31</v>
      </c>
      <c r="B3" s="4" t="s">
        <v>32</v>
      </c>
    </row>
    <row r="4" spans="1:39">
      <c r="A4" t="s">
        <v>38</v>
      </c>
    </row>
    <row r="5" spans="1:39">
      <c r="A5" t="s">
        <v>57</v>
      </c>
      <c r="B5">
        <v>25</v>
      </c>
      <c r="C5" t="s">
        <v>58</v>
      </c>
      <c r="D5">
        <v>14</v>
      </c>
      <c r="E5" t="s">
        <v>53</v>
      </c>
      <c r="F5">
        <v>0.8</v>
      </c>
      <c r="G5" t="s">
        <v>65</v>
      </c>
      <c r="H5">
        <v>0.5</v>
      </c>
    </row>
    <row r="6" spans="1:39">
      <c r="A6" t="s">
        <v>45</v>
      </c>
      <c r="C6" t="s">
        <v>62</v>
      </c>
      <c r="D6">
        <f>(B5-D5)*B7/100</f>
        <v>77</v>
      </c>
      <c r="E6" t="s">
        <v>56</v>
      </c>
      <c r="F6">
        <f>D6*F5</f>
        <v>61.6</v>
      </c>
      <c r="G6" t="s">
        <v>64</v>
      </c>
      <c r="H6">
        <f>D6*H5</f>
        <v>38.5</v>
      </c>
    </row>
    <row r="7" spans="1:39">
      <c r="A7" t="s">
        <v>63</v>
      </c>
      <c r="B7">
        <v>700</v>
      </c>
      <c r="F7">
        <v>15.4</v>
      </c>
      <c r="AF7" t="s">
        <v>46</v>
      </c>
      <c r="AH7">
        <v>1</v>
      </c>
      <c r="AI7">
        <v>2</v>
      </c>
      <c r="AJ7">
        <v>3</v>
      </c>
    </row>
    <row r="8" spans="1:39">
      <c r="B8" s="72" t="s">
        <v>39</v>
      </c>
      <c r="C8" s="72"/>
      <c r="D8" s="72"/>
      <c r="E8" s="72"/>
      <c r="F8" s="72"/>
      <c r="G8" s="72"/>
      <c r="H8" s="72"/>
      <c r="I8" s="73" t="s">
        <v>40</v>
      </c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AB8" s="74" t="s">
        <v>41</v>
      </c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</row>
    <row r="9" spans="1:39">
      <c r="A9" t="s">
        <v>14</v>
      </c>
      <c r="B9" s="13" t="s">
        <v>0</v>
      </c>
      <c r="C9" s="13" t="s">
        <v>26</v>
      </c>
      <c r="D9" s="13" t="s">
        <v>25</v>
      </c>
      <c r="E9" s="13" t="s">
        <v>24</v>
      </c>
      <c r="F9" s="13" t="s">
        <v>27</v>
      </c>
      <c r="G9" s="13" t="s">
        <v>28</v>
      </c>
      <c r="H9" s="13" t="s">
        <v>18</v>
      </c>
      <c r="I9" s="16" t="s">
        <v>3</v>
      </c>
      <c r="J9" s="17" t="s">
        <v>4</v>
      </c>
      <c r="K9" s="17" t="s">
        <v>5</v>
      </c>
      <c r="L9" s="17" t="s">
        <v>6</v>
      </c>
      <c r="M9" s="17" t="s">
        <v>7</v>
      </c>
      <c r="N9" s="17" t="s">
        <v>8</v>
      </c>
      <c r="O9" s="17" t="s">
        <v>9</v>
      </c>
      <c r="P9" s="17" t="s">
        <v>11</v>
      </c>
      <c r="Q9" s="17" t="s">
        <v>10</v>
      </c>
      <c r="R9" s="17" t="s">
        <v>12</v>
      </c>
      <c r="S9" s="17" t="s">
        <v>13</v>
      </c>
      <c r="T9" s="17" t="s">
        <v>15</v>
      </c>
      <c r="U9" s="17" t="s">
        <v>33</v>
      </c>
      <c r="V9" s="17" t="s">
        <v>16</v>
      </c>
      <c r="W9" s="17" t="s">
        <v>17</v>
      </c>
      <c r="X9" s="17" t="s">
        <v>19</v>
      </c>
      <c r="Y9" s="17" t="s">
        <v>34</v>
      </c>
      <c r="Z9" s="2" t="s">
        <v>1</v>
      </c>
      <c r="AA9" s="2" t="s">
        <v>54</v>
      </c>
      <c r="AB9" s="2" t="s">
        <v>35</v>
      </c>
      <c r="AC9" s="2" t="s">
        <v>67</v>
      </c>
      <c r="AD9" s="2" t="s">
        <v>36</v>
      </c>
      <c r="AE9" s="2" t="s">
        <v>37</v>
      </c>
      <c r="AF9" t="s">
        <v>20</v>
      </c>
      <c r="AG9" s="2" t="s">
        <v>47</v>
      </c>
      <c r="AH9" s="2" t="s">
        <v>69</v>
      </c>
      <c r="AI9" s="2" t="s">
        <v>67</v>
      </c>
      <c r="AJ9" s="2" t="s">
        <v>68</v>
      </c>
      <c r="AK9" s="2" t="s">
        <v>66</v>
      </c>
      <c r="AL9" s="2" t="s">
        <v>70</v>
      </c>
    </row>
    <row r="10" spans="1:39">
      <c r="B10" s="13"/>
      <c r="C10" s="13"/>
      <c r="D10" s="13"/>
      <c r="E10" s="13"/>
      <c r="F10" s="13"/>
      <c r="G10" s="13"/>
      <c r="H10" s="13"/>
      <c r="I10" s="16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2"/>
      <c r="AA10" s="2"/>
      <c r="AB10" s="2"/>
      <c r="AC10" s="2"/>
      <c r="AD10" s="2"/>
      <c r="AE10" s="2"/>
      <c r="AG10" s="2"/>
      <c r="AH10" s="71"/>
      <c r="AI10" s="2"/>
      <c r="AJ10" s="2">
        <v>77</v>
      </c>
      <c r="AK10" s="2">
        <f t="shared" ref="AK10:AK19" si="0">$D$6-AJ10</f>
        <v>0</v>
      </c>
      <c r="AL10" s="71"/>
    </row>
    <row r="11" spans="1:39" ht="15.6">
      <c r="A11" s="1">
        <v>44197</v>
      </c>
      <c r="B11" s="13">
        <v>1</v>
      </c>
      <c r="C11" s="13">
        <f>(D11+E11)/2</f>
        <v>18</v>
      </c>
      <c r="D11" s="14">
        <v>25.5</v>
      </c>
      <c r="E11" s="14">
        <v>10.5</v>
      </c>
      <c r="F11" s="13">
        <v>44</v>
      </c>
      <c r="G11" s="14">
        <v>6</v>
      </c>
      <c r="H11" s="15">
        <v>6.3</v>
      </c>
      <c r="I11" s="16">
        <f>4098*(0.6108*EXP(17.27*Tomato!C11/(Tomato!C11+237.3)))/(Tomato!C11+237.3)^2</f>
        <v>0.12977102815536121</v>
      </c>
      <c r="J11" s="16">
        <f>I11+0.06736*(1+0.34*G11)</f>
        <v>0.33454542815536126</v>
      </c>
      <c r="K11" s="16">
        <f>0.6108*EXP(17.27*D11/(D11+237.3))</f>
        <v>3.263356619324485</v>
      </c>
      <c r="L11" s="16">
        <f>0.6108*EXP(17.27*E11/(E11+237.3))</f>
        <v>1.2697168912941836</v>
      </c>
      <c r="M11" s="16">
        <f>(K11+L11)/2</f>
        <v>2.2665367553093345</v>
      </c>
      <c r="N11" s="16">
        <f>F11/100*((K11+L11)/2)</f>
        <v>0.99727617233610721</v>
      </c>
      <c r="O11" s="16">
        <f>0.409*SIN(2*3.14*B11/365-1.39)</f>
        <v>-0.40100879472685824</v>
      </c>
      <c r="P11" s="16">
        <f>1+0.033*COS(2*3.14*B11/365)</f>
        <v>1.0329951156498616</v>
      </c>
      <c r="Q11" s="16">
        <f>ACOS(-TAN(22.57*3.14/180)*TAN(O11))</f>
        <v>1.3937454424928852</v>
      </c>
      <c r="R11" s="16">
        <f>(Q11*SIN(3.14*22.57/180)*SIN(O11)+COS(3.14*22.57/180)*COS(O11)*SIN(Q11))*P11*0.082*24*60/3.14</f>
        <v>24.403903942270315</v>
      </c>
      <c r="S11" s="16">
        <f>24/3.14*Q11</f>
        <v>10.652831407588932</v>
      </c>
      <c r="T11" s="16">
        <f>(0.25+0.5*H11/S11)*R11</f>
        <v>13.317113599778642</v>
      </c>
      <c r="U11" s="16">
        <f>(0.75+2*10^-5*53)*R11</f>
        <v>18.328796094881543</v>
      </c>
      <c r="V11" s="16">
        <f>(1-0.23)*T11</f>
        <v>10.254177471829555</v>
      </c>
      <c r="W11" s="16">
        <f>4.903*(10^-9)*((D11+273.16)^4+(E11+273.16)^4)/2*(0.34-(0.14*SQRT(N11)))*(1.35*T11/U11-0.35)</f>
        <v>4.4678246287140846</v>
      </c>
      <c r="X11" s="16">
        <f>(0.408*I11*(V11-W11)+(0.06736*900/(C11+273)*G11*(M11-N11)))/J11</f>
        <v>5.6581767073685958</v>
      </c>
      <c r="Y11" s="16">
        <f>((0.0023*R11)*(C11+17.8)*(D11-E11)^0.5)*0.408</f>
        <v>3.1752356512852953</v>
      </c>
      <c r="Z11">
        <v>0.6</v>
      </c>
      <c r="AA11" s="2">
        <f>IF(AJ10&gt;=61.6,1,(77-(77-AJ10))/(77-61.6))</f>
        <v>1</v>
      </c>
      <c r="AB11">
        <f>X11*Z11</f>
        <v>3.3949060244211573</v>
      </c>
      <c r="AC11">
        <f>AB11*AA11</f>
        <v>3.3949060244211573</v>
      </c>
      <c r="AD11" s="6">
        <v>0</v>
      </c>
      <c r="AE11">
        <v>0</v>
      </c>
      <c r="AF11">
        <v>0</v>
      </c>
      <c r="AG11">
        <f t="shared" ref="AG11:AG19" si="1">IF(AJ10&gt;=$H$6,0,$D$6-AJ10-AE11+AI11)</f>
        <v>0</v>
      </c>
      <c r="AH11" s="71">
        <f t="shared" ref="AH11:AH19" si="2">IF(AK10&lt;=$F$7,1,($D$6-AK10)/($D$6-$F$7))</f>
        <v>1</v>
      </c>
      <c r="AI11">
        <f t="shared" ref="AI11:AI19" si="3">AB11*AH11</f>
        <v>3.3949060244211573</v>
      </c>
      <c r="AJ11">
        <f>AJ10-AI11+AE11-AF11+AG11</f>
        <v>73.605093975578839</v>
      </c>
      <c r="AK11" s="2">
        <f t="shared" si="0"/>
        <v>3.3949060244211609</v>
      </c>
      <c r="AL11" s="71"/>
    </row>
    <row r="12" spans="1:39" ht="15.6">
      <c r="A12" s="1">
        <v>44198</v>
      </c>
      <c r="B12" s="13">
        <f>1+B11</f>
        <v>2</v>
      </c>
      <c r="C12" s="13">
        <f t="shared" ref="C12:C75" si="4">(D12+E12)/2</f>
        <v>17.7</v>
      </c>
      <c r="D12" s="14">
        <v>26.2</v>
      </c>
      <c r="E12" s="14">
        <v>9.1999999999999993</v>
      </c>
      <c r="F12" s="13">
        <v>42</v>
      </c>
      <c r="G12" s="14">
        <v>4</v>
      </c>
      <c r="H12" s="15">
        <v>8.3000000000000007</v>
      </c>
      <c r="I12" s="16">
        <f>4098*(0.6108*EXP(17.27*Tomato!C12/(Tomato!C12+237.3)))/(Tomato!C12+237.3)^2</f>
        <v>0.12764308725159401</v>
      </c>
      <c r="J12" s="16">
        <f t="shared" ref="J12:J75" si="5">I12+0.06736*(1+0.34*G12)</f>
        <v>0.28661268725159406</v>
      </c>
      <c r="K12" s="16">
        <f t="shared" ref="K12:K75" si="6">0.6108*EXP(17.27*D12/(D12+237.3))</f>
        <v>3.4013866095362415</v>
      </c>
      <c r="L12" s="16">
        <f t="shared" ref="L12:L75" si="7">0.6108*EXP(17.27*E12/(E12+237.3))</f>
        <v>1.1636645634990301</v>
      </c>
      <c r="M12" s="16">
        <f t="shared" ref="M12:M75" si="8">(K12+L12)/2</f>
        <v>2.2825255865176359</v>
      </c>
      <c r="N12" s="16">
        <f t="shared" ref="N12:N75" si="9">F12/100*((K12+L12)/2)</f>
        <v>0.95866074633740705</v>
      </c>
      <c r="O12" s="16">
        <f t="shared" ref="O12:O75" si="10">0.409*SIN(2*3.14*B12/365-1.39)</f>
        <v>-0.39956524908305546</v>
      </c>
      <c r="P12" s="16">
        <f t="shared" ref="P12:P75" si="11">1+0.033*COS(2*3.14*B12/365)</f>
        <v>1.032980464045318</v>
      </c>
      <c r="Q12" s="16">
        <f t="shared" ref="Q12:Q75" si="12">ACOS(-TAN(22.57*3.14/180)*TAN(O12))</f>
        <v>1.3944636545312805</v>
      </c>
      <c r="R12" s="16">
        <f t="shared" ref="R12:R75" si="13">(Q12*SIN(3.14*22.57/180)*SIN(O12)+COS(3.14*22.57/180)*COS(O12)*SIN(Q12))*P12*0.082*24*60/3.14</f>
        <v>24.451042310941613</v>
      </c>
      <c r="S12" s="16">
        <f t="shared" ref="S12:S75" si="14">24/3.14*Q12</f>
        <v>10.658320926353737</v>
      </c>
      <c r="T12" s="16">
        <f t="shared" ref="T12:T75" si="15">(0.25+0.5*H12/S12)*R12</f>
        <v>15.633193138506652</v>
      </c>
      <c r="U12" s="16">
        <f t="shared" ref="U12:U75" si="16">(0.75+2*10^-5*53)*R12</f>
        <v>18.364199838055807</v>
      </c>
      <c r="V12" s="16">
        <f t="shared" ref="V12:V75" si="17">(1-0.23)*T12</f>
        <v>12.037558716650123</v>
      </c>
      <c r="W12" s="16">
        <f t="shared" ref="W12:W75" si="18">4.903*(10^-9)*((D12+273.16)^4+(E12+273.16)^4)/2*(0.34-(0.14*SQRT(N12)))*(1.35*T12/U12-0.35)</f>
        <v>5.7204120411271635</v>
      </c>
      <c r="X12" s="16">
        <f t="shared" ref="X12:X75" si="19">(0.408*I12*(V12-W12)+(0.06736*900/(C12+273)*G12*(M12-N12)))/J12</f>
        <v>5.0009222371241089</v>
      </c>
      <c r="Y12" s="16">
        <f t="shared" ref="Y12:Y75" si="20">((0.0023*R12)*(C12+17.8)*(D12-E12)^0.5)*0.408</f>
        <v>3.3584446103158574</v>
      </c>
      <c r="Z12">
        <v>0.6</v>
      </c>
      <c r="AA12" s="2">
        <f>IF(AJ11&gt;=61.6,1,(77-(77-AJ11))/(77-61.6))</f>
        <v>1</v>
      </c>
      <c r="AB12">
        <f t="shared" ref="AB12:AB75" si="21">X12*Z12</f>
        <v>3.0005533422744652</v>
      </c>
      <c r="AC12">
        <f>AB12*AA12</f>
        <v>3.0005533422744652</v>
      </c>
      <c r="AD12" s="6">
        <v>0</v>
      </c>
      <c r="AE12">
        <v>0</v>
      </c>
      <c r="AF12">
        <v>0</v>
      </c>
      <c r="AG12">
        <f t="shared" si="1"/>
        <v>0</v>
      </c>
      <c r="AH12" s="71">
        <f t="shared" si="2"/>
        <v>1</v>
      </c>
      <c r="AI12">
        <f t="shared" si="3"/>
        <v>3.0005533422744652</v>
      </c>
      <c r="AJ12">
        <f t="shared" ref="AJ12:AJ19" si="22">AJ11-AI12+AE12-AF12+AG12</f>
        <v>70.604540633304367</v>
      </c>
      <c r="AK12" s="2">
        <f t="shared" si="0"/>
        <v>6.3954593666956328</v>
      </c>
      <c r="AL12" s="71"/>
    </row>
    <row r="13" spans="1:39" ht="15.6">
      <c r="A13" s="1">
        <v>44199</v>
      </c>
      <c r="B13" s="13">
        <f t="shared" ref="B13:B76" si="23">1+B12</f>
        <v>3</v>
      </c>
      <c r="C13" s="13">
        <f t="shared" si="4"/>
        <v>18.45</v>
      </c>
      <c r="D13" s="14">
        <v>27.5</v>
      </c>
      <c r="E13" s="14">
        <v>9.4</v>
      </c>
      <c r="F13" s="14">
        <v>42</v>
      </c>
      <c r="G13" s="14">
        <v>6</v>
      </c>
      <c r="H13" s="15">
        <v>7.8</v>
      </c>
      <c r="I13" s="16">
        <f>4098*(0.6108*EXP(17.27*Tomato!C13/(Tomato!C13+237.3)))/(Tomato!C13+237.3)^2</f>
        <v>0.13301927735292321</v>
      </c>
      <c r="J13" s="16">
        <f t="shared" si="5"/>
        <v>0.33779367735292321</v>
      </c>
      <c r="K13" s="16">
        <f t="shared" si="6"/>
        <v>3.671270209291702</v>
      </c>
      <c r="L13" s="16">
        <f t="shared" si="7"/>
        <v>1.1794549173707165</v>
      </c>
      <c r="M13" s="16">
        <f t="shared" si="8"/>
        <v>2.425362563331209</v>
      </c>
      <c r="N13" s="16">
        <f t="shared" si="9"/>
        <v>1.0186522765991077</v>
      </c>
      <c r="O13" s="16">
        <f t="shared" si="10"/>
        <v>-0.39800342364654706</v>
      </c>
      <c r="P13" s="16">
        <f t="shared" si="11"/>
        <v>1.0329560495235546</v>
      </c>
      <c r="Q13" s="16">
        <f t="shared" si="12"/>
        <v>1.3952396259797877</v>
      </c>
      <c r="R13" s="16">
        <f t="shared" si="13"/>
        <v>24.501799925415927</v>
      </c>
      <c r="S13" s="16">
        <f t="shared" si="14"/>
        <v>10.664251918316848</v>
      </c>
      <c r="T13" s="16">
        <f t="shared" si="15"/>
        <v>15.085949080685459</v>
      </c>
      <c r="U13" s="16">
        <f t="shared" si="16"/>
        <v>18.402321851982887</v>
      </c>
      <c r="V13" s="16">
        <f t="shared" si="17"/>
        <v>11.616180792127803</v>
      </c>
      <c r="W13" s="16">
        <f t="shared" si="18"/>
        <v>5.3617003450895542</v>
      </c>
      <c r="X13" s="16">
        <f t="shared" si="19"/>
        <v>6.2022660597267416</v>
      </c>
      <c r="Y13" s="16">
        <f t="shared" si="20"/>
        <v>3.5459555453362599</v>
      </c>
      <c r="Z13">
        <v>0.6</v>
      </c>
      <c r="AA13" s="2">
        <f>IF(AJ12&gt;=61.6,1,(77-(77-AJ12))/(77-61.6))</f>
        <v>1</v>
      </c>
      <c r="AB13">
        <f t="shared" si="21"/>
        <v>3.7213596358360448</v>
      </c>
      <c r="AC13">
        <f>AB13*AA13</f>
        <v>3.7213596358360448</v>
      </c>
      <c r="AD13" s="6">
        <v>0</v>
      </c>
      <c r="AE13">
        <v>0</v>
      </c>
      <c r="AF13">
        <v>0</v>
      </c>
      <c r="AG13">
        <f t="shared" si="1"/>
        <v>0</v>
      </c>
      <c r="AH13" s="71">
        <f t="shared" si="2"/>
        <v>1</v>
      </c>
      <c r="AI13">
        <f t="shared" si="3"/>
        <v>3.7213596358360448</v>
      </c>
      <c r="AJ13">
        <f t="shared" si="22"/>
        <v>66.883180997468315</v>
      </c>
      <c r="AK13" s="2">
        <f t="shared" si="0"/>
        <v>10.116819002531685</v>
      </c>
      <c r="AL13" s="71"/>
    </row>
    <row r="14" spans="1:39" ht="15.6">
      <c r="A14" s="1">
        <v>44200</v>
      </c>
      <c r="B14" s="13">
        <f t="shared" si="23"/>
        <v>4</v>
      </c>
      <c r="C14" s="13">
        <f t="shared" si="4"/>
        <v>18.95</v>
      </c>
      <c r="D14" s="14">
        <v>28.7</v>
      </c>
      <c r="E14" s="14">
        <v>9.1999999999999993</v>
      </c>
      <c r="F14" s="14">
        <v>53</v>
      </c>
      <c r="G14" s="14">
        <v>6</v>
      </c>
      <c r="H14" s="15">
        <v>7.2</v>
      </c>
      <c r="I14" s="16">
        <f>4098*(0.6108*EXP(17.27*Tomato!C14/(Tomato!C14+237.3)))/(Tomato!C14+237.3)^2</f>
        <v>0.13670897580940022</v>
      </c>
      <c r="J14" s="16">
        <f t="shared" si="5"/>
        <v>0.34148337580940025</v>
      </c>
      <c r="K14" s="16">
        <f t="shared" si="6"/>
        <v>3.9367535029497236</v>
      </c>
      <c r="L14" s="16">
        <f t="shared" si="7"/>
        <v>1.1636645634990301</v>
      </c>
      <c r="M14" s="16">
        <f t="shared" si="8"/>
        <v>2.5502090332243768</v>
      </c>
      <c r="N14" s="16">
        <f t="shared" si="9"/>
        <v>1.3516107876089198</v>
      </c>
      <c r="O14" s="16">
        <f t="shared" si="10"/>
        <v>-0.39632378075080504</v>
      </c>
      <c r="P14" s="16">
        <f t="shared" si="11"/>
        <v>1.032921879311788</v>
      </c>
      <c r="Q14" s="16">
        <f t="shared" si="12"/>
        <v>1.3960728780893195</v>
      </c>
      <c r="R14" s="16">
        <f t="shared" si="13"/>
        <v>24.556150771836084</v>
      </c>
      <c r="S14" s="16">
        <f t="shared" si="14"/>
        <v>10.670620724249575</v>
      </c>
      <c r="T14" s="16">
        <f t="shared" si="15"/>
        <v>14.423667525009103</v>
      </c>
      <c r="U14" s="16">
        <f t="shared" si="16"/>
        <v>18.443142598695207</v>
      </c>
      <c r="V14" s="16">
        <f t="shared" si="17"/>
        <v>11.106223994257009</v>
      </c>
      <c r="W14" s="16">
        <f t="shared" si="18"/>
        <v>4.4954025286985866</v>
      </c>
      <c r="X14" s="16">
        <f t="shared" si="19"/>
        <v>5.4529196927146462</v>
      </c>
      <c r="Y14" s="16">
        <f t="shared" si="20"/>
        <v>3.7395809559427482</v>
      </c>
      <c r="Z14">
        <v>0.6</v>
      </c>
      <c r="AB14">
        <f t="shared" si="21"/>
        <v>3.2717518156287877</v>
      </c>
      <c r="AD14" s="6">
        <v>0</v>
      </c>
      <c r="AE14">
        <v>0</v>
      </c>
      <c r="AF14">
        <v>0</v>
      </c>
      <c r="AG14">
        <f t="shared" si="1"/>
        <v>0</v>
      </c>
      <c r="AH14" s="71">
        <f t="shared" si="2"/>
        <v>1</v>
      </c>
      <c r="AI14">
        <f t="shared" si="3"/>
        <v>3.2717518156287877</v>
      </c>
      <c r="AJ14">
        <f t="shared" si="22"/>
        <v>63.611429181839526</v>
      </c>
      <c r="AK14" s="2">
        <f t="shared" si="0"/>
        <v>13.388570818160474</v>
      </c>
      <c r="AL14" s="71"/>
    </row>
    <row r="15" spans="1:39" ht="15.6">
      <c r="A15" s="1">
        <v>44201</v>
      </c>
      <c r="B15" s="13">
        <f t="shared" si="23"/>
        <v>5</v>
      </c>
      <c r="C15" s="13">
        <f t="shared" si="4"/>
        <v>20.9</v>
      </c>
      <c r="D15" s="14">
        <v>30</v>
      </c>
      <c r="E15" s="14">
        <v>11.8</v>
      </c>
      <c r="F15" s="14">
        <v>49</v>
      </c>
      <c r="G15" s="14">
        <v>4</v>
      </c>
      <c r="H15" s="15">
        <v>7.2</v>
      </c>
      <c r="I15" s="16">
        <f>4098*(0.6108*EXP(17.27*Tomato!C15/(Tomato!C15+237.3)))/(Tomato!C15+237.3)^2</f>
        <v>0.15193839797273131</v>
      </c>
      <c r="J15" s="16">
        <f t="shared" si="5"/>
        <v>0.31090799797273133</v>
      </c>
      <c r="K15" s="16">
        <f t="shared" si="6"/>
        <v>4.2430650587590133</v>
      </c>
      <c r="L15" s="16">
        <f t="shared" si="7"/>
        <v>1.3841737831842924</v>
      </c>
      <c r="M15" s="16">
        <f t="shared" si="8"/>
        <v>2.8136194209716527</v>
      </c>
      <c r="N15" s="16">
        <f t="shared" si="9"/>
        <v>1.3786735162761099</v>
      </c>
      <c r="O15" s="16">
        <f t="shared" si="10"/>
        <v>-0.39452681760576941</v>
      </c>
      <c r="P15" s="16">
        <f t="shared" si="11"/>
        <v>1.0328779635251264</v>
      </c>
      <c r="Q15" s="16">
        <f t="shared" si="12"/>
        <v>1.3969629002683059</v>
      </c>
      <c r="R15" s="16">
        <f t="shared" si="13"/>
        <v>24.614066831216693</v>
      </c>
      <c r="S15" s="16">
        <f t="shared" si="14"/>
        <v>10.677423441541192</v>
      </c>
      <c r="T15" s="16">
        <f t="shared" si="15"/>
        <v>14.452395278793011</v>
      </c>
      <c r="U15" s="16">
        <f t="shared" si="16"/>
        <v>18.486641034253608</v>
      </c>
      <c r="V15" s="16">
        <f t="shared" si="17"/>
        <v>11.128344364670619</v>
      </c>
      <c r="W15" s="16">
        <f t="shared" si="18"/>
        <v>4.5676459198460364</v>
      </c>
      <c r="X15" s="16">
        <f t="shared" si="19"/>
        <v>5.1162173748511117</v>
      </c>
      <c r="Y15" s="16">
        <f t="shared" si="20"/>
        <v>3.8134497984528068</v>
      </c>
      <c r="Z15">
        <v>0.6</v>
      </c>
      <c r="AB15">
        <f t="shared" si="21"/>
        <v>3.0697304249106669</v>
      </c>
      <c r="AD15" s="6">
        <v>0</v>
      </c>
      <c r="AE15">
        <v>0</v>
      </c>
      <c r="AF15">
        <v>0</v>
      </c>
      <c r="AG15">
        <f t="shared" si="1"/>
        <v>0</v>
      </c>
      <c r="AH15" s="71">
        <f t="shared" si="2"/>
        <v>1</v>
      </c>
      <c r="AI15">
        <f t="shared" si="3"/>
        <v>3.0697304249106669</v>
      </c>
      <c r="AJ15">
        <f>AJ14-AI15+AE15-AF15+AG15</f>
        <v>60.541698756928859</v>
      </c>
      <c r="AK15" s="2">
        <f t="shared" si="0"/>
        <v>16.458301243071141</v>
      </c>
      <c r="AL15" s="71"/>
    </row>
    <row r="16" spans="1:39" ht="15.6">
      <c r="A16" s="1">
        <v>44202</v>
      </c>
      <c r="B16" s="13">
        <f t="shared" si="23"/>
        <v>6</v>
      </c>
      <c r="C16" s="13">
        <f t="shared" si="4"/>
        <v>21.75</v>
      </c>
      <c r="D16" s="14">
        <v>31.5</v>
      </c>
      <c r="E16" s="14">
        <v>12</v>
      </c>
      <c r="F16" s="14">
        <v>48</v>
      </c>
      <c r="G16" s="14">
        <v>4</v>
      </c>
      <c r="H16" s="15">
        <v>7.7</v>
      </c>
      <c r="I16" s="16">
        <f>4098*(0.6108*EXP(17.27*Tomato!C16/(Tomato!C16+237.3)))/(Tomato!C16+237.3)^2</f>
        <v>0.15901232510851224</v>
      </c>
      <c r="J16" s="16">
        <f t="shared" si="5"/>
        <v>0.31798192510851225</v>
      </c>
      <c r="K16" s="16">
        <f t="shared" si="6"/>
        <v>4.6220689030255047</v>
      </c>
      <c r="L16" s="16">
        <f t="shared" si="7"/>
        <v>1.4025638730469563</v>
      </c>
      <c r="M16" s="16">
        <f t="shared" si="8"/>
        <v>3.0123163880362305</v>
      </c>
      <c r="N16" s="16">
        <f t="shared" si="9"/>
        <v>1.4459118662573907</v>
      </c>
      <c r="O16" s="16">
        <f t="shared" si="10"/>
        <v>-0.39261306615066349</v>
      </c>
      <c r="P16" s="16">
        <f t="shared" si="11"/>
        <v>1.0328243151635743</v>
      </c>
      <c r="Q16" s="16">
        <f t="shared" si="12"/>
        <v>1.3979091511151958</v>
      </c>
      <c r="R16" s="16">
        <f t="shared" si="13"/>
        <v>24.67551808839238</v>
      </c>
      <c r="S16" s="16">
        <f t="shared" si="14"/>
        <v>10.684655932090669</v>
      </c>
      <c r="T16" s="16">
        <f t="shared" si="15"/>
        <v>15.060204169715631</v>
      </c>
      <c r="U16" s="16">
        <f t="shared" si="16"/>
        <v>18.532794615467978</v>
      </c>
      <c r="V16" s="16">
        <f t="shared" si="17"/>
        <v>11.596357210681036</v>
      </c>
      <c r="W16" s="16">
        <f t="shared" si="18"/>
        <v>4.7869917640522983</v>
      </c>
      <c r="X16" s="16">
        <f t="shared" si="19"/>
        <v>5.4420700118912579</v>
      </c>
      <c r="Y16" s="16">
        <f t="shared" si="20"/>
        <v>4.0440644893914675</v>
      </c>
      <c r="Z16">
        <v>0.6</v>
      </c>
      <c r="AB16">
        <f t="shared" si="21"/>
        <v>3.2652420071347548</v>
      </c>
      <c r="AD16" s="6">
        <v>0</v>
      </c>
      <c r="AE16">
        <v>0</v>
      </c>
      <c r="AF16">
        <v>0</v>
      </c>
      <c r="AG16">
        <f t="shared" si="1"/>
        <v>0</v>
      </c>
      <c r="AH16" s="71">
        <f>IF(AK15&lt;=$F$7,1,($D$6-AK15)/($D$6-$F$7))</f>
        <v>0.98281978501507883</v>
      </c>
      <c r="AI16">
        <f t="shared" si="3"/>
        <v>3.209144447474384</v>
      </c>
      <c r="AJ16">
        <f t="shared" si="22"/>
        <v>57.332554309454473</v>
      </c>
      <c r="AK16" s="2">
        <f t="shared" si="0"/>
        <v>19.667445690545527</v>
      </c>
      <c r="AL16" s="71"/>
    </row>
    <row r="17" spans="1:38" ht="15.6">
      <c r="A17" s="1">
        <v>44203</v>
      </c>
      <c r="B17" s="13">
        <f t="shared" si="23"/>
        <v>7</v>
      </c>
      <c r="C17" s="13">
        <f t="shared" si="4"/>
        <v>23.5</v>
      </c>
      <c r="D17" s="14">
        <v>32</v>
      </c>
      <c r="E17" s="14">
        <v>15</v>
      </c>
      <c r="F17" s="14">
        <v>48</v>
      </c>
      <c r="G17" s="14">
        <v>6</v>
      </c>
      <c r="H17" s="15">
        <v>7.5</v>
      </c>
      <c r="I17" s="16">
        <f>4098*(0.6108*EXP(17.27*Tomato!C17/(Tomato!C17+237.3)))/(Tomato!C17+237.3)^2</f>
        <v>0.17445562008621771</v>
      </c>
      <c r="J17" s="16">
        <f t="shared" si="5"/>
        <v>0.37923002008621776</v>
      </c>
      <c r="K17" s="16">
        <f t="shared" si="6"/>
        <v>4.7547753962618131</v>
      </c>
      <c r="L17" s="16">
        <f t="shared" si="7"/>
        <v>1.7053462321157722</v>
      </c>
      <c r="M17" s="16">
        <f t="shared" si="8"/>
        <v>3.2300608141887928</v>
      </c>
      <c r="N17" s="16">
        <f t="shared" si="9"/>
        <v>1.5504291908106205</v>
      </c>
      <c r="O17" s="16">
        <f t="shared" si="10"/>
        <v>-0.39058309289652887</v>
      </c>
      <c r="P17" s="16">
        <f t="shared" si="11"/>
        <v>1.0327609501081851</v>
      </c>
      <c r="Q17" s="16">
        <f t="shared" si="12"/>
        <v>1.3989110595011012</v>
      </c>
      <c r="R17" s="16">
        <f t="shared" si="13"/>
        <v>24.740472542036198</v>
      </c>
      <c r="S17" s="16">
        <f t="shared" si="14"/>
        <v>10.692313830581664</v>
      </c>
      <c r="T17" s="16">
        <f t="shared" si="15"/>
        <v>14.862077445034728</v>
      </c>
      <c r="U17" s="16">
        <f t="shared" si="16"/>
        <v>18.581579307421705</v>
      </c>
      <c r="V17" s="16">
        <f t="shared" si="17"/>
        <v>11.443799632676741</v>
      </c>
      <c r="W17" s="16">
        <f t="shared" si="18"/>
        <v>4.6140277084830412</v>
      </c>
      <c r="X17" s="16">
        <f t="shared" si="19"/>
        <v>6.7154187516230293</v>
      </c>
      <c r="Y17" s="16">
        <f t="shared" si="20"/>
        <v>3.953397668724802</v>
      </c>
      <c r="Z17">
        <v>0.6</v>
      </c>
      <c r="AB17">
        <f t="shared" si="21"/>
        <v>4.0292512509738172</v>
      </c>
      <c r="AD17" s="6">
        <v>0</v>
      </c>
      <c r="AE17">
        <v>0</v>
      </c>
      <c r="AF17">
        <v>0</v>
      </c>
      <c r="AG17">
        <f t="shared" si="1"/>
        <v>0</v>
      </c>
      <c r="AH17" s="71">
        <f t="shared" si="2"/>
        <v>0.93072328424439077</v>
      </c>
      <c r="AI17">
        <f t="shared" si="3"/>
        <v>3.7501179573521712</v>
      </c>
      <c r="AJ17">
        <f t="shared" si="22"/>
        <v>53.582436352102299</v>
      </c>
      <c r="AK17" s="2">
        <f t="shared" si="0"/>
        <v>23.417563647897701</v>
      </c>
    </row>
    <row r="18" spans="1:38" ht="15.6">
      <c r="A18" s="1">
        <v>44204</v>
      </c>
      <c r="B18" s="13">
        <f t="shared" si="23"/>
        <v>8</v>
      </c>
      <c r="C18" s="13">
        <f t="shared" si="4"/>
        <v>23.75</v>
      </c>
      <c r="D18" s="14">
        <v>32.4</v>
      </c>
      <c r="E18" s="14">
        <v>15.1</v>
      </c>
      <c r="F18" s="14">
        <v>48</v>
      </c>
      <c r="G18" s="14">
        <v>5</v>
      </c>
      <c r="H18" s="15">
        <v>7.9</v>
      </c>
      <c r="I18" s="16">
        <f>4098*(0.6108*EXP(17.27*Tomato!C18/(Tomato!C18+237.3)))/(Tomato!C18+237.3)^2</f>
        <v>0.17676175645051403</v>
      </c>
      <c r="J18" s="16">
        <f t="shared" si="5"/>
        <v>0.3586337564505141</v>
      </c>
      <c r="K18" s="16">
        <f t="shared" si="6"/>
        <v>4.8633111980528723</v>
      </c>
      <c r="L18" s="16">
        <f t="shared" si="7"/>
        <v>1.7163564077019398</v>
      </c>
      <c r="M18" s="16">
        <f t="shared" si="8"/>
        <v>3.2898338028774061</v>
      </c>
      <c r="N18" s="16">
        <f t="shared" si="9"/>
        <v>1.5791202253811549</v>
      </c>
      <c r="O18" s="16">
        <f t="shared" si="10"/>
        <v>-0.38843749875852573</v>
      </c>
      <c r="P18" s="16">
        <f t="shared" si="11"/>
        <v>1.0326878871163601</v>
      </c>
      <c r="Q18" s="16">
        <f t="shared" si="12"/>
        <v>1.3999680256982683</v>
      </c>
      <c r="R18" s="16">
        <f t="shared" si="13"/>
        <v>24.808896215801308</v>
      </c>
      <c r="S18" s="16">
        <f t="shared" si="14"/>
        <v>10.700392553107783</v>
      </c>
      <c r="T18" s="16">
        <f t="shared" si="15"/>
        <v>15.360312373238559</v>
      </c>
      <c r="U18" s="16">
        <f t="shared" si="16"/>
        <v>18.632969591839728</v>
      </c>
      <c r="V18" s="16">
        <f t="shared" si="17"/>
        <v>11.827440527393691</v>
      </c>
      <c r="W18" s="16">
        <f t="shared" si="18"/>
        <v>4.7936078263742452</v>
      </c>
      <c r="X18" s="16">
        <f t="shared" si="19"/>
        <v>6.2869349581636405</v>
      </c>
      <c r="Y18" s="16">
        <f t="shared" si="20"/>
        <v>4.0233658106678538</v>
      </c>
      <c r="Z18">
        <v>0.6</v>
      </c>
      <c r="AB18">
        <f t="shared" si="21"/>
        <v>3.7721609748981839</v>
      </c>
      <c r="AD18" s="6">
        <v>0</v>
      </c>
      <c r="AE18">
        <v>0</v>
      </c>
      <c r="AF18">
        <v>0</v>
      </c>
      <c r="AG18">
        <f t="shared" si="1"/>
        <v>0</v>
      </c>
      <c r="AH18" s="71">
        <f t="shared" si="2"/>
        <v>0.86984474597568662</v>
      </c>
      <c r="AI18">
        <f t="shared" si="3"/>
        <v>3.281194404989709</v>
      </c>
      <c r="AJ18">
        <f t="shared" si="22"/>
        <v>50.301241947112587</v>
      </c>
      <c r="AK18" s="2">
        <f t="shared" si="0"/>
        <v>26.698758052887413</v>
      </c>
    </row>
    <row r="19" spans="1:38" ht="15.6">
      <c r="A19" s="1">
        <v>44205</v>
      </c>
      <c r="B19" s="13">
        <f t="shared" si="23"/>
        <v>9</v>
      </c>
      <c r="C19" s="13">
        <f t="shared" si="4"/>
        <v>23.7</v>
      </c>
      <c r="D19" s="14">
        <v>31.4</v>
      </c>
      <c r="E19" s="14">
        <v>16</v>
      </c>
      <c r="F19" s="14">
        <v>50</v>
      </c>
      <c r="G19" s="14">
        <v>6</v>
      </c>
      <c r="H19" s="15">
        <v>7.4</v>
      </c>
      <c r="I19" s="16">
        <f>4098*(0.6108*EXP(17.27*Tomato!C19/(Tomato!C19+237.3)))/(Tomato!C19+237.3)^2</f>
        <v>0.17629848389579808</v>
      </c>
      <c r="J19" s="16">
        <f t="shared" si="5"/>
        <v>0.38107288389579808</v>
      </c>
      <c r="K19" s="16">
        <f t="shared" si="6"/>
        <v>4.5959173166475438</v>
      </c>
      <c r="L19" s="16">
        <f t="shared" si="7"/>
        <v>1.8182866804855506</v>
      </c>
      <c r="M19" s="16">
        <f t="shared" si="8"/>
        <v>3.2071019985665474</v>
      </c>
      <c r="N19" s="16">
        <f t="shared" si="9"/>
        <v>1.6035509992832737</v>
      </c>
      <c r="O19" s="16">
        <f t="shared" si="10"/>
        <v>-0.38617691887804961</v>
      </c>
      <c r="P19" s="16">
        <f t="shared" si="11"/>
        <v>1.032605147816295</v>
      </c>
      <c r="Q19" s="16">
        <f t="shared" si="12"/>
        <v>1.401079422549943</v>
      </c>
      <c r="R19" s="16">
        <f t="shared" si="13"/>
        <v>24.880753170639494</v>
      </c>
      <c r="S19" s="16">
        <f t="shared" si="14"/>
        <v>10.708887306114214</v>
      </c>
      <c r="T19" s="16">
        <f t="shared" si="15"/>
        <v>14.816673072064114</v>
      </c>
      <c r="U19" s="16">
        <f t="shared" si="16"/>
        <v>18.686938476340497</v>
      </c>
      <c r="V19" s="16">
        <f t="shared" si="17"/>
        <v>11.408838265489369</v>
      </c>
      <c r="W19" s="16">
        <f t="shared" si="18"/>
        <v>4.4814940673483763</v>
      </c>
      <c r="X19" s="16">
        <f t="shared" si="19"/>
        <v>6.4664290118364134</v>
      </c>
      <c r="Y19" s="16">
        <f t="shared" si="20"/>
        <v>3.8024190673665395</v>
      </c>
      <c r="Z19">
        <v>0.6</v>
      </c>
      <c r="AB19">
        <f t="shared" si="21"/>
        <v>3.8798574071018477</v>
      </c>
      <c r="AD19" s="6">
        <v>0</v>
      </c>
      <c r="AE19">
        <v>0</v>
      </c>
      <c r="AF19">
        <v>0</v>
      </c>
      <c r="AG19">
        <f t="shared" si="1"/>
        <v>0</v>
      </c>
      <c r="AH19" s="71">
        <f t="shared" si="2"/>
        <v>0.81657860303754193</v>
      </c>
      <c r="AI19">
        <f t="shared" si="3"/>
        <v>3.1682085414760865</v>
      </c>
      <c r="AJ19">
        <f t="shared" si="22"/>
        <v>47.133033405636503</v>
      </c>
      <c r="AK19" s="2">
        <f t="shared" si="0"/>
        <v>29.866966594363497</v>
      </c>
    </row>
    <row r="20" spans="1:38" ht="15.6">
      <c r="A20" s="1">
        <v>44206</v>
      </c>
      <c r="B20" s="13">
        <f t="shared" si="23"/>
        <v>10</v>
      </c>
      <c r="C20" s="13">
        <f t="shared" si="4"/>
        <v>23.8</v>
      </c>
      <c r="D20" s="14">
        <v>31</v>
      </c>
      <c r="E20" s="14">
        <v>16.600000000000001</v>
      </c>
      <c r="F20" s="14">
        <v>52</v>
      </c>
      <c r="G20" s="14">
        <v>5</v>
      </c>
      <c r="H20" s="15">
        <v>7</v>
      </c>
      <c r="I20" s="16">
        <f>4098*(0.6108*EXP(17.27*Tomato!C20/(Tomato!C20+237.3)))/(Tomato!C20+237.3)^2</f>
        <v>0.17722605524927612</v>
      </c>
      <c r="J20" s="16">
        <f t="shared" si="5"/>
        <v>0.35909805524927618</v>
      </c>
      <c r="K20" s="16">
        <f t="shared" si="6"/>
        <v>4.492592251118583</v>
      </c>
      <c r="L20" s="16">
        <f t="shared" si="7"/>
        <v>1.889152127641528</v>
      </c>
      <c r="M20" s="16">
        <f t="shared" si="8"/>
        <v>3.1908721893800553</v>
      </c>
      <c r="N20" s="16">
        <f t="shared" si="9"/>
        <v>1.6592535384776288</v>
      </c>
      <c r="O20" s="16">
        <f t="shared" si="10"/>
        <v>-0.38380202243471567</v>
      </c>
      <c r="P20" s="16">
        <f t="shared" si="11"/>
        <v>1.0325127567005785</v>
      </c>
      <c r="Q20" s="16">
        <f t="shared" si="12"/>
        <v>1.4022445966771007</v>
      </c>
      <c r="R20" s="16">
        <f t="shared" si="13"/>
        <v>24.956005518351674</v>
      </c>
      <c r="S20" s="16">
        <f t="shared" si="14"/>
        <v>10.717793095621152</v>
      </c>
      <c r="T20" s="16">
        <f t="shared" si="15"/>
        <v>14.388628689515821</v>
      </c>
      <c r="U20" s="16">
        <f t="shared" si="16"/>
        <v>18.743457504613207</v>
      </c>
      <c r="V20" s="16">
        <f t="shared" si="17"/>
        <v>11.079244090927183</v>
      </c>
      <c r="W20" s="16">
        <f t="shared" si="18"/>
        <v>4.19303876182469</v>
      </c>
      <c r="X20" s="16">
        <f t="shared" si="19"/>
        <v>5.7426152141632842</v>
      </c>
      <c r="Y20" s="16">
        <f t="shared" si="20"/>
        <v>3.6968995366856512</v>
      </c>
      <c r="Z20">
        <v>0.6</v>
      </c>
      <c r="AB20">
        <f t="shared" si="21"/>
        <v>3.4455691284979704</v>
      </c>
      <c r="AD20" s="6">
        <v>0</v>
      </c>
      <c r="AE20">
        <v>0</v>
      </c>
      <c r="AF20">
        <v>0</v>
      </c>
      <c r="AG20">
        <f t="shared" ref="AG20" si="24">IF(AJ19&gt;=$H$6,0,$D$6-AJ19-AE20+AI20)</f>
        <v>0</v>
      </c>
      <c r="AH20" s="71">
        <f t="shared" ref="AH20:AH21" si="25">IF(AK19&lt;=$F$7,1,($D$6-AK19)/($D$6-$F$7))</f>
        <v>0.76514664619539774</v>
      </c>
      <c r="AI20">
        <f t="shared" ref="AI20:AI21" si="26">AB20*AH20</f>
        <v>2.6363656629046215</v>
      </c>
      <c r="AJ20">
        <f t="shared" ref="AJ20:AJ21" si="27">AJ19-AI20+AE20-AF20+AG20</f>
        <v>44.49666774273188</v>
      </c>
      <c r="AK20" s="2">
        <f t="shared" ref="AK20:AK83" si="28">$D$6-AJ20</f>
        <v>32.50333225726812</v>
      </c>
    </row>
    <row r="21" spans="1:38" ht="15.6">
      <c r="A21" s="1">
        <v>44207</v>
      </c>
      <c r="B21" s="13">
        <f t="shared" si="23"/>
        <v>11</v>
      </c>
      <c r="C21" s="13">
        <f t="shared" si="4"/>
        <v>23</v>
      </c>
      <c r="D21" s="14">
        <v>29.5</v>
      </c>
      <c r="E21" s="14">
        <v>16.5</v>
      </c>
      <c r="F21" s="14">
        <v>55</v>
      </c>
      <c r="G21" s="14">
        <v>6</v>
      </c>
      <c r="H21" s="15">
        <v>0</v>
      </c>
      <c r="I21" s="16">
        <f>4098*(0.6108*EXP(17.27*Tomato!C21/(Tomato!C21+237.3)))/(Tomato!C21+237.3)^2</f>
        <v>0.16991941796793744</v>
      </c>
      <c r="J21" s="16">
        <f t="shared" si="5"/>
        <v>0.37469381796793744</v>
      </c>
      <c r="K21" s="16">
        <f t="shared" si="6"/>
        <v>4.1228854693811812</v>
      </c>
      <c r="L21" s="16">
        <f t="shared" si="7"/>
        <v>1.877175834096539</v>
      </c>
      <c r="M21" s="16">
        <f t="shared" si="8"/>
        <v>3.00003065173886</v>
      </c>
      <c r="N21" s="16">
        <f t="shared" si="9"/>
        <v>1.650016858456373</v>
      </c>
      <c r="O21" s="16">
        <f t="shared" si="10"/>
        <v>-0.38131351244826772</v>
      </c>
      <c r="P21" s="16">
        <f t="shared" si="11"/>
        <v>1.0324107411189416</v>
      </c>
      <c r="Q21" s="16">
        <f t="shared" si="12"/>
        <v>1.4034628697174567</v>
      </c>
      <c r="R21" s="16">
        <f t="shared" si="13"/>
        <v>25.034613436425204</v>
      </c>
      <c r="S21" s="16">
        <f t="shared" si="14"/>
        <v>10.727104736693937</v>
      </c>
      <c r="T21" s="16">
        <f t="shared" si="15"/>
        <v>6.2586533591063009</v>
      </c>
      <c r="U21" s="16">
        <f t="shared" si="16"/>
        <v>18.802496767561511</v>
      </c>
      <c r="V21" s="16">
        <f t="shared" si="17"/>
        <v>4.8191630865118515</v>
      </c>
      <c r="W21" s="16">
        <f t="shared" si="18"/>
        <v>0.6020378886236234</v>
      </c>
      <c r="X21" s="16">
        <f t="shared" si="19"/>
        <v>5.2078405871563769</v>
      </c>
      <c r="Y21" s="16">
        <f t="shared" si="20"/>
        <v>3.4558965057927078</v>
      </c>
      <c r="Z21">
        <v>0.6</v>
      </c>
      <c r="AB21">
        <f t="shared" si="21"/>
        <v>3.124704352293826</v>
      </c>
      <c r="AD21" s="6">
        <v>0</v>
      </c>
      <c r="AE21">
        <v>0</v>
      </c>
      <c r="AF21">
        <v>0</v>
      </c>
      <c r="AG21">
        <f>IF(AJ20&gt;=$H$6,0,$D$6-AJ20-AE21+AI21)</f>
        <v>0</v>
      </c>
      <c r="AH21" s="71">
        <f t="shared" si="25"/>
        <v>0.72234850231707592</v>
      </c>
      <c r="AI21">
        <f t="shared" si="26"/>
        <v>2.2571255090630942</v>
      </c>
      <c r="AJ21">
        <f t="shared" si="27"/>
        <v>42.239542233668786</v>
      </c>
      <c r="AK21" s="2">
        <f t="shared" si="28"/>
        <v>34.760457766331214</v>
      </c>
    </row>
    <row r="22" spans="1:38" ht="15.6">
      <c r="A22" s="1">
        <v>44208</v>
      </c>
      <c r="B22" s="13">
        <f t="shared" si="23"/>
        <v>12</v>
      </c>
      <c r="C22" s="13">
        <f t="shared" si="4"/>
        <v>21.95</v>
      </c>
      <c r="D22" s="14">
        <v>28.2</v>
      </c>
      <c r="E22" s="14">
        <v>15.7</v>
      </c>
      <c r="F22" s="14">
        <v>53</v>
      </c>
      <c r="G22" s="14">
        <v>8</v>
      </c>
      <c r="H22" s="15">
        <v>2.5</v>
      </c>
      <c r="I22" s="16">
        <f>4098*(0.6108*EXP(17.27*Tomato!C22/(Tomato!C22+237.3)))/(Tomato!C22+237.3)^2</f>
        <v>0.16071661258687947</v>
      </c>
      <c r="J22" s="16">
        <f t="shared" si="5"/>
        <v>0.41129581258687947</v>
      </c>
      <c r="K22" s="16">
        <f t="shared" si="6"/>
        <v>3.8241720180540506</v>
      </c>
      <c r="L22" s="16">
        <f t="shared" si="7"/>
        <v>1.7837358312436735</v>
      </c>
      <c r="M22" s="16">
        <f t="shared" si="8"/>
        <v>2.8039539246488623</v>
      </c>
      <c r="N22" s="16">
        <f t="shared" si="9"/>
        <v>1.4860955800638971</v>
      </c>
      <c r="O22" s="16">
        <f t="shared" si="10"/>
        <v>-0.37871212557046924</v>
      </c>
      <c r="P22" s="16">
        <f t="shared" si="11"/>
        <v>1.032299131270161</v>
      </c>
      <c r="Q22" s="16">
        <f t="shared" si="12"/>
        <v>1.404733539592125</v>
      </c>
      <c r="R22" s="16">
        <f t="shared" si="13"/>
        <v>25.116535184213443</v>
      </c>
      <c r="S22" s="16">
        <f t="shared" si="14"/>
        <v>10.736816863124522</v>
      </c>
      <c r="T22" s="16">
        <f t="shared" si="15"/>
        <v>9.2032470952281731</v>
      </c>
      <c r="U22" s="16">
        <f t="shared" si="16"/>
        <v>18.864024915455346</v>
      </c>
      <c r="V22" s="16">
        <f t="shared" si="17"/>
        <v>7.0865002633256937</v>
      </c>
      <c r="W22" s="16">
        <f t="shared" si="18"/>
        <v>1.9486802397753402</v>
      </c>
      <c r="X22" s="16">
        <f t="shared" si="19"/>
        <v>6.0877816179128548</v>
      </c>
      <c r="Y22" s="16">
        <f t="shared" si="20"/>
        <v>3.3123778135329922</v>
      </c>
      <c r="Z22">
        <v>0.6</v>
      </c>
      <c r="AB22">
        <f t="shared" si="21"/>
        <v>3.6526689707477127</v>
      </c>
      <c r="AD22" s="5">
        <v>0</v>
      </c>
      <c r="AE22">
        <v>0</v>
      </c>
      <c r="AF22">
        <v>0</v>
      </c>
      <c r="AG22">
        <f t="shared" ref="AG22:AG23" si="29">IF(AJ21&gt;=$H$6,0,$D$6-AJ21-AE22+AI22)</f>
        <v>0</v>
      </c>
      <c r="AH22" s="71">
        <f t="shared" ref="AH22:AH23" si="30">IF(AK21&lt;=$F$7,1,($D$6-AK21)/($D$6-$F$7))</f>
        <v>0.6857068544426751</v>
      </c>
      <c r="AI22">
        <f t="shared" ref="AI22:AI23" si="31">AB22*AH22</f>
        <v>2.5046601502517776</v>
      </c>
      <c r="AJ22">
        <f t="shared" ref="AJ22:AJ23" si="32">AJ21-AI22+AE22-AF22+AG22</f>
        <v>39.734882083417006</v>
      </c>
      <c r="AK22" s="2">
        <f t="shared" si="28"/>
        <v>37.265117916582994</v>
      </c>
    </row>
    <row r="23" spans="1:38" ht="15.6">
      <c r="A23" s="1">
        <v>44209</v>
      </c>
      <c r="B23" s="13">
        <f t="shared" si="23"/>
        <v>13</v>
      </c>
      <c r="C23" s="13">
        <f t="shared" si="4"/>
        <v>18.450000000000003</v>
      </c>
      <c r="D23" s="14">
        <v>22.6</v>
      </c>
      <c r="E23" s="14">
        <v>14.3</v>
      </c>
      <c r="F23" s="14">
        <v>54</v>
      </c>
      <c r="G23" s="14">
        <v>6</v>
      </c>
      <c r="H23" s="15">
        <v>0</v>
      </c>
      <c r="I23" s="16">
        <f>4098*(0.6108*EXP(17.27*Tomato!C23/(Tomato!C23+237.3)))/(Tomato!C23+237.3)^2</f>
        <v>0.13301927735292324</v>
      </c>
      <c r="J23" s="16">
        <f t="shared" si="5"/>
        <v>0.33779367735292326</v>
      </c>
      <c r="K23" s="16">
        <f t="shared" si="6"/>
        <v>2.7421805492514406</v>
      </c>
      <c r="L23" s="16">
        <f t="shared" si="7"/>
        <v>1.6299939408502728</v>
      </c>
      <c r="M23" s="16">
        <f t="shared" si="8"/>
        <v>2.1860872450508566</v>
      </c>
      <c r="N23" s="16">
        <f t="shared" si="9"/>
        <v>1.1804871123274627</v>
      </c>
      <c r="O23" s="16">
        <f t="shared" si="10"/>
        <v>-0.37599863186703869</v>
      </c>
      <c r="P23" s="16">
        <f t="shared" si="11"/>
        <v>1.0321779601931205</v>
      </c>
      <c r="Q23" s="16">
        <f t="shared" si="12"/>
        <v>1.4060558817952844</v>
      </c>
      <c r="R23" s="16">
        <f t="shared" si="13"/>
        <v>25.201727120512238</v>
      </c>
      <c r="S23" s="16">
        <f t="shared" si="14"/>
        <v>10.746923937288798</v>
      </c>
      <c r="T23" s="16">
        <f t="shared" si="15"/>
        <v>6.3004317801280596</v>
      </c>
      <c r="U23" s="16">
        <f t="shared" si="16"/>
        <v>18.928009171131922</v>
      </c>
      <c r="V23" s="16">
        <f t="shared" si="17"/>
        <v>4.8513324706986056</v>
      </c>
      <c r="W23" s="16">
        <f t="shared" si="18"/>
        <v>0.6627273935071778</v>
      </c>
      <c r="X23" s="16">
        <f t="shared" si="19"/>
        <v>4.3883653241729688</v>
      </c>
      <c r="Y23" s="16">
        <f t="shared" si="20"/>
        <v>2.4698203291864935</v>
      </c>
      <c r="Z23">
        <v>0.6</v>
      </c>
      <c r="AB23">
        <f t="shared" si="21"/>
        <v>2.6330191945037811</v>
      </c>
      <c r="AD23" s="5">
        <v>0</v>
      </c>
      <c r="AE23">
        <v>0</v>
      </c>
      <c r="AF23">
        <v>0</v>
      </c>
      <c r="AG23">
        <f t="shared" si="29"/>
        <v>0</v>
      </c>
      <c r="AH23" s="71">
        <f t="shared" si="30"/>
        <v>0.64504678706845786</v>
      </c>
      <c r="AI23">
        <f t="shared" si="31"/>
        <v>1.6984205717042429</v>
      </c>
      <c r="AJ23">
        <f t="shared" si="32"/>
        <v>38.036461511712766</v>
      </c>
      <c r="AK23" s="2">
        <f t="shared" si="28"/>
        <v>38.963538488287234</v>
      </c>
    </row>
    <row r="24" spans="1:38" ht="15.6">
      <c r="A24" s="1">
        <v>44210</v>
      </c>
      <c r="B24" s="13">
        <f t="shared" si="23"/>
        <v>14</v>
      </c>
      <c r="C24" s="13">
        <f t="shared" si="4"/>
        <v>19.600000000000001</v>
      </c>
      <c r="D24" s="15">
        <v>25.5</v>
      </c>
      <c r="E24" s="14">
        <v>13.7</v>
      </c>
      <c r="F24" s="14">
        <v>56</v>
      </c>
      <c r="G24" s="14">
        <v>8</v>
      </c>
      <c r="H24" s="15">
        <v>3</v>
      </c>
      <c r="I24" s="16">
        <f>4098*(0.6108*EXP(17.27*Tomato!C24/(Tomato!C24+237.3)))/(Tomato!C24+237.3)^2</f>
        <v>0.14163485098448397</v>
      </c>
      <c r="J24" s="16">
        <f t="shared" si="5"/>
        <v>0.39221405098448398</v>
      </c>
      <c r="K24" s="16">
        <f t="shared" si="6"/>
        <v>3.263356619324485</v>
      </c>
      <c r="L24" s="16">
        <f t="shared" si="7"/>
        <v>1.5677473692068915</v>
      </c>
      <c r="M24" s="16">
        <f t="shared" si="8"/>
        <v>2.4155519942656882</v>
      </c>
      <c r="N24" s="16">
        <f t="shared" si="9"/>
        <v>1.3527091167887855</v>
      </c>
      <c r="O24" s="16">
        <f t="shared" si="10"/>
        <v>-0.37317383458969405</v>
      </c>
      <c r="P24" s="16">
        <f t="shared" si="11"/>
        <v>1.0320472637570304</v>
      </c>
      <c r="Q24" s="16">
        <f t="shared" si="12"/>
        <v>1.407429150702225</v>
      </c>
      <c r="R24" s="16">
        <f t="shared" si="13"/>
        <v>25.290143722587494</v>
      </c>
      <c r="S24" s="16">
        <f t="shared" si="14"/>
        <v>10.757420260144395</v>
      </c>
      <c r="T24" s="16">
        <f t="shared" si="15"/>
        <v>9.8489590568706369</v>
      </c>
      <c r="U24" s="16">
        <f t="shared" si="16"/>
        <v>18.994415344286562</v>
      </c>
      <c r="V24" s="16">
        <f t="shared" si="17"/>
        <v>7.583698473790391</v>
      </c>
      <c r="W24" s="16">
        <f t="shared" si="18"/>
        <v>2.2388669192757877</v>
      </c>
      <c r="X24" s="16">
        <f t="shared" si="19"/>
        <v>5.2791356937844798</v>
      </c>
      <c r="Y24" s="16">
        <f t="shared" si="20"/>
        <v>3.0489612327353286</v>
      </c>
      <c r="Z24">
        <v>0.6</v>
      </c>
      <c r="AB24">
        <f t="shared" si="21"/>
        <v>3.1674814162706877</v>
      </c>
      <c r="AD24" s="5">
        <v>0</v>
      </c>
      <c r="AE24">
        <v>0</v>
      </c>
      <c r="AF24">
        <v>0</v>
      </c>
      <c r="AG24">
        <f t="shared" ref="AG24" si="33">IF(AJ23&gt;=$H$6,0,$D$6-AJ23-AE24+AI24)</f>
        <v>40.91937915353148</v>
      </c>
      <c r="AH24" s="71">
        <f t="shared" ref="AH24" si="34">IF(AK23&lt;=$F$7,1,($D$6-AK23)/($D$6-$F$7))</f>
        <v>0.61747502454079162</v>
      </c>
      <c r="AI24">
        <f t="shared" ref="AI24" si="35">AB24*AH24</f>
        <v>1.9558406652442442</v>
      </c>
      <c r="AJ24">
        <f>AJ23-AI24+AE24-AF24+AG24</f>
        <v>77</v>
      </c>
      <c r="AK24" s="2">
        <f t="shared" si="28"/>
        <v>0</v>
      </c>
      <c r="AL24" t="s">
        <v>2</v>
      </c>
    </row>
    <row r="25" spans="1:38" ht="15.6">
      <c r="A25" s="1">
        <v>44211</v>
      </c>
      <c r="B25" s="13">
        <f t="shared" si="23"/>
        <v>15</v>
      </c>
      <c r="C25" s="13">
        <f t="shared" si="4"/>
        <v>18.149999999999999</v>
      </c>
      <c r="D25" s="14">
        <v>24.5</v>
      </c>
      <c r="E25" s="14">
        <v>11.8</v>
      </c>
      <c r="F25" s="14">
        <v>55</v>
      </c>
      <c r="G25" s="14">
        <v>6</v>
      </c>
      <c r="H25" s="15">
        <v>2.8</v>
      </c>
      <c r="I25" s="16">
        <f>4098*(0.6108*EXP(17.27*Tomato!C25/(Tomato!C25+237.3)))/(Tomato!C25+237.3)^2</f>
        <v>0.1308462240283553</v>
      </c>
      <c r="J25" s="16">
        <f t="shared" si="5"/>
        <v>0.33562062402835535</v>
      </c>
      <c r="K25" s="16">
        <f t="shared" si="6"/>
        <v>3.07464905088159</v>
      </c>
      <c r="L25" s="16">
        <f t="shared" si="7"/>
        <v>1.3841737831842924</v>
      </c>
      <c r="M25" s="16">
        <f t="shared" si="8"/>
        <v>2.2294114170329413</v>
      </c>
      <c r="N25" s="16">
        <f t="shared" si="9"/>
        <v>1.2261762793681179</v>
      </c>
      <c r="O25" s="16">
        <f t="shared" si="10"/>
        <v>-0.37023856993837301</v>
      </c>
      <c r="P25" s="16">
        <f t="shared" si="11"/>
        <v>1.0319070806508088</v>
      </c>
      <c r="Q25" s="16">
        <f t="shared" si="12"/>
        <v>1.408852580891178</v>
      </c>
      <c r="R25" s="16">
        <f t="shared" si="13"/>
        <v>25.381737606706835</v>
      </c>
      <c r="S25" s="16">
        <f t="shared" si="14"/>
        <v>10.768299981333845</v>
      </c>
      <c r="T25" s="16">
        <f t="shared" si="15"/>
        <v>9.6453455028706045</v>
      </c>
      <c r="U25" s="16">
        <f t="shared" si="16"/>
        <v>19.063207846893235</v>
      </c>
      <c r="V25" s="16">
        <f t="shared" si="17"/>
        <v>7.4269160372103658</v>
      </c>
      <c r="W25" s="16">
        <f t="shared" si="18"/>
        <v>2.1814558713585286</v>
      </c>
      <c r="X25" s="16">
        <f t="shared" si="19"/>
        <v>4.5688712432398422</v>
      </c>
      <c r="Y25" s="16">
        <f t="shared" si="20"/>
        <v>3.0514770248420979</v>
      </c>
      <c r="Z25">
        <v>0.6</v>
      </c>
      <c r="AB25">
        <f t="shared" si="21"/>
        <v>2.7413227459439051</v>
      </c>
      <c r="AD25" s="5">
        <v>0</v>
      </c>
      <c r="AE25">
        <v>0</v>
      </c>
      <c r="AF25">
        <v>0</v>
      </c>
      <c r="AG25">
        <f t="shared" ref="AG25:AG88" si="36">IF(AJ24&gt;=$H$6,0,$D$6-AJ24-AE25+AI25)</f>
        <v>0</v>
      </c>
      <c r="AH25" s="71">
        <f t="shared" ref="AH25:AH88" si="37">IF(AK24&lt;=$F$7,1,($D$6-AK24)/($D$6-$F$7))</f>
        <v>1</v>
      </c>
      <c r="AI25">
        <f t="shared" ref="AI25:AI88" si="38">AB25*AH25</f>
        <v>2.7413227459439051</v>
      </c>
      <c r="AJ25">
        <f t="shared" ref="AJ25:AJ88" si="39">AJ24-AI25+AE25-AF25+AG25</f>
        <v>74.258677254056096</v>
      </c>
      <c r="AK25" s="2">
        <f t="shared" si="28"/>
        <v>2.7413227459439042</v>
      </c>
    </row>
    <row r="26" spans="1:38" ht="15.6">
      <c r="A26" s="1">
        <v>44212</v>
      </c>
      <c r="B26" s="13">
        <f t="shared" si="23"/>
        <v>16</v>
      </c>
      <c r="C26" s="13">
        <f t="shared" si="4"/>
        <v>17.2</v>
      </c>
      <c r="D26" s="14">
        <v>23.2</v>
      </c>
      <c r="E26" s="14">
        <v>11.2</v>
      </c>
      <c r="F26" s="14">
        <v>56</v>
      </c>
      <c r="G26" s="14">
        <v>6</v>
      </c>
      <c r="H26" s="15">
        <v>0</v>
      </c>
      <c r="I26" s="16">
        <f>4098*(0.6108*EXP(17.27*Tomato!C26/(Tomato!C26+237.3)))/(Tomato!C26+237.3)^2</f>
        <v>0.12416225573867952</v>
      </c>
      <c r="J26" s="16">
        <f t="shared" si="5"/>
        <v>0.32893665573867953</v>
      </c>
      <c r="K26" s="16">
        <f t="shared" si="6"/>
        <v>2.8436029029276386</v>
      </c>
      <c r="L26" s="16">
        <f t="shared" si="7"/>
        <v>1.3302680876001909</v>
      </c>
      <c r="M26" s="16">
        <f t="shared" si="8"/>
        <v>2.0869354952639148</v>
      </c>
      <c r="N26" s="16">
        <f t="shared" si="9"/>
        <v>1.1686838773477923</v>
      </c>
      <c r="O26" s="16">
        <f t="shared" si="10"/>
        <v>-0.36719370681370028</v>
      </c>
      <c r="P26" s="16">
        <f t="shared" si="11"/>
        <v>1.0317574523716304</v>
      </c>
      <c r="Q26" s="16">
        <f t="shared" si="12"/>
        <v>1.4103253884743974</v>
      </c>
      <c r="R26" s="16">
        <f t="shared" si="13"/>
        <v>25.476459550226824</v>
      </c>
      <c r="S26" s="16">
        <f t="shared" si="14"/>
        <v>10.779557109358452</v>
      </c>
      <c r="T26" s="16">
        <f t="shared" si="15"/>
        <v>6.3691148875567061</v>
      </c>
      <c r="U26" s="16">
        <f t="shared" si="16"/>
        <v>19.134349709793359</v>
      </c>
      <c r="V26" s="16">
        <f t="shared" si="17"/>
        <v>4.9042184634186636</v>
      </c>
      <c r="W26" s="16">
        <f t="shared" si="18"/>
        <v>0.65496013698373945</v>
      </c>
      <c r="X26" s="16">
        <f t="shared" si="19"/>
        <v>4.1534426024805589</v>
      </c>
      <c r="Y26" s="16">
        <f t="shared" si="20"/>
        <v>2.8985829993363241</v>
      </c>
      <c r="Z26">
        <v>0.6</v>
      </c>
      <c r="AB26">
        <f t="shared" si="21"/>
        <v>2.4920655614883351</v>
      </c>
      <c r="AD26" s="5">
        <v>0</v>
      </c>
      <c r="AE26">
        <v>0</v>
      </c>
      <c r="AF26">
        <v>0</v>
      </c>
      <c r="AG26">
        <f t="shared" si="36"/>
        <v>0</v>
      </c>
      <c r="AH26" s="71">
        <f t="shared" si="37"/>
        <v>1</v>
      </c>
      <c r="AI26">
        <f t="shared" si="38"/>
        <v>2.4920655614883351</v>
      </c>
      <c r="AJ26">
        <f t="shared" si="39"/>
        <v>71.766611692567764</v>
      </c>
      <c r="AK26" s="2">
        <f t="shared" si="28"/>
        <v>5.2333883074322358</v>
      </c>
    </row>
    <row r="27" spans="1:38" ht="15.6">
      <c r="A27" s="1">
        <v>44213</v>
      </c>
      <c r="B27" s="13">
        <f t="shared" si="23"/>
        <v>17</v>
      </c>
      <c r="C27" s="13">
        <f t="shared" si="4"/>
        <v>17.05</v>
      </c>
      <c r="D27" s="14">
        <v>23.6</v>
      </c>
      <c r="E27" s="14">
        <v>10.5</v>
      </c>
      <c r="F27" s="14">
        <v>55</v>
      </c>
      <c r="G27" s="14">
        <v>8</v>
      </c>
      <c r="H27" s="15">
        <v>0</v>
      </c>
      <c r="I27" s="16">
        <f>4098*(0.6108*EXP(17.27*Tomato!C27/(Tomato!C27+237.3)))/(Tomato!C27+237.3)^2</f>
        <v>0.1231338398112326</v>
      </c>
      <c r="J27" s="16">
        <f t="shared" si="5"/>
        <v>0.37371303981123261</v>
      </c>
      <c r="K27" s="16">
        <f t="shared" si="6"/>
        <v>2.9130230003400173</v>
      </c>
      <c r="L27" s="16">
        <f t="shared" si="7"/>
        <v>1.2697168912941836</v>
      </c>
      <c r="M27" s="16">
        <f t="shared" si="8"/>
        <v>2.0913699458171005</v>
      </c>
      <c r="N27" s="16">
        <f t="shared" si="9"/>
        <v>1.1502534701994054</v>
      </c>
      <c r="O27" s="16">
        <f t="shared" si="10"/>
        <v>-0.36404014655977412</v>
      </c>
      <c r="P27" s="16">
        <f t="shared" si="11"/>
        <v>1.0315984232126405</v>
      </c>
      <c r="Q27" s="16">
        <f t="shared" si="12"/>
        <v>1.4118467724340369</v>
      </c>
      <c r="R27" s="16">
        <f t="shared" si="13"/>
        <v>25.574258515285372</v>
      </c>
      <c r="S27" s="16">
        <f t="shared" si="14"/>
        <v>10.791185521788817</v>
      </c>
      <c r="T27" s="16">
        <f t="shared" si="15"/>
        <v>6.393564628821343</v>
      </c>
      <c r="U27" s="16">
        <f t="shared" si="16"/>
        <v>19.207802600490229</v>
      </c>
      <c r="V27" s="16">
        <f t="shared" si="17"/>
        <v>4.9230447641924346</v>
      </c>
      <c r="W27" s="16">
        <f t="shared" si="18"/>
        <v>0.65808327614274775</v>
      </c>
      <c r="X27" s="16">
        <f t="shared" si="19"/>
        <v>4.784164393363989</v>
      </c>
      <c r="Y27" s="16">
        <f t="shared" si="20"/>
        <v>3.0271189044184292</v>
      </c>
      <c r="Z27">
        <v>0.6</v>
      </c>
      <c r="AB27">
        <f t="shared" si="21"/>
        <v>2.8704986360183935</v>
      </c>
      <c r="AD27" s="5">
        <v>0</v>
      </c>
      <c r="AE27">
        <v>0</v>
      </c>
      <c r="AF27">
        <v>0</v>
      </c>
      <c r="AG27">
        <f t="shared" si="36"/>
        <v>0</v>
      </c>
      <c r="AH27" s="71">
        <f t="shared" si="37"/>
        <v>1</v>
      </c>
      <c r="AI27">
        <f t="shared" si="38"/>
        <v>2.8704986360183935</v>
      </c>
      <c r="AJ27">
        <f t="shared" si="39"/>
        <v>68.896113056549368</v>
      </c>
      <c r="AK27" s="2">
        <f t="shared" si="28"/>
        <v>8.1038869434506324</v>
      </c>
    </row>
    <row r="28" spans="1:38" ht="15.6">
      <c r="A28" s="1">
        <v>44214</v>
      </c>
      <c r="B28" s="13">
        <f t="shared" si="23"/>
        <v>18</v>
      </c>
      <c r="C28" s="13">
        <f t="shared" si="4"/>
        <v>17.600000000000001</v>
      </c>
      <c r="D28" s="14">
        <v>25.6</v>
      </c>
      <c r="E28" s="14">
        <v>9.6</v>
      </c>
      <c r="F28" s="14">
        <v>65</v>
      </c>
      <c r="G28" s="14">
        <v>4</v>
      </c>
      <c r="H28" s="15">
        <v>3.7</v>
      </c>
      <c r="I28" s="16">
        <f>4098*(0.6108*EXP(17.27*Tomato!C28/(Tomato!C28+237.3)))/(Tomato!C28+237.3)^2</f>
        <v>0.12694038018719841</v>
      </c>
      <c r="J28" s="16">
        <f t="shared" si="5"/>
        <v>0.28590998018719843</v>
      </c>
      <c r="K28" s="16">
        <f t="shared" si="6"/>
        <v>3.2827711697769288</v>
      </c>
      <c r="L28" s="16">
        <f t="shared" si="7"/>
        <v>1.1954334347937761</v>
      </c>
      <c r="M28" s="16">
        <f t="shared" si="8"/>
        <v>2.2391023022853522</v>
      </c>
      <c r="N28" s="16">
        <f t="shared" si="9"/>
        <v>1.455416496485479</v>
      </c>
      <c r="O28" s="16">
        <f t="shared" si="10"/>
        <v>-0.36077882269735001</v>
      </c>
      <c r="P28" s="16">
        <f t="shared" si="11"/>
        <v>1.0314300402498453</v>
      </c>
      <c r="Q28" s="16">
        <f t="shared" si="12"/>
        <v>1.4134159159584707</v>
      </c>
      <c r="R28" s="16">
        <f t="shared" si="13"/>
        <v>25.675081674146895</v>
      </c>
      <c r="S28" s="16">
        <f t="shared" si="14"/>
        <v>10.803178975478756</v>
      </c>
      <c r="T28" s="16">
        <f t="shared" si="15"/>
        <v>10.815522634248932</v>
      </c>
      <c r="U28" s="16">
        <f t="shared" si="16"/>
        <v>19.283526842184767</v>
      </c>
      <c r="V28" s="16">
        <f t="shared" si="17"/>
        <v>8.3279524283716775</v>
      </c>
      <c r="W28" s="16">
        <f t="shared" si="18"/>
        <v>2.4524785835672875</v>
      </c>
      <c r="X28" s="16">
        <f t="shared" si="19"/>
        <v>3.3516153511679638</v>
      </c>
      <c r="Y28" s="16">
        <f t="shared" si="20"/>
        <v>3.4116391246515536</v>
      </c>
      <c r="Z28">
        <v>0.6</v>
      </c>
      <c r="AB28">
        <f t="shared" si="21"/>
        <v>2.0109692107007784</v>
      </c>
      <c r="AD28" s="5">
        <v>0</v>
      </c>
      <c r="AE28">
        <v>0</v>
      </c>
      <c r="AF28">
        <v>0</v>
      </c>
      <c r="AG28">
        <f t="shared" si="36"/>
        <v>0</v>
      </c>
      <c r="AH28" s="71">
        <f t="shared" si="37"/>
        <v>1</v>
      </c>
      <c r="AI28">
        <f t="shared" si="38"/>
        <v>2.0109692107007784</v>
      </c>
      <c r="AJ28">
        <f t="shared" si="39"/>
        <v>66.885143845848589</v>
      </c>
      <c r="AK28" s="2">
        <f t="shared" si="28"/>
        <v>10.114856154151411</v>
      </c>
    </row>
    <row r="29" spans="1:38" ht="15.6">
      <c r="A29" s="1">
        <v>44215</v>
      </c>
      <c r="B29" s="13">
        <f t="shared" si="23"/>
        <v>19</v>
      </c>
      <c r="C29" s="13">
        <f t="shared" si="4"/>
        <v>19</v>
      </c>
      <c r="D29" s="14">
        <v>28.4</v>
      </c>
      <c r="E29" s="14">
        <v>9.6</v>
      </c>
      <c r="F29" s="14">
        <v>67</v>
      </c>
      <c r="G29" s="14">
        <v>6</v>
      </c>
      <c r="H29" s="15">
        <v>2.9</v>
      </c>
      <c r="I29" s="16">
        <f>4098*(0.6108*EXP(17.27*Tomato!C29/(Tomato!C29+237.3)))/(Tomato!C29+237.3)^2</f>
        <v>0.13708266611218417</v>
      </c>
      <c r="J29" s="16">
        <f t="shared" si="5"/>
        <v>0.34185706611218419</v>
      </c>
      <c r="K29" s="16">
        <f t="shared" si="6"/>
        <v>3.868863716528768</v>
      </c>
      <c r="L29" s="16">
        <f t="shared" si="7"/>
        <v>1.1954334347937761</v>
      </c>
      <c r="M29" s="16">
        <f t="shared" si="8"/>
        <v>2.5321485756612718</v>
      </c>
      <c r="N29" s="16">
        <f t="shared" si="9"/>
        <v>1.6965395456930523</v>
      </c>
      <c r="O29" s="16">
        <f t="shared" si="10"/>
        <v>-0.35741070064749808</v>
      </c>
      <c r="P29" s="16">
        <f t="shared" si="11"/>
        <v>1.0312523533281748</v>
      </c>
      <c r="Q29" s="16">
        <f t="shared" si="12"/>
        <v>1.4150319877748263</v>
      </c>
      <c r="R29" s="16">
        <f t="shared" si="13"/>
        <v>25.778874436244838</v>
      </c>
      <c r="S29" s="16">
        <f t="shared" si="14"/>
        <v>10.815531116750265</v>
      </c>
      <c r="T29" s="16">
        <f t="shared" si="15"/>
        <v>9.9008011193934777</v>
      </c>
      <c r="U29" s="16">
        <f t="shared" si="16"/>
        <v>19.361481434086045</v>
      </c>
      <c r="V29" s="16">
        <f t="shared" si="17"/>
        <v>7.6236168619329776</v>
      </c>
      <c r="W29" s="16">
        <f t="shared" si="18"/>
        <v>1.9285972392039703</v>
      </c>
      <c r="X29" s="16">
        <f t="shared" si="19"/>
        <v>3.9766266544887232</v>
      </c>
      <c r="Y29" s="16">
        <f t="shared" si="20"/>
        <v>3.8599234654570154</v>
      </c>
      <c r="Z29">
        <v>0.6</v>
      </c>
      <c r="AB29">
        <f t="shared" si="21"/>
        <v>2.385975992693234</v>
      </c>
      <c r="AD29" s="5">
        <v>0</v>
      </c>
      <c r="AE29">
        <v>0</v>
      </c>
      <c r="AF29">
        <v>0</v>
      </c>
      <c r="AG29">
        <f t="shared" si="36"/>
        <v>0</v>
      </c>
      <c r="AH29" s="71">
        <f t="shared" si="37"/>
        <v>1</v>
      </c>
      <c r="AI29">
        <f t="shared" si="38"/>
        <v>2.385975992693234</v>
      </c>
      <c r="AJ29">
        <f t="shared" si="39"/>
        <v>64.499167853155356</v>
      </c>
      <c r="AK29" s="2">
        <f t="shared" si="28"/>
        <v>12.500832146844644</v>
      </c>
    </row>
    <row r="30" spans="1:38" ht="15.6">
      <c r="A30" s="1">
        <v>44216</v>
      </c>
      <c r="B30" s="13">
        <f t="shared" si="23"/>
        <v>20</v>
      </c>
      <c r="C30" s="13">
        <f t="shared" si="4"/>
        <v>22.5</v>
      </c>
      <c r="D30" s="14">
        <v>28.2</v>
      </c>
      <c r="E30" s="14">
        <v>16.8</v>
      </c>
      <c r="F30" s="14">
        <v>49</v>
      </c>
      <c r="G30" s="14">
        <v>4</v>
      </c>
      <c r="H30" s="15">
        <v>2.6</v>
      </c>
      <c r="I30" s="16">
        <f>4098*(0.6108*EXP(17.27*Tomato!C30/(Tomato!C30+237.3)))/(Tomato!C30+237.3)^2</f>
        <v>0.16548316037309999</v>
      </c>
      <c r="J30" s="16">
        <f t="shared" si="5"/>
        <v>0.3244527603731</v>
      </c>
      <c r="K30" s="16">
        <f t="shared" si="6"/>
        <v>3.8241720180540506</v>
      </c>
      <c r="L30" s="16">
        <f t="shared" si="7"/>
        <v>1.913305694509122</v>
      </c>
      <c r="M30" s="16">
        <f t="shared" si="8"/>
        <v>2.8687388562815865</v>
      </c>
      <c r="N30" s="16">
        <f t="shared" si="9"/>
        <v>1.4056820395779774</v>
      </c>
      <c r="O30" s="16">
        <f t="shared" si="10"/>
        <v>-0.35393677744581836</v>
      </c>
      <c r="P30" s="16">
        <f t="shared" si="11"/>
        <v>1.0310654150467282</v>
      </c>
      <c r="Q30" s="16">
        <f t="shared" si="12"/>
        <v>1.4166941434736289</v>
      </c>
      <c r="R30" s="16">
        <f t="shared" si="13"/>
        <v>25.885580476963753</v>
      </c>
      <c r="S30" s="16">
        <f t="shared" si="14"/>
        <v>10.828235491518182</v>
      </c>
      <c r="T30" s="16">
        <f t="shared" si="15"/>
        <v>9.579127181995954</v>
      </c>
      <c r="U30" s="16">
        <f t="shared" si="16"/>
        <v>19.441624073028397</v>
      </c>
      <c r="V30" s="16">
        <f t="shared" si="17"/>
        <v>7.3759279301368847</v>
      </c>
      <c r="W30" s="16">
        <f t="shared" si="18"/>
        <v>2.0592877151014726</v>
      </c>
      <c r="X30" s="16">
        <f t="shared" si="19"/>
        <v>4.80683777295003</v>
      </c>
      <c r="Y30" s="16">
        <f t="shared" si="20"/>
        <v>3.3052428869370303</v>
      </c>
      <c r="Z30">
        <v>0.6</v>
      </c>
      <c r="AB30">
        <f t="shared" si="21"/>
        <v>2.884102663770018</v>
      </c>
      <c r="AD30" s="5">
        <v>0</v>
      </c>
      <c r="AE30">
        <v>0</v>
      </c>
      <c r="AF30">
        <v>0</v>
      </c>
      <c r="AG30">
        <f t="shared" si="36"/>
        <v>0</v>
      </c>
      <c r="AH30" s="71">
        <f t="shared" si="37"/>
        <v>1</v>
      </c>
      <c r="AI30">
        <f t="shared" si="38"/>
        <v>2.884102663770018</v>
      </c>
      <c r="AJ30">
        <f t="shared" si="39"/>
        <v>61.615065189385341</v>
      </c>
      <c r="AK30" s="2">
        <f t="shared" si="28"/>
        <v>15.384934810614659</v>
      </c>
    </row>
    <row r="31" spans="1:38" ht="15.6">
      <c r="A31" s="1">
        <v>44217</v>
      </c>
      <c r="B31" s="13">
        <f t="shared" si="23"/>
        <v>21</v>
      </c>
      <c r="C31" s="13">
        <f t="shared" si="4"/>
        <v>20.399999999999999</v>
      </c>
      <c r="D31" s="14">
        <v>28.8</v>
      </c>
      <c r="E31" s="14">
        <v>12</v>
      </c>
      <c r="F31" s="14">
        <v>61</v>
      </c>
      <c r="G31" s="14">
        <v>6</v>
      </c>
      <c r="H31" s="15">
        <v>8</v>
      </c>
      <c r="I31" s="16">
        <f>4098*(0.6108*EXP(17.27*Tomato!C31/(Tomato!C31+237.3)))/(Tomato!C31+237.3)^2</f>
        <v>0.14790293740537153</v>
      </c>
      <c r="J31" s="16">
        <f t="shared" si="5"/>
        <v>0.35267733740537155</v>
      </c>
      <c r="K31" s="16">
        <f t="shared" si="6"/>
        <v>3.9596126295507381</v>
      </c>
      <c r="L31" s="16">
        <f t="shared" si="7"/>
        <v>1.4025638730469563</v>
      </c>
      <c r="M31" s="16">
        <f t="shared" si="8"/>
        <v>2.6810882512988474</v>
      </c>
      <c r="N31" s="16">
        <f t="shared" si="9"/>
        <v>1.6354638332922968</v>
      </c>
      <c r="O31" s="16">
        <f t="shared" si="10"/>
        <v>-0.35035808144729691</v>
      </c>
      <c r="P31" s="16">
        <f t="shared" si="11"/>
        <v>1.0308692807432041</v>
      </c>
      <c r="Q31" s="16">
        <f t="shared" si="12"/>
        <v>1.4184015268216223</v>
      </c>
      <c r="R31" s="16">
        <f t="shared" si="13"/>
        <v>25.995141768199566</v>
      </c>
      <c r="S31" s="16">
        <f t="shared" si="14"/>
        <v>10.841285555324502</v>
      </c>
      <c r="T31" s="16">
        <f t="shared" si="15"/>
        <v>16.089951226049568</v>
      </c>
      <c r="U31" s="16">
        <f t="shared" si="16"/>
        <v>19.523911176423965</v>
      </c>
      <c r="V31" s="16">
        <f t="shared" si="17"/>
        <v>12.389262444058167</v>
      </c>
      <c r="W31" s="16">
        <f t="shared" si="18"/>
        <v>4.4912698905897965</v>
      </c>
      <c r="X31" s="16">
        <f t="shared" si="19"/>
        <v>5.0270235851097667</v>
      </c>
      <c r="Y31" s="16">
        <f t="shared" si="20"/>
        <v>3.8194268178798718</v>
      </c>
      <c r="Z31">
        <v>0.6</v>
      </c>
      <c r="AB31">
        <f t="shared" si="21"/>
        <v>3.01621415106586</v>
      </c>
      <c r="AD31" s="5">
        <v>0</v>
      </c>
      <c r="AE31">
        <v>0</v>
      </c>
      <c r="AF31">
        <v>0</v>
      </c>
      <c r="AG31">
        <f t="shared" si="36"/>
        <v>0</v>
      </c>
      <c r="AH31" s="71">
        <f t="shared" si="37"/>
        <v>1</v>
      </c>
      <c r="AI31">
        <f t="shared" si="38"/>
        <v>3.01621415106586</v>
      </c>
      <c r="AJ31">
        <f t="shared" si="39"/>
        <v>58.598851038319481</v>
      </c>
      <c r="AK31" s="2">
        <f t="shared" si="28"/>
        <v>18.401148961680519</v>
      </c>
    </row>
    <row r="32" spans="1:38" ht="15.6">
      <c r="A32" s="1">
        <v>44218</v>
      </c>
      <c r="B32" s="13">
        <f t="shared" si="23"/>
        <v>22</v>
      </c>
      <c r="C32" s="13">
        <f t="shared" si="4"/>
        <v>19</v>
      </c>
      <c r="D32" s="14">
        <v>27</v>
      </c>
      <c r="E32" s="14">
        <v>11</v>
      </c>
      <c r="F32" s="14">
        <v>49</v>
      </c>
      <c r="G32" s="14">
        <v>6</v>
      </c>
      <c r="H32" s="15">
        <v>7</v>
      </c>
      <c r="I32" s="16">
        <f>4098*(0.6108*EXP(17.27*Tomato!C32/(Tomato!C32+237.3)))/(Tomato!C32+237.3)^2</f>
        <v>0.13708266611218417</v>
      </c>
      <c r="J32" s="16">
        <f t="shared" si="5"/>
        <v>0.34185706611218419</v>
      </c>
      <c r="K32" s="16">
        <f t="shared" si="6"/>
        <v>3.5653401758108458</v>
      </c>
      <c r="L32" s="16">
        <f t="shared" si="7"/>
        <v>1.3127141391058279</v>
      </c>
      <c r="M32" s="16">
        <f t="shared" si="8"/>
        <v>2.4390271574583369</v>
      </c>
      <c r="N32" s="16">
        <f t="shared" si="9"/>
        <v>1.195123307154585</v>
      </c>
      <c r="O32" s="16">
        <f t="shared" si="10"/>
        <v>-0.3466756720218912</v>
      </c>
      <c r="P32" s="16">
        <f t="shared" si="11"/>
        <v>1.030664008477518</v>
      </c>
      <c r="Q32" s="16">
        <f t="shared" si="12"/>
        <v>1.4201532710589841</v>
      </c>
      <c r="R32" s="16">
        <f t="shared" si="13"/>
        <v>26.107498610733014</v>
      </c>
      <c r="S32" s="16">
        <f t="shared" si="14"/>
        <v>10.854674683253382</v>
      </c>
      <c r="T32" s="16">
        <f t="shared" si="15"/>
        <v>14.94502146997489</v>
      </c>
      <c r="U32" s="16">
        <f t="shared" si="16"/>
        <v>19.608297906577135</v>
      </c>
      <c r="V32" s="16">
        <f t="shared" si="17"/>
        <v>11.507666531880666</v>
      </c>
      <c r="W32" s="16">
        <f t="shared" si="18"/>
        <v>4.5546090127248666</v>
      </c>
      <c r="X32" s="16">
        <f t="shared" si="19"/>
        <v>5.670240953718217</v>
      </c>
      <c r="Y32" s="16">
        <f t="shared" si="20"/>
        <v>3.6062935296971057</v>
      </c>
      <c r="Z32">
        <v>0.6</v>
      </c>
      <c r="AB32">
        <f t="shared" si="21"/>
        <v>3.40214457223093</v>
      </c>
      <c r="AD32" s="5">
        <v>0</v>
      </c>
      <c r="AE32">
        <v>0</v>
      </c>
      <c r="AF32">
        <v>0</v>
      </c>
      <c r="AG32">
        <f t="shared" si="36"/>
        <v>0</v>
      </c>
      <c r="AH32" s="71">
        <f t="shared" si="37"/>
        <v>0.95128004932336818</v>
      </c>
      <c r="AI32">
        <f t="shared" si="38"/>
        <v>3.2363922564770684</v>
      </c>
      <c r="AJ32">
        <f t="shared" si="39"/>
        <v>55.362458781842413</v>
      </c>
      <c r="AK32" s="2">
        <f t="shared" si="28"/>
        <v>21.637541218157587</v>
      </c>
    </row>
    <row r="33" spans="1:38" ht="15.6">
      <c r="A33" s="1">
        <v>44219</v>
      </c>
      <c r="B33" s="13">
        <f t="shared" si="23"/>
        <v>23</v>
      </c>
      <c r="C33" s="13">
        <f t="shared" si="4"/>
        <v>19.100000000000001</v>
      </c>
      <c r="D33" s="14">
        <v>27</v>
      </c>
      <c r="E33" s="14">
        <v>11.2</v>
      </c>
      <c r="F33" s="14">
        <v>48</v>
      </c>
      <c r="G33" s="14">
        <v>5</v>
      </c>
      <c r="H33" s="15">
        <v>5</v>
      </c>
      <c r="I33" s="16">
        <f>4098*(0.6108*EXP(17.27*Tomato!C33/(Tomato!C33+237.3)))/(Tomato!C33+237.3)^2</f>
        <v>0.13783264223942809</v>
      </c>
      <c r="J33" s="16">
        <f t="shared" si="5"/>
        <v>0.31970464223942813</v>
      </c>
      <c r="K33" s="16">
        <f t="shared" si="6"/>
        <v>3.5653401758108458</v>
      </c>
      <c r="L33" s="16">
        <f t="shared" si="7"/>
        <v>1.3302680876001909</v>
      </c>
      <c r="M33" s="16">
        <f t="shared" si="8"/>
        <v>2.4478041317055181</v>
      </c>
      <c r="N33" s="16">
        <f t="shared" si="9"/>
        <v>1.1749459832186486</v>
      </c>
      <c r="O33" s="16">
        <f t="shared" si="10"/>
        <v>-0.34289063924093349</v>
      </c>
      <c r="P33" s="16">
        <f t="shared" si="11"/>
        <v>1.030449659014617</v>
      </c>
      <c r="Q33" s="16">
        <f t="shared" si="12"/>
        <v>1.421948500177348</v>
      </c>
      <c r="R33" s="16">
        <f t="shared" si="13"/>
        <v>26.222589668447995</v>
      </c>
      <c r="S33" s="16">
        <f t="shared" si="14"/>
        <v>10.868396179699475</v>
      </c>
      <c r="T33" s="16">
        <f t="shared" si="15"/>
        <v>12.587491774568308</v>
      </c>
      <c r="U33" s="16">
        <f t="shared" si="16"/>
        <v>19.694738196384549</v>
      </c>
      <c r="V33" s="16">
        <f t="shared" si="17"/>
        <v>9.6923686664175968</v>
      </c>
      <c r="W33" s="16">
        <f t="shared" si="18"/>
        <v>3.4684622105063636</v>
      </c>
      <c r="X33" s="16">
        <f t="shared" si="19"/>
        <v>5.226339090971436</v>
      </c>
      <c r="Y33" s="16">
        <f t="shared" si="20"/>
        <v>3.609262655067448</v>
      </c>
      <c r="Z33">
        <v>0.6</v>
      </c>
      <c r="AB33">
        <f t="shared" si="21"/>
        <v>3.1358034545828617</v>
      </c>
      <c r="AD33" s="5">
        <v>0</v>
      </c>
      <c r="AE33">
        <v>0</v>
      </c>
      <c r="AF33">
        <v>0</v>
      </c>
      <c r="AG33">
        <f t="shared" si="36"/>
        <v>0</v>
      </c>
      <c r="AH33" s="71">
        <f t="shared" si="37"/>
        <v>0.8987412139909482</v>
      </c>
      <c r="AI33">
        <f t="shared" si="38"/>
        <v>2.8182758036088105</v>
      </c>
      <c r="AJ33">
        <f t="shared" si="39"/>
        <v>52.5441829782336</v>
      </c>
      <c r="AK33" s="2">
        <f t="shared" si="28"/>
        <v>24.4558170217664</v>
      </c>
    </row>
    <row r="34" spans="1:38" ht="15.6">
      <c r="A34" s="1">
        <v>44220</v>
      </c>
      <c r="B34" s="13">
        <f t="shared" si="23"/>
        <v>24</v>
      </c>
      <c r="C34" s="13">
        <f t="shared" si="4"/>
        <v>19.700000000000003</v>
      </c>
      <c r="D34" s="14">
        <v>27.6</v>
      </c>
      <c r="E34" s="14">
        <v>11.8</v>
      </c>
      <c r="F34" s="14">
        <v>55</v>
      </c>
      <c r="G34" s="14">
        <v>6</v>
      </c>
      <c r="H34" s="15">
        <v>5</v>
      </c>
      <c r="I34" s="16">
        <f>4098*(0.6108*EXP(17.27*Tomato!C34/(Tomato!C34+237.3)))/(Tomato!C34+237.3)^2</f>
        <v>0.14240584875815754</v>
      </c>
      <c r="J34" s="16">
        <f t="shared" si="5"/>
        <v>0.34718024875815756</v>
      </c>
      <c r="K34" s="16">
        <f t="shared" si="6"/>
        <v>3.6927819602923044</v>
      </c>
      <c r="L34" s="16">
        <f t="shared" si="7"/>
        <v>1.3841737831842924</v>
      </c>
      <c r="M34" s="16">
        <f t="shared" si="8"/>
        <v>2.5384778717382983</v>
      </c>
      <c r="N34" s="16">
        <f t="shared" si="9"/>
        <v>1.3961628294560642</v>
      </c>
      <c r="O34" s="16">
        <f t="shared" si="10"/>
        <v>-0.33900410355444743</v>
      </c>
      <c r="P34" s="16">
        <f t="shared" si="11"/>
        <v>1.0302262958064905</v>
      </c>
      <c r="Q34" s="16">
        <f t="shared" si="12"/>
        <v>1.4237863301752216</v>
      </c>
      <c r="R34" s="16">
        <f t="shared" si="13"/>
        <v>26.340352004421455</v>
      </c>
      <c r="S34" s="16">
        <f t="shared" si="14"/>
        <v>10.882443287963477</v>
      </c>
      <c r="T34" s="16">
        <f t="shared" si="15"/>
        <v>12.636199710907517</v>
      </c>
      <c r="U34" s="16">
        <f t="shared" si="16"/>
        <v>19.783184776440777</v>
      </c>
      <c r="V34" s="16">
        <f t="shared" si="17"/>
        <v>9.7298737773987884</v>
      </c>
      <c r="W34" s="16">
        <f t="shared" si="18"/>
        <v>3.2396512809568274</v>
      </c>
      <c r="X34" s="16">
        <f t="shared" si="19"/>
        <v>5.1750334767754183</v>
      </c>
      <c r="Y34" s="16">
        <f t="shared" si="20"/>
        <v>3.6844221519135374</v>
      </c>
      <c r="Z34">
        <v>0.6</v>
      </c>
      <c r="AB34">
        <f t="shared" si="21"/>
        <v>3.105020086065251</v>
      </c>
      <c r="AD34" s="5">
        <v>0</v>
      </c>
      <c r="AE34">
        <v>0</v>
      </c>
      <c r="AF34">
        <v>0</v>
      </c>
      <c r="AG34">
        <f t="shared" si="36"/>
        <v>0</v>
      </c>
      <c r="AH34" s="71">
        <f t="shared" si="37"/>
        <v>0.85298998341288312</v>
      </c>
      <c r="AI34">
        <f t="shared" si="38"/>
        <v>2.6485510317094674</v>
      </c>
      <c r="AJ34">
        <f t="shared" si="39"/>
        <v>49.895631946524134</v>
      </c>
      <c r="AK34" s="2">
        <f t="shared" si="28"/>
        <v>27.104368053475866</v>
      </c>
    </row>
    <row r="35" spans="1:38" ht="15.6">
      <c r="A35" s="1">
        <v>44221</v>
      </c>
      <c r="B35" s="13">
        <f t="shared" si="23"/>
        <v>25</v>
      </c>
      <c r="C35" s="13">
        <f t="shared" si="4"/>
        <v>19.350000000000001</v>
      </c>
      <c r="D35" s="14">
        <v>27</v>
      </c>
      <c r="E35" s="14">
        <v>11.7</v>
      </c>
      <c r="F35" s="14">
        <v>59</v>
      </c>
      <c r="G35" s="14">
        <v>6</v>
      </c>
      <c r="H35" s="15">
        <v>0</v>
      </c>
      <c r="I35" s="16">
        <f>4098*(0.6108*EXP(17.27*Tomato!C35/(Tomato!C35+237.3)))/(Tomato!C35+237.3)^2</f>
        <v>0.13972279794531864</v>
      </c>
      <c r="J35" s="16">
        <f t="shared" si="5"/>
        <v>0.34449719794531863</v>
      </c>
      <c r="K35" s="16">
        <f t="shared" si="6"/>
        <v>3.5653401758108458</v>
      </c>
      <c r="L35" s="16">
        <f t="shared" si="7"/>
        <v>1.3750584263039283</v>
      </c>
      <c r="M35" s="16">
        <f t="shared" si="8"/>
        <v>2.4701993010573871</v>
      </c>
      <c r="N35" s="16">
        <f t="shared" si="9"/>
        <v>1.4574175876238582</v>
      </c>
      <c r="O35" s="16">
        <f t="shared" si="10"/>
        <v>-0.3350172154594705</v>
      </c>
      <c r="P35" s="16">
        <f t="shared" si="11"/>
        <v>1.0299939849733879</v>
      </c>
      <c r="Q35" s="16">
        <f t="shared" si="12"/>
        <v>1.4256658702876028</v>
      </c>
      <c r="R35" s="16">
        <f t="shared" si="13"/>
        <v>26.460721118908193</v>
      </c>
      <c r="S35" s="16">
        <f t="shared" si="14"/>
        <v>10.896809199650468</v>
      </c>
      <c r="T35" s="16">
        <f t="shared" si="15"/>
        <v>6.6151802797270483</v>
      </c>
      <c r="U35" s="16">
        <f t="shared" si="16"/>
        <v>19.873589203567185</v>
      </c>
      <c r="V35" s="16">
        <f t="shared" si="17"/>
        <v>5.093688815389827</v>
      </c>
      <c r="W35" s="16">
        <f t="shared" si="18"/>
        <v>0.61235004929472703</v>
      </c>
      <c r="X35" s="16">
        <f t="shared" si="19"/>
        <v>4.399390281573095</v>
      </c>
      <c r="Y35" s="16">
        <f t="shared" si="20"/>
        <v>3.6082299596872187</v>
      </c>
      <c r="Z35">
        <v>0.6</v>
      </c>
      <c r="AB35">
        <f t="shared" si="21"/>
        <v>2.6396341689438567</v>
      </c>
      <c r="AD35" s="5">
        <v>0</v>
      </c>
      <c r="AE35">
        <v>0</v>
      </c>
      <c r="AF35">
        <v>0</v>
      </c>
      <c r="AG35">
        <f t="shared" si="36"/>
        <v>0</v>
      </c>
      <c r="AH35" s="71">
        <f t="shared" si="37"/>
        <v>0.80999402510591123</v>
      </c>
      <c r="AI35">
        <f t="shared" si="38"/>
        <v>2.1380879053099315</v>
      </c>
      <c r="AJ35">
        <f t="shared" si="39"/>
        <v>47.757544041214203</v>
      </c>
      <c r="AK35" s="2">
        <f t="shared" si="28"/>
        <v>29.242455958785797</v>
      </c>
    </row>
    <row r="36" spans="1:38" ht="15.6">
      <c r="A36" s="1">
        <v>44222</v>
      </c>
      <c r="B36" s="13">
        <f t="shared" si="23"/>
        <v>26</v>
      </c>
      <c r="C36" s="13">
        <f t="shared" si="4"/>
        <v>20.25</v>
      </c>
      <c r="D36" s="14">
        <v>26.5</v>
      </c>
      <c r="E36" s="14">
        <v>14</v>
      </c>
      <c r="F36" s="14">
        <v>62</v>
      </c>
      <c r="G36" s="14">
        <v>5</v>
      </c>
      <c r="H36" s="15">
        <v>0</v>
      </c>
      <c r="I36" s="16">
        <f>4098*(0.6108*EXP(17.27*Tomato!C36/(Tomato!C36+237.3)))/(Tomato!C36+237.3)^2</f>
        <v>0.14671012498663891</v>
      </c>
      <c r="J36" s="16">
        <f t="shared" si="5"/>
        <v>0.32858212498663897</v>
      </c>
      <c r="K36" s="16">
        <f t="shared" si="6"/>
        <v>3.4620823587978249</v>
      </c>
      <c r="L36" s="16">
        <f t="shared" si="7"/>
        <v>1.5986048594252917</v>
      </c>
      <c r="M36" s="16">
        <f t="shared" si="8"/>
        <v>2.5303436091115583</v>
      </c>
      <c r="N36" s="16">
        <f t="shared" si="9"/>
        <v>1.5688130376491662</v>
      </c>
      <c r="O36" s="16">
        <f t="shared" si="10"/>
        <v>-0.33093115515948252</v>
      </c>
      <c r="P36" s="16">
        <f t="shared" si="11"/>
        <v>1.0297527952842456</v>
      </c>
      <c r="Q36" s="16">
        <f t="shared" si="12"/>
        <v>1.427586224186792</v>
      </c>
      <c r="R36" s="16">
        <f t="shared" si="13"/>
        <v>26.583630989238308</v>
      </c>
      <c r="S36" s="16">
        <f t="shared" si="14"/>
        <v>10.911487063848092</v>
      </c>
      <c r="T36" s="16">
        <f t="shared" si="15"/>
        <v>6.6459077473095771</v>
      </c>
      <c r="U36" s="16">
        <f t="shared" si="16"/>
        <v>19.965901890777321</v>
      </c>
      <c r="V36" s="16">
        <f t="shared" si="17"/>
        <v>5.1173489654283744</v>
      </c>
      <c r="W36" s="16">
        <f t="shared" si="18"/>
        <v>0.5961131793783323</v>
      </c>
      <c r="X36" s="16">
        <f t="shared" si="19"/>
        <v>3.8484260191774746</v>
      </c>
      <c r="Y36" s="16">
        <f t="shared" si="20"/>
        <v>3.3559228372293251</v>
      </c>
      <c r="Z36">
        <v>0.6</v>
      </c>
      <c r="AB36">
        <f t="shared" si="21"/>
        <v>2.3090556115064849</v>
      </c>
      <c r="AD36" s="6">
        <v>0</v>
      </c>
      <c r="AE36">
        <v>0</v>
      </c>
      <c r="AF36">
        <v>0</v>
      </c>
      <c r="AG36">
        <f t="shared" si="36"/>
        <v>0</v>
      </c>
      <c r="AH36" s="71">
        <f t="shared" si="37"/>
        <v>0.77528480586386694</v>
      </c>
      <c r="AI36">
        <f t="shared" si="38"/>
        <v>1.7901757314956777</v>
      </c>
      <c r="AJ36">
        <f t="shared" si="39"/>
        <v>45.967368309718523</v>
      </c>
      <c r="AK36" s="2">
        <f t="shared" si="28"/>
        <v>31.032631690281477</v>
      </c>
    </row>
    <row r="37" spans="1:38" ht="15.6">
      <c r="A37" s="1">
        <v>44223</v>
      </c>
      <c r="B37" s="13">
        <f t="shared" si="23"/>
        <v>27</v>
      </c>
      <c r="C37" s="13">
        <f t="shared" si="4"/>
        <v>18</v>
      </c>
      <c r="D37" s="14">
        <v>24.5</v>
      </c>
      <c r="E37" s="14">
        <v>11.5</v>
      </c>
      <c r="F37" s="14">
        <v>59</v>
      </c>
      <c r="G37" s="14">
        <v>8</v>
      </c>
      <c r="H37" s="15">
        <v>3.9</v>
      </c>
      <c r="I37" s="16">
        <f>4098*(0.6108*EXP(17.27*Tomato!C37/(Tomato!C37+237.3)))/(Tomato!C37+237.3)^2</f>
        <v>0.12977102815536121</v>
      </c>
      <c r="J37" s="16">
        <f t="shared" si="5"/>
        <v>0.38035022815536124</v>
      </c>
      <c r="K37" s="16">
        <f t="shared" si="6"/>
        <v>3.07464905088159</v>
      </c>
      <c r="L37" s="16">
        <f t="shared" si="7"/>
        <v>1.3569857803790661</v>
      </c>
      <c r="M37" s="16">
        <f t="shared" si="8"/>
        <v>2.2158174156303279</v>
      </c>
      <c r="N37" s="16">
        <f t="shared" si="9"/>
        <v>1.3073322752218934</v>
      </c>
      <c r="O37" s="16">
        <f t="shared" si="10"/>
        <v>-0.32674713221504054</v>
      </c>
      <c r="P37" s="16">
        <f t="shared" si="11"/>
        <v>1.0295027981363296</v>
      </c>
      <c r="Q37" s="16">
        <f t="shared" si="12"/>
        <v>1.4295464911516196</v>
      </c>
      <c r="R37" s="16">
        <f t="shared" si="13"/>
        <v>26.709014111640879</v>
      </c>
      <c r="S37" s="16">
        <f t="shared" si="14"/>
        <v>10.926469996063334</v>
      </c>
      <c r="T37" s="16">
        <f t="shared" si="15"/>
        <v>11.44389614317978</v>
      </c>
      <c r="U37" s="16">
        <f t="shared" si="16"/>
        <v>20.060072138688998</v>
      </c>
      <c r="V37" s="16">
        <f t="shared" si="17"/>
        <v>8.8118000302484312</v>
      </c>
      <c r="W37" s="16">
        <f t="shared" si="18"/>
        <v>2.671673722597538</v>
      </c>
      <c r="X37" s="16">
        <f t="shared" si="19"/>
        <v>4.8355843499155</v>
      </c>
      <c r="Y37" s="16">
        <f t="shared" si="20"/>
        <v>3.2351957207251236</v>
      </c>
      <c r="Z37">
        <v>0.6</v>
      </c>
      <c r="AB37">
        <f t="shared" si="21"/>
        <v>2.9013506099492998</v>
      </c>
      <c r="AD37" s="6">
        <v>0</v>
      </c>
      <c r="AE37">
        <v>0</v>
      </c>
      <c r="AF37">
        <v>0</v>
      </c>
      <c r="AG37">
        <f t="shared" si="36"/>
        <v>0</v>
      </c>
      <c r="AH37" s="71">
        <f t="shared" si="37"/>
        <v>0.74622351152140454</v>
      </c>
      <c r="AI37">
        <f t="shared" si="38"/>
        <v>2.1650560403111356</v>
      </c>
      <c r="AJ37">
        <f t="shared" si="39"/>
        <v>43.802312269407388</v>
      </c>
      <c r="AK37" s="2">
        <f t="shared" si="28"/>
        <v>33.197687730592612</v>
      </c>
    </row>
    <row r="38" spans="1:38" ht="15.6">
      <c r="A38" s="1">
        <v>44224</v>
      </c>
      <c r="B38" s="13">
        <f t="shared" si="23"/>
        <v>28</v>
      </c>
      <c r="C38" s="13">
        <f t="shared" si="4"/>
        <v>18.2</v>
      </c>
      <c r="D38" s="14">
        <v>26.4</v>
      </c>
      <c r="E38" s="14">
        <v>10</v>
      </c>
      <c r="F38" s="14">
        <v>38</v>
      </c>
      <c r="G38" s="14">
        <v>6</v>
      </c>
      <c r="H38" s="15">
        <v>8</v>
      </c>
      <c r="I38" s="16">
        <f>4098*(0.6108*EXP(17.27*Tomato!C38/(Tomato!C38+237.3)))/(Tomato!C38+237.3)^2</f>
        <v>0.13120629606747061</v>
      </c>
      <c r="J38" s="16">
        <f t="shared" si="5"/>
        <v>0.33598069606747061</v>
      </c>
      <c r="K38" s="16">
        <f t="shared" si="6"/>
        <v>3.4417464345283828</v>
      </c>
      <c r="L38" s="16">
        <f t="shared" si="7"/>
        <v>1.2279626193393784</v>
      </c>
      <c r="M38" s="16">
        <f t="shared" si="8"/>
        <v>2.3348545269338805</v>
      </c>
      <c r="N38" s="16">
        <f t="shared" si="9"/>
        <v>0.88724472023487455</v>
      </c>
      <c r="O38" s="16">
        <f t="shared" si="10"/>
        <v>-0.32246638518572324</v>
      </c>
      <c r="P38" s="16">
        <f t="shared" si="11"/>
        <v>1.0292440675341012</v>
      </c>
      <c r="Q38" s="16">
        <f t="shared" si="12"/>
        <v>1.4315457672025209</v>
      </c>
      <c r="R38" s="16">
        <f t="shared" si="13"/>
        <v>26.836801545002</v>
      </c>
      <c r="S38" s="16">
        <f t="shared" si="14"/>
        <v>10.941751086898249</v>
      </c>
      <c r="T38" s="16">
        <f t="shared" si="15"/>
        <v>16.519988927085297</v>
      </c>
      <c r="U38" s="16">
        <f t="shared" si="16"/>
        <v>20.156048168389201</v>
      </c>
      <c r="V38" s="16">
        <f t="shared" si="17"/>
        <v>12.720391473855679</v>
      </c>
      <c r="W38" s="16">
        <f t="shared" si="18"/>
        <v>5.5893688894349474</v>
      </c>
      <c r="X38" s="16">
        <f t="shared" si="19"/>
        <v>6.5181683491780635</v>
      </c>
      <c r="Y38" s="16">
        <f t="shared" si="20"/>
        <v>3.671497007234088</v>
      </c>
      <c r="Z38">
        <v>0.6</v>
      </c>
      <c r="AB38">
        <f t="shared" si="21"/>
        <v>3.9109010095068379</v>
      </c>
      <c r="AD38" s="6">
        <v>0</v>
      </c>
      <c r="AE38">
        <v>0</v>
      </c>
      <c r="AF38">
        <v>0</v>
      </c>
      <c r="AG38">
        <f t="shared" si="36"/>
        <v>0</v>
      </c>
      <c r="AH38" s="71">
        <f t="shared" si="37"/>
        <v>0.71107649787999005</v>
      </c>
      <c r="AI38">
        <f t="shared" si="38"/>
        <v>2.7809497933954401</v>
      </c>
      <c r="AJ38">
        <f t="shared" si="39"/>
        <v>41.021362476011944</v>
      </c>
      <c r="AK38" s="2">
        <f t="shared" si="28"/>
        <v>35.978637523988056</v>
      </c>
    </row>
    <row r="39" spans="1:38" ht="15.6">
      <c r="A39" s="1">
        <v>44225</v>
      </c>
      <c r="B39" s="13">
        <f t="shared" si="23"/>
        <v>29</v>
      </c>
      <c r="C39" s="13">
        <f t="shared" si="4"/>
        <v>17.649999999999999</v>
      </c>
      <c r="D39" s="14">
        <v>26</v>
      </c>
      <c r="E39" s="14">
        <v>9.3000000000000007</v>
      </c>
      <c r="F39" s="14">
        <v>41</v>
      </c>
      <c r="G39" s="14">
        <v>6</v>
      </c>
      <c r="H39" s="15">
        <v>2.6</v>
      </c>
      <c r="I39" s="16">
        <f>4098*(0.6108*EXP(17.27*Tomato!C39/(Tomato!C39+237.3)))/(Tomato!C39+237.3)^2</f>
        <v>0.12729132261362514</v>
      </c>
      <c r="J39" s="16">
        <f t="shared" si="5"/>
        <v>0.33206572261362516</v>
      </c>
      <c r="K39" s="16">
        <f t="shared" si="6"/>
        <v>3.3614398286025637</v>
      </c>
      <c r="L39" s="16">
        <f t="shared" si="7"/>
        <v>1.1715363388062088</v>
      </c>
      <c r="M39" s="16">
        <f t="shared" si="8"/>
        <v>2.2664880837043864</v>
      </c>
      <c r="N39" s="16">
        <f t="shared" si="9"/>
        <v>0.9292601143187984</v>
      </c>
      <c r="O39" s="16">
        <f t="shared" si="10"/>
        <v>-0.31809018126349087</v>
      </c>
      <c r="P39" s="16">
        <f t="shared" si="11"/>
        <v>1.0289766800673086</v>
      </c>
      <c r="Q39" s="16">
        <f t="shared" si="12"/>
        <v>1.4335831462001112</v>
      </c>
      <c r="R39" s="16">
        <f t="shared" si="13"/>
        <v>26.966922956560275</v>
      </c>
      <c r="S39" s="16">
        <f t="shared" si="14"/>
        <v>10.95732341044671</v>
      </c>
      <c r="T39" s="16">
        <f t="shared" si="15"/>
        <v>9.9411434543023329</v>
      </c>
      <c r="U39" s="16">
        <f t="shared" si="16"/>
        <v>20.253777155754157</v>
      </c>
      <c r="V39" s="16">
        <f t="shared" si="17"/>
        <v>7.6546804598127967</v>
      </c>
      <c r="W39" s="16">
        <f t="shared" si="18"/>
        <v>2.2589281210646202</v>
      </c>
      <c r="X39" s="16">
        <f t="shared" si="19"/>
        <v>5.8836179775981545</v>
      </c>
      <c r="Y39" s="16">
        <f t="shared" si="20"/>
        <v>3.6660118850068613</v>
      </c>
      <c r="Z39">
        <v>0.6</v>
      </c>
      <c r="AB39">
        <f t="shared" si="21"/>
        <v>3.5301707865588927</v>
      </c>
      <c r="AD39" s="6">
        <v>0</v>
      </c>
      <c r="AE39">
        <v>0</v>
      </c>
      <c r="AF39">
        <v>0</v>
      </c>
      <c r="AG39">
        <f t="shared" si="36"/>
        <v>0</v>
      </c>
      <c r="AH39" s="71">
        <f t="shared" si="37"/>
        <v>0.66593120902616787</v>
      </c>
      <c r="AI39">
        <f t="shared" si="38"/>
        <v>2.3508508999620212</v>
      </c>
      <c r="AJ39">
        <f t="shared" si="39"/>
        <v>38.670511576049925</v>
      </c>
      <c r="AK39" s="2">
        <f t="shared" si="28"/>
        <v>38.329488423950075</v>
      </c>
    </row>
    <row r="40" spans="1:38" ht="15.6">
      <c r="A40" s="1">
        <v>44226</v>
      </c>
      <c r="B40" s="13">
        <f t="shared" si="23"/>
        <v>30</v>
      </c>
      <c r="C40" s="13">
        <f t="shared" si="4"/>
        <v>19.3</v>
      </c>
      <c r="D40" s="14">
        <v>25.8</v>
      </c>
      <c r="E40" s="14">
        <v>12.8</v>
      </c>
      <c r="F40" s="14">
        <v>56</v>
      </c>
      <c r="G40" s="14">
        <v>6</v>
      </c>
      <c r="H40" s="15">
        <v>0</v>
      </c>
      <c r="I40" s="16">
        <f>4098*(0.6108*EXP(17.27*Tomato!C40/(Tomato!C40+237.3)))/(Tomato!C40+237.3)^2</f>
        <v>0.13934302147270944</v>
      </c>
      <c r="J40" s="16">
        <f t="shared" si="5"/>
        <v>0.34411742147270946</v>
      </c>
      <c r="K40" s="16">
        <f t="shared" si="6"/>
        <v>3.3219025283483368</v>
      </c>
      <c r="L40" s="16">
        <f t="shared" si="7"/>
        <v>1.4782881252432811</v>
      </c>
      <c r="M40" s="16">
        <f t="shared" si="8"/>
        <v>2.4000953267958089</v>
      </c>
      <c r="N40" s="16">
        <f t="shared" si="9"/>
        <v>1.3440533830056531</v>
      </c>
      <c r="O40" s="16">
        <f t="shared" si="10"/>
        <v>-0.31361981589756976</v>
      </c>
      <c r="P40" s="16">
        <f t="shared" si="11"/>
        <v>1.0287007148883165</v>
      </c>
      <c r="Q40" s="16">
        <f t="shared" si="12"/>
        <v>1.435657720905134</v>
      </c>
      <c r="R40" s="16">
        <f t="shared" si="13"/>
        <v>27.099306669537484</v>
      </c>
      <c r="S40" s="16">
        <f t="shared" si="14"/>
        <v>10.973180032395929</v>
      </c>
      <c r="T40" s="16">
        <f t="shared" si="15"/>
        <v>6.7748266673843709</v>
      </c>
      <c r="U40" s="16">
        <f t="shared" si="16"/>
        <v>20.353205267222823</v>
      </c>
      <c r="V40" s="16">
        <f t="shared" si="17"/>
        <v>5.2166165338859658</v>
      </c>
      <c r="W40" s="16">
        <f t="shared" si="18"/>
        <v>0.63521000559049645</v>
      </c>
      <c r="X40" s="16">
        <f t="shared" si="19"/>
        <v>4.5758268771021289</v>
      </c>
      <c r="Y40" s="16">
        <f t="shared" si="20"/>
        <v>3.4016667467212112</v>
      </c>
      <c r="Z40">
        <v>0.6</v>
      </c>
      <c r="AB40">
        <f t="shared" si="21"/>
        <v>2.7454961262612771</v>
      </c>
      <c r="AD40" s="6">
        <v>0</v>
      </c>
      <c r="AE40">
        <v>0</v>
      </c>
      <c r="AF40">
        <v>0</v>
      </c>
      <c r="AG40">
        <f t="shared" si="36"/>
        <v>0</v>
      </c>
      <c r="AH40" s="71">
        <f t="shared" si="37"/>
        <v>0.62776804506574557</v>
      </c>
      <c r="AI40">
        <f t="shared" si="38"/>
        <v>1.7235347359186193</v>
      </c>
      <c r="AJ40">
        <f t="shared" si="39"/>
        <v>36.946976840131306</v>
      </c>
      <c r="AK40" s="2">
        <f t="shared" si="28"/>
        <v>40.053023159868694</v>
      </c>
    </row>
    <row r="41" spans="1:38" ht="15.6">
      <c r="A41" s="1">
        <v>44227</v>
      </c>
      <c r="B41" s="13">
        <f t="shared" si="23"/>
        <v>31</v>
      </c>
      <c r="C41" s="13">
        <f t="shared" si="4"/>
        <v>17.350000000000001</v>
      </c>
      <c r="D41" s="14">
        <v>25.8</v>
      </c>
      <c r="E41" s="14">
        <v>8.9</v>
      </c>
      <c r="F41" s="14">
        <v>52</v>
      </c>
      <c r="G41" s="14">
        <v>4</v>
      </c>
      <c r="H41" s="15">
        <v>6</v>
      </c>
      <c r="I41" s="16">
        <f>4098*(0.6108*EXP(17.27*Tomato!C41/(Tomato!C41+237.3)))/(Tomato!C41+237.3)^2</f>
        <v>0.12519794731708817</v>
      </c>
      <c r="J41" s="16">
        <f t="shared" si="5"/>
        <v>0.28416754731708815</v>
      </c>
      <c r="K41" s="16">
        <f t="shared" si="6"/>
        <v>3.3219025283483368</v>
      </c>
      <c r="L41" s="16">
        <f t="shared" si="7"/>
        <v>1.1403276978496268</v>
      </c>
      <c r="M41" s="16">
        <f t="shared" si="8"/>
        <v>2.2311151130989817</v>
      </c>
      <c r="N41" s="16">
        <f t="shared" si="9"/>
        <v>1.1601798588114705</v>
      </c>
      <c r="O41" s="16">
        <f t="shared" si="10"/>
        <v>-0.3090566124109716</v>
      </c>
      <c r="P41" s="16">
        <f t="shared" si="11"/>
        <v>1.0284162536886734</v>
      </c>
      <c r="Q41" s="16">
        <f t="shared" si="12"/>
        <v>1.4377685839978771</v>
      </c>
      <c r="R41" s="16">
        <f t="shared" si="13"/>
        <v>27.233879712696243</v>
      </c>
      <c r="S41" s="16">
        <f t="shared" si="14"/>
        <v>10.989314017818169</v>
      </c>
      <c r="T41" s="16">
        <f t="shared" si="15"/>
        <v>14.243114074807506</v>
      </c>
      <c r="U41" s="16">
        <f t="shared" si="16"/>
        <v>20.454277697017638</v>
      </c>
      <c r="V41" s="16">
        <f t="shared" si="17"/>
        <v>10.96719783760178</v>
      </c>
      <c r="W41" s="16">
        <f t="shared" si="18"/>
        <v>3.9185893492128678</v>
      </c>
      <c r="X41" s="16">
        <f t="shared" si="19"/>
        <v>4.4145698493788936</v>
      </c>
      <c r="Y41" s="16">
        <f t="shared" si="20"/>
        <v>3.6928885048873932</v>
      </c>
      <c r="Z41">
        <v>1.1499999999999999</v>
      </c>
      <c r="AB41">
        <f t="shared" si="21"/>
        <v>5.0767553267857277</v>
      </c>
      <c r="AD41" s="6">
        <v>0</v>
      </c>
      <c r="AE41">
        <v>0</v>
      </c>
      <c r="AF41">
        <v>0</v>
      </c>
      <c r="AG41">
        <f t="shared" si="36"/>
        <v>43.098003054053201</v>
      </c>
      <c r="AH41" s="71">
        <f t="shared" si="37"/>
        <v>0.59978858506706667</v>
      </c>
      <c r="AI41">
        <f t="shared" si="38"/>
        <v>3.0449798941845052</v>
      </c>
      <c r="AJ41">
        <f t="shared" si="39"/>
        <v>77</v>
      </c>
      <c r="AK41" s="2">
        <f t="shared" si="28"/>
        <v>0</v>
      </c>
      <c r="AL41" t="s">
        <v>2</v>
      </c>
    </row>
    <row r="42" spans="1:38" ht="15.6">
      <c r="A42" s="1">
        <v>44228</v>
      </c>
      <c r="B42" s="13">
        <f t="shared" si="23"/>
        <v>32</v>
      </c>
      <c r="C42" s="13">
        <f t="shared" si="4"/>
        <v>16.600000000000001</v>
      </c>
      <c r="D42" s="14">
        <v>25.2</v>
      </c>
      <c r="E42" s="14">
        <v>8</v>
      </c>
      <c r="F42" s="14">
        <v>46</v>
      </c>
      <c r="G42" s="14">
        <v>8</v>
      </c>
      <c r="H42" s="15">
        <v>8.1999999999999993</v>
      </c>
      <c r="I42" s="16">
        <f>4098*(0.6108*EXP(17.27*Tomato!C42/(Tomato!C42+237.3)))/(Tomato!C42+237.3)^2</f>
        <v>0.12009183587666868</v>
      </c>
      <c r="J42" s="16">
        <f t="shared" si="5"/>
        <v>0.37067103587666866</v>
      </c>
      <c r="K42" s="16">
        <f t="shared" si="6"/>
        <v>3.2057122429156886</v>
      </c>
      <c r="L42" s="16">
        <f t="shared" si="7"/>
        <v>1.0727688258811263</v>
      </c>
      <c r="M42" s="16">
        <f t="shared" si="8"/>
        <v>2.1392405343984073</v>
      </c>
      <c r="N42" s="16">
        <f t="shared" si="9"/>
        <v>0.9840506458232674</v>
      </c>
      <c r="O42" s="16">
        <f t="shared" si="10"/>
        <v>-0.30440192160876189</v>
      </c>
      <c r="P42" s="16">
        <f t="shared" si="11"/>
        <v>1.0281233806749315</v>
      </c>
      <c r="Q42" s="16">
        <f t="shared" si="12"/>
        <v>1.4399148290553674</v>
      </c>
      <c r="R42" s="16">
        <f t="shared" si="13"/>
        <v>27.370567871811513</v>
      </c>
      <c r="S42" s="16">
        <f t="shared" si="14"/>
        <v>11.00571843863975</v>
      </c>
      <c r="T42" s="16">
        <f t="shared" si="15"/>
        <v>17.039098373782657</v>
      </c>
      <c r="U42" s="16">
        <f t="shared" si="16"/>
        <v>20.556938705802754</v>
      </c>
      <c r="V42" s="16">
        <f t="shared" si="17"/>
        <v>13.120105747812646</v>
      </c>
      <c r="W42" s="16">
        <f t="shared" si="18"/>
        <v>5.3737453026655571</v>
      </c>
      <c r="X42" s="16">
        <f t="shared" si="19"/>
        <v>6.2431209101737437</v>
      </c>
      <c r="Y42" s="16">
        <f t="shared" si="20"/>
        <v>3.6643291139956435</v>
      </c>
      <c r="Z42">
        <v>1.1499999999999999</v>
      </c>
      <c r="AB42">
        <f t="shared" si="21"/>
        <v>7.1795890466998049</v>
      </c>
      <c r="AD42" s="8">
        <v>0</v>
      </c>
      <c r="AE42">
        <v>0</v>
      </c>
      <c r="AF42">
        <v>0</v>
      </c>
      <c r="AG42">
        <f t="shared" si="36"/>
        <v>0</v>
      </c>
      <c r="AH42" s="71">
        <f t="shared" si="37"/>
        <v>1</v>
      </c>
      <c r="AI42">
        <f t="shared" si="38"/>
        <v>7.1795890466998049</v>
      </c>
      <c r="AJ42">
        <f t="shared" si="39"/>
        <v>69.820410953300197</v>
      </c>
      <c r="AK42" s="2">
        <f t="shared" si="28"/>
        <v>7.1795890466998031</v>
      </c>
    </row>
    <row r="43" spans="1:38" ht="15.6">
      <c r="A43" s="1">
        <v>44229</v>
      </c>
      <c r="B43" s="13">
        <f t="shared" si="23"/>
        <v>33</v>
      </c>
      <c r="C43" s="13">
        <f t="shared" si="4"/>
        <v>17</v>
      </c>
      <c r="D43" s="14">
        <v>26.5</v>
      </c>
      <c r="E43" s="14">
        <v>7.5</v>
      </c>
      <c r="F43" s="14">
        <v>54</v>
      </c>
      <c r="G43" s="14">
        <v>6</v>
      </c>
      <c r="H43" s="15">
        <v>8.4</v>
      </c>
      <c r="I43" s="16">
        <f>4098*(0.6108*EXP(17.27*Tomato!C43/(Tomato!C43+237.3)))/(Tomato!C43+237.3)^2</f>
        <v>0.12279264420686307</v>
      </c>
      <c r="J43" s="16">
        <f t="shared" si="5"/>
        <v>0.32756704420686311</v>
      </c>
      <c r="K43" s="16">
        <f t="shared" si="6"/>
        <v>3.4620823587978249</v>
      </c>
      <c r="L43" s="16">
        <f t="shared" si="7"/>
        <v>1.0367799276460743</v>
      </c>
      <c r="M43" s="16">
        <f t="shared" si="8"/>
        <v>2.2494311432219494</v>
      </c>
      <c r="N43" s="16">
        <f t="shared" si="9"/>
        <v>1.2146928173398528</v>
      </c>
      <c r="O43" s="16">
        <f t="shared" si="10"/>
        <v>-0.299657121378193</v>
      </c>
      <c r="P43" s="16">
        <f t="shared" si="11"/>
        <v>1.027822182543717</v>
      </c>
      <c r="Q43" s="16">
        <f t="shared" si="12"/>
        <v>1.4420955514848735</v>
      </c>
      <c r="R43" s="16">
        <f t="shared" si="13"/>
        <v>27.509295743036365</v>
      </c>
      <c r="S43" s="16">
        <f t="shared" si="14"/>
        <v>11.022386380776103</v>
      </c>
      <c r="T43" s="16">
        <f t="shared" si="15"/>
        <v>17.359540592785542</v>
      </c>
      <c r="U43" s="16">
        <f t="shared" si="16"/>
        <v>20.661131660764891</v>
      </c>
      <c r="V43" s="16">
        <f t="shared" si="17"/>
        <v>13.366846256444868</v>
      </c>
      <c r="W43" s="16">
        <f t="shared" si="18"/>
        <v>5.0942507617804855</v>
      </c>
      <c r="X43" s="16">
        <f t="shared" si="19"/>
        <v>5.2273684711163551</v>
      </c>
      <c r="Y43" s="16">
        <f t="shared" si="20"/>
        <v>3.9158271736762877</v>
      </c>
      <c r="Z43">
        <v>1.1499999999999999</v>
      </c>
      <c r="AB43">
        <f t="shared" si="21"/>
        <v>6.0114737417838082</v>
      </c>
      <c r="AD43" s="8">
        <v>0</v>
      </c>
      <c r="AE43">
        <v>0</v>
      </c>
      <c r="AF43">
        <v>0</v>
      </c>
      <c r="AG43">
        <f t="shared" si="36"/>
        <v>0</v>
      </c>
      <c r="AH43" s="71">
        <f t="shared" si="37"/>
        <v>1</v>
      </c>
      <c r="AI43">
        <f t="shared" si="38"/>
        <v>6.0114737417838082</v>
      </c>
      <c r="AJ43">
        <f t="shared" si="39"/>
        <v>63.808937211516387</v>
      </c>
      <c r="AK43" s="2">
        <f t="shared" si="28"/>
        <v>13.191062788483613</v>
      </c>
    </row>
    <row r="44" spans="1:38" ht="15.6">
      <c r="A44" s="1">
        <v>44230</v>
      </c>
      <c r="B44" s="13">
        <f t="shared" si="23"/>
        <v>34</v>
      </c>
      <c r="C44" s="13">
        <f t="shared" si="4"/>
        <v>18.600000000000001</v>
      </c>
      <c r="D44" s="14">
        <v>27.6</v>
      </c>
      <c r="E44" s="14">
        <v>9.6</v>
      </c>
      <c r="F44" s="14">
        <v>51</v>
      </c>
      <c r="G44" s="14">
        <v>8</v>
      </c>
      <c r="H44" s="15">
        <v>8.4</v>
      </c>
      <c r="I44" s="16">
        <f>4098*(0.6108*EXP(17.27*Tomato!C44/(Tomato!C44+237.3)))/(Tomato!C44+237.3)^2</f>
        <v>0.1341172196039836</v>
      </c>
      <c r="J44" s="16">
        <f t="shared" si="5"/>
        <v>0.3846964196039836</v>
      </c>
      <c r="K44" s="16">
        <f t="shared" si="6"/>
        <v>3.6927819602923044</v>
      </c>
      <c r="L44" s="16">
        <f t="shared" si="7"/>
        <v>1.1954334347937761</v>
      </c>
      <c r="M44" s="16">
        <f t="shared" si="8"/>
        <v>2.44410769754304</v>
      </c>
      <c r="N44" s="16">
        <f t="shared" si="9"/>
        <v>1.2464949257469504</v>
      </c>
      <c r="O44" s="16">
        <f t="shared" si="10"/>
        <v>-0.29482361628082027</v>
      </c>
      <c r="P44" s="16">
        <f t="shared" si="11"/>
        <v>1.0275127484560691</v>
      </c>
      <c r="Q44" s="16">
        <f t="shared" si="12"/>
        <v>1.4443098494124571</v>
      </c>
      <c r="R44" s="16">
        <f t="shared" si="13"/>
        <v>27.649986788137038</v>
      </c>
      <c r="S44" s="16">
        <f t="shared" si="14"/>
        <v>11.039310950923239</v>
      </c>
      <c r="T44" s="16">
        <f t="shared" si="15"/>
        <v>17.432169983387645</v>
      </c>
      <c r="U44" s="16">
        <f t="shared" si="16"/>
        <v>20.766799077098202</v>
      </c>
      <c r="V44" s="16">
        <f t="shared" si="17"/>
        <v>13.422770887208488</v>
      </c>
      <c r="W44" s="16">
        <f t="shared" si="18"/>
        <v>5.1406800504853409</v>
      </c>
      <c r="X44" s="16">
        <f t="shared" si="19"/>
        <v>6.3558583649371538</v>
      </c>
      <c r="Y44" s="16">
        <f t="shared" si="20"/>
        <v>4.0070112655157368</v>
      </c>
      <c r="Z44">
        <v>1.1499999999999999</v>
      </c>
      <c r="AB44">
        <f t="shared" si="21"/>
        <v>7.3092371196777259</v>
      </c>
      <c r="AD44" s="8">
        <v>0</v>
      </c>
      <c r="AE44">
        <v>0</v>
      </c>
      <c r="AF44">
        <v>0</v>
      </c>
      <c r="AG44">
        <f t="shared" si="36"/>
        <v>0</v>
      </c>
      <c r="AH44" s="71">
        <f t="shared" si="37"/>
        <v>1</v>
      </c>
      <c r="AI44">
        <f t="shared" si="38"/>
        <v>7.3092371196777259</v>
      </c>
      <c r="AJ44">
        <f t="shared" si="39"/>
        <v>56.499700091838662</v>
      </c>
      <c r="AK44" s="2">
        <f t="shared" si="28"/>
        <v>20.500299908161338</v>
      </c>
    </row>
    <row r="45" spans="1:38" ht="15.6">
      <c r="A45" s="1">
        <v>44231</v>
      </c>
      <c r="B45" s="13">
        <f t="shared" si="23"/>
        <v>35</v>
      </c>
      <c r="C45" s="13">
        <f t="shared" si="4"/>
        <v>18.600000000000001</v>
      </c>
      <c r="D45" s="14">
        <v>27.7</v>
      </c>
      <c r="E45" s="14">
        <v>9.5</v>
      </c>
      <c r="F45" s="14">
        <v>45</v>
      </c>
      <c r="G45" s="14">
        <v>4</v>
      </c>
      <c r="H45" s="15">
        <v>8.6</v>
      </c>
      <c r="I45" s="16">
        <f>4098*(0.6108*EXP(17.27*Tomato!C45/(Tomato!C45+237.3)))/(Tomato!C45+237.3)^2</f>
        <v>0.1341172196039836</v>
      </c>
      <c r="J45" s="16">
        <f t="shared" si="5"/>
        <v>0.29308681960398364</v>
      </c>
      <c r="K45" s="16">
        <f t="shared" si="6"/>
        <v>3.7144033809363424</v>
      </c>
      <c r="L45" s="16">
        <f t="shared" si="7"/>
        <v>1.1874205365788533</v>
      </c>
      <c r="M45" s="16">
        <f t="shared" si="8"/>
        <v>2.4509119587575978</v>
      </c>
      <c r="N45" s="16">
        <f t="shared" si="9"/>
        <v>1.1029103814409191</v>
      </c>
      <c r="O45" s="16">
        <f t="shared" si="10"/>
        <v>-0.28990283713672194</v>
      </c>
      <c r="P45" s="16">
        <f t="shared" si="11"/>
        <v>1.0271951700110438</v>
      </c>
      <c r="Q45" s="16">
        <f t="shared" si="12"/>
        <v>1.4465568245255167</v>
      </c>
      <c r="R45" s="16">
        <f t="shared" si="13"/>
        <v>27.792563391566343</v>
      </c>
      <c r="S45" s="16">
        <f t="shared" si="14"/>
        <v>11.056485282997579</v>
      </c>
      <c r="T45" s="16">
        <f t="shared" si="15"/>
        <v>17.757002753357337</v>
      </c>
      <c r="U45" s="16">
        <f t="shared" si="16"/>
        <v>20.873882660869818</v>
      </c>
      <c r="V45" s="16">
        <f t="shared" si="17"/>
        <v>13.67289212008515</v>
      </c>
      <c r="W45" s="16">
        <f t="shared" si="18"/>
        <v>5.5057847085994549</v>
      </c>
      <c r="X45" s="16">
        <f t="shared" si="19"/>
        <v>5.3496348413521613</v>
      </c>
      <c r="Y45" s="16">
        <f t="shared" si="20"/>
        <v>4.0499874893715351</v>
      </c>
      <c r="Z45">
        <v>1.1499999999999999</v>
      </c>
      <c r="AB45">
        <f t="shared" si="21"/>
        <v>6.1520800675549854</v>
      </c>
      <c r="AD45" s="8">
        <v>0</v>
      </c>
      <c r="AE45">
        <v>0</v>
      </c>
      <c r="AF45">
        <v>0</v>
      </c>
      <c r="AG45">
        <f t="shared" si="36"/>
        <v>0</v>
      </c>
      <c r="AH45" s="71">
        <f t="shared" si="37"/>
        <v>0.91720292356880939</v>
      </c>
      <c r="AI45">
        <f t="shared" si="38"/>
        <v>5.6427058239908305</v>
      </c>
      <c r="AJ45">
        <f t="shared" si="39"/>
        <v>50.856994267847831</v>
      </c>
      <c r="AK45" s="2">
        <f t="shared" si="28"/>
        <v>26.143005732152169</v>
      </c>
    </row>
    <row r="46" spans="1:38" ht="15.6">
      <c r="A46" s="1">
        <v>44232</v>
      </c>
      <c r="B46" s="13">
        <f t="shared" si="23"/>
        <v>36</v>
      </c>
      <c r="C46" s="13">
        <f t="shared" si="4"/>
        <v>19</v>
      </c>
      <c r="D46" s="14">
        <v>28.4</v>
      </c>
      <c r="E46" s="14">
        <v>9.6</v>
      </c>
      <c r="F46" s="14">
        <v>43</v>
      </c>
      <c r="G46" s="14">
        <v>8</v>
      </c>
      <c r="H46" s="15">
        <v>8.1999999999999993</v>
      </c>
      <c r="I46" s="16">
        <f>4098*(0.6108*EXP(17.27*Tomato!C46/(Tomato!C46+237.3)))/(Tomato!C46+237.3)^2</f>
        <v>0.13708266611218417</v>
      </c>
      <c r="J46" s="16">
        <f t="shared" si="5"/>
        <v>0.38766186611218417</v>
      </c>
      <c r="K46" s="16">
        <f t="shared" si="6"/>
        <v>3.868863716528768</v>
      </c>
      <c r="L46" s="16">
        <f t="shared" si="7"/>
        <v>1.1954334347937761</v>
      </c>
      <c r="M46" s="16">
        <f t="shared" si="8"/>
        <v>2.5321485756612718</v>
      </c>
      <c r="N46" s="16">
        <f t="shared" si="9"/>
        <v>1.0888238875343468</v>
      </c>
      <c r="O46" s="16">
        <f t="shared" si="10"/>
        <v>-0.28489624060094604</v>
      </c>
      <c r="P46" s="16">
        <f t="shared" si="11"/>
        <v>1.0268695412185997</v>
      </c>
      <c r="Q46" s="16">
        <f t="shared" si="12"/>
        <v>1.4488355828684731</v>
      </c>
      <c r="R46" s="16">
        <f t="shared" si="13"/>
        <v>27.936946919338553</v>
      </c>
      <c r="S46" s="16">
        <f t="shared" si="14"/>
        <v>11.07390254421763</v>
      </c>
      <c r="T46" s="16">
        <f t="shared" si="15"/>
        <v>17.327607724109576</v>
      </c>
      <c r="U46" s="16">
        <f t="shared" si="16"/>
        <v>20.982323353238414</v>
      </c>
      <c r="V46" s="16">
        <f t="shared" si="17"/>
        <v>13.342257947564374</v>
      </c>
      <c r="W46" s="16">
        <f t="shared" si="18"/>
        <v>5.3311960750295873</v>
      </c>
      <c r="X46" s="16">
        <f t="shared" si="19"/>
        <v>7.339695253929829</v>
      </c>
      <c r="Y46" s="16">
        <f t="shared" si="20"/>
        <v>4.1830560614224401</v>
      </c>
      <c r="Z46">
        <v>1.1499999999999999</v>
      </c>
      <c r="AB46">
        <f t="shared" si="21"/>
        <v>8.4406495420193028</v>
      </c>
      <c r="AD46" s="8">
        <v>0</v>
      </c>
      <c r="AE46">
        <v>0</v>
      </c>
      <c r="AF46">
        <v>0</v>
      </c>
      <c r="AG46">
        <f t="shared" si="36"/>
        <v>0</v>
      </c>
      <c r="AH46" s="71">
        <f t="shared" si="37"/>
        <v>0.82560055629623097</v>
      </c>
      <c r="AI46">
        <f t="shared" si="38"/>
        <v>6.9686049573926638</v>
      </c>
      <c r="AJ46">
        <f t="shared" si="39"/>
        <v>43.888389310455167</v>
      </c>
      <c r="AK46" s="2">
        <f t="shared" si="28"/>
        <v>33.111610689544833</v>
      </c>
    </row>
    <row r="47" spans="1:38" ht="15.6">
      <c r="A47" s="1">
        <v>44233</v>
      </c>
      <c r="B47" s="13">
        <f t="shared" si="23"/>
        <v>37</v>
      </c>
      <c r="C47" s="13">
        <f t="shared" si="4"/>
        <v>19.299999999999997</v>
      </c>
      <c r="D47" s="14">
        <v>27.4</v>
      </c>
      <c r="E47" s="14">
        <v>11.2</v>
      </c>
      <c r="F47" s="14">
        <v>48</v>
      </c>
      <c r="G47" s="14">
        <v>6</v>
      </c>
      <c r="H47" s="15">
        <v>5</v>
      </c>
      <c r="I47" s="16">
        <f>4098*(0.6108*EXP(17.27*Tomato!C47/(Tomato!C47+237.3)))/(Tomato!C47+237.3)^2</f>
        <v>0.13934302147270944</v>
      </c>
      <c r="J47" s="16">
        <f t="shared" si="5"/>
        <v>0.34411742147270946</v>
      </c>
      <c r="K47" s="16">
        <f t="shared" si="6"/>
        <v>3.6498676599831983</v>
      </c>
      <c r="L47" s="16">
        <f t="shared" si="7"/>
        <v>1.3302680876001909</v>
      </c>
      <c r="M47" s="16">
        <f t="shared" si="8"/>
        <v>2.4900678737916948</v>
      </c>
      <c r="N47" s="16">
        <f t="shared" si="9"/>
        <v>1.1952325794200134</v>
      </c>
      <c r="O47" s="16">
        <f t="shared" si="10"/>
        <v>-0.27980530873230974</v>
      </c>
      <c r="P47" s="16">
        <f t="shared" si="11"/>
        <v>1.0265359584717697</v>
      </c>
      <c r="Q47" s="16">
        <f t="shared" si="12"/>
        <v>1.4511452355909391</v>
      </c>
      <c r="R47" s="16">
        <f t="shared" si="13"/>
        <v>28.083057779663179</v>
      </c>
      <c r="S47" s="16">
        <f t="shared" si="14"/>
        <v>11.091555940822465</v>
      </c>
      <c r="T47" s="16">
        <f t="shared" si="15"/>
        <v>13.350592723629942</v>
      </c>
      <c r="U47" s="16">
        <f t="shared" si="16"/>
        <v>21.092061375993826</v>
      </c>
      <c r="V47" s="16">
        <f t="shared" si="17"/>
        <v>10.279956397195056</v>
      </c>
      <c r="W47" s="16">
        <f t="shared" si="18"/>
        <v>3.3985781138497715</v>
      </c>
      <c r="X47" s="16">
        <f t="shared" si="19"/>
        <v>5.8193475708377216</v>
      </c>
      <c r="Y47" s="16">
        <f t="shared" si="20"/>
        <v>3.9351728162228379</v>
      </c>
      <c r="Z47">
        <v>1.1499999999999999</v>
      </c>
      <c r="AB47">
        <f t="shared" si="21"/>
        <v>6.6922497064633797</v>
      </c>
      <c r="AD47" s="8">
        <v>0</v>
      </c>
      <c r="AE47">
        <v>0</v>
      </c>
      <c r="AF47">
        <v>0</v>
      </c>
      <c r="AG47">
        <f t="shared" si="36"/>
        <v>0</v>
      </c>
      <c r="AH47" s="71">
        <f t="shared" si="37"/>
        <v>0.71247385244245398</v>
      </c>
      <c r="AI47">
        <f t="shared" si="38"/>
        <v>4.7680529298708461</v>
      </c>
      <c r="AJ47">
        <f t="shared" si="39"/>
        <v>39.12033638058432</v>
      </c>
      <c r="AK47" s="2">
        <f t="shared" si="28"/>
        <v>37.87966361941568</v>
      </c>
    </row>
    <row r="48" spans="1:38" ht="15.6">
      <c r="A48" s="1">
        <v>44234</v>
      </c>
      <c r="B48" s="13">
        <f t="shared" si="23"/>
        <v>38</v>
      </c>
      <c r="C48" s="13">
        <f t="shared" si="4"/>
        <v>19.95</v>
      </c>
      <c r="D48" s="14">
        <v>26.4</v>
      </c>
      <c r="E48" s="14">
        <v>13.5</v>
      </c>
      <c r="F48" s="14">
        <v>44</v>
      </c>
      <c r="G48" s="14">
        <v>6</v>
      </c>
      <c r="H48" s="15">
        <v>3.1</v>
      </c>
      <c r="I48" s="16">
        <f>4098*(0.6108*EXP(17.27*Tomato!C48/(Tomato!C48+237.3)))/(Tomato!C48+237.3)^2</f>
        <v>0.14434889847729784</v>
      </c>
      <c r="J48" s="16">
        <f t="shared" si="5"/>
        <v>0.34912329847729784</v>
      </c>
      <c r="K48" s="16">
        <f t="shared" si="6"/>
        <v>3.4417464345283828</v>
      </c>
      <c r="L48" s="16">
        <f t="shared" si="7"/>
        <v>1.5474672427794578</v>
      </c>
      <c r="M48" s="16">
        <f t="shared" si="8"/>
        <v>2.4946068386539202</v>
      </c>
      <c r="N48" s="16">
        <f t="shared" si="9"/>
        <v>1.0976270090077249</v>
      </c>
      <c r="O48" s="16">
        <f t="shared" si="10"/>
        <v>-0.27463154855467825</v>
      </c>
      <c r="P48" s="16">
        <f t="shared" si="11"/>
        <v>1.0261945205181255</v>
      </c>
      <c r="Q48" s="16">
        <f t="shared" si="12"/>
        <v>1.4534848996478953</v>
      </c>
      <c r="R48" s="16">
        <f t="shared" si="13"/>
        <v>28.230815485288804</v>
      </c>
      <c r="S48" s="16">
        <f t="shared" si="14"/>
        <v>11.109438723423404</v>
      </c>
      <c r="T48" s="16">
        <f t="shared" si="15"/>
        <v>10.996495478312907</v>
      </c>
      <c r="U48" s="16">
        <f t="shared" si="16"/>
        <v>21.20303627838101</v>
      </c>
      <c r="V48" s="16">
        <f t="shared" si="17"/>
        <v>8.467301518300939</v>
      </c>
      <c r="W48" s="16">
        <f t="shared" si="18"/>
        <v>2.4568860337611365</v>
      </c>
      <c r="X48" s="16">
        <f t="shared" si="19"/>
        <v>5.9822764185752284</v>
      </c>
      <c r="Y48" s="16">
        <f t="shared" si="20"/>
        <v>3.5918917004944424</v>
      </c>
      <c r="Z48">
        <v>1.1499999999999999</v>
      </c>
      <c r="AB48">
        <f t="shared" si="21"/>
        <v>6.8796178813615123</v>
      </c>
      <c r="AD48" s="8">
        <v>0</v>
      </c>
      <c r="AE48">
        <v>0</v>
      </c>
      <c r="AF48">
        <v>0</v>
      </c>
      <c r="AG48">
        <f t="shared" si="36"/>
        <v>0</v>
      </c>
      <c r="AH48" s="71">
        <f t="shared" si="37"/>
        <v>0.6350703957887065</v>
      </c>
      <c r="AI48">
        <f t="shared" si="38"/>
        <v>4.3690416507913179</v>
      </c>
      <c r="AJ48">
        <f t="shared" si="39"/>
        <v>34.751294729793003</v>
      </c>
      <c r="AK48" s="2">
        <f t="shared" si="28"/>
        <v>42.248705270206997</v>
      </c>
    </row>
    <row r="49" spans="1:38" ht="15.6">
      <c r="A49" s="1">
        <v>44235</v>
      </c>
      <c r="B49" s="13">
        <f t="shared" si="23"/>
        <v>39</v>
      </c>
      <c r="C49" s="13">
        <f t="shared" si="4"/>
        <v>19.600000000000001</v>
      </c>
      <c r="D49" s="14">
        <v>27.6</v>
      </c>
      <c r="E49" s="14">
        <v>11.6</v>
      </c>
      <c r="F49" s="14">
        <v>37</v>
      </c>
      <c r="G49" s="14">
        <v>5</v>
      </c>
      <c r="H49" s="15">
        <v>8.8000000000000007</v>
      </c>
      <c r="I49" s="16">
        <f>4098*(0.6108*EXP(17.27*Tomato!C49/(Tomato!C49+237.3)))/(Tomato!C49+237.3)^2</f>
        <v>0.14163485098448397</v>
      </c>
      <c r="J49" s="16">
        <f t="shared" si="5"/>
        <v>0.32350685098448401</v>
      </c>
      <c r="K49" s="16">
        <f t="shared" si="6"/>
        <v>3.6927819602923044</v>
      </c>
      <c r="L49" s="16">
        <f t="shared" si="7"/>
        <v>1.3659958455711463</v>
      </c>
      <c r="M49" s="16">
        <f t="shared" si="8"/>
        <v>2.5293889029317254</v>
      </c>
      <c r="N49" s="16">
        <f t="shared" si="9"/>
        <v>0.93587389408473842</v>
      </c>
      <c r="O49" s="16">
        <f t="shared" si="10"/>
        <v>-0.26937649161085397</v>
      </c>
      <c r="P49" s="16">
        <f t="shared" si="11"/>
        <v>1.0258453284305471</v>
      </c>
      <c r="Q49" s="16">
        <f t="shared" si="12"/>
        <v>1.4558536984515849</v>
      </c>
      <c r="R49" s="16">
        <f t="shared" si="13"/>
        <v>28.380138717502945</v>
      </c>
      <c r="S49" s="16">
        <f t="shared" si="14"/>
        <v>11.127544191986637</v>
      </c>
      <c r="T49" s="16">
        <f t="shared" si="15"/>
        <v>18.316972620268249</v>
      </c>
      <c r="U49" s="16">
        <f t="shared" si="16"/>
        <v>21.31518698516776</v>
      </c>
      <c r="V49" s="16">
        <f t="shared" si="17"/>
        <v>14.104068917606552</v>
      </c>
      <c r="W49" s="16">
        <f t="shared" si="18"/>
        <v>5.9954361762875905</v>
      </c>
      <c r="X49" s="16">
        <f t="shared" si="19"/>
        <v>6.551271456296953</v>
      </c>
      <c r="Y49" s="16">
        <f t="shared" si="20"/>
        <v>3.984135557006713</v>
      </c>
      <c r="Z49">
        <v>1.1499999999999999</v>
      </c>
      <c r="AB49">
        <f t="shared" si="21"/>
        <v>7.5339621747414949</v>
      </c>
      <c r="AD49" s="8">
        <v>0</v>
      </c>
      <c r="AE49">
        <v>0</v>
      </c>
      <c r="AF49">
        <v>0</v>
      </c>
      <c r="AG49">
        <f t="shared" si="36"/>
        <v>46.498947802959499</v>
      </c>
      <c r="AH49" s="71">
        <f t="shared" si="37"/>
        <v>0.56414439496417212</v>
      </c>
      <c r="AI49">
        <f t="shared" si="38"/>
        <v>4.2502425327524991</v>
      </c>
      <c r="AJ49">
        <f t="shared" si="39"/>
        <v>77</v>
      </c>
      <c r="AK49" s="2">
        <f t="shared" si="28"/>
        <v>0</v>
      </c>
      <c r="AL49" t="s">
        <v>2</v>
      </c>
    </row>
    <row r="50" spans="1:38" ht="15.6">
      <c r="A50" s="1">
        <v>44236</v>
      </c>
      <c r="B50" s="13">
        <f t="shared" si="23"/>
        <v>40</v>
      </c>
      <c r="C50" s="13">
        <f t="shared" si="4"/>
        <v>19.899999999999999</v>
      </c>
      <c r="D50" s="14">
        <v>28</v>
      </c>
      <c r="E50" s="14">
        <v>11.8</v>
      </c>
      <c r="F50" s="14">
        <v>44</v>
      </c>
      <c r="G50" s="14">
        <v>6</v>
      </c>
      <c r="H50" s="15">
        <v>9</v>
      </c>
      <c r="I50" s="16">
        <f>4098*(0.6108*EXP(17.27*Tomato!C50/(Tomato!C50+237.3)))/(Tomato!C50+237.3)^2</f>
        <v>0.1439585042553502</v>
      </c>
      <c r="J50" s="16">
        <f t="shared" si="5"/>
        <v>0.3487329042553502</v>
      </c>
      <c r="K50" s="16">
        <f t="shared" si="6"/>
        <v>3.7799303639952631</v>
      </c>
      <c r="L50" s="16">
        <f t="shared" si="7"/>
        <v>1.3841737831842924</v>
      </c>
      <c r="M50" s="16">
        <f t="shared" si="8"/>
        <v>2.5820520735897778</v>
      </c>
      <c r="N50" s="16">
        <f t="shared" si="9"/>
        <v>1.1361029123795023</v>
      </c>
      <c r="O50" s="16">
        <f t="shared" si="10"/>
        <v>-0.26404169350920731</v>
      </c>
      <c r="P50" s="16">
        <f t="shared" si="11"/>
        <v>1.0254884855773023</v>
      </c>
      <c r="Q50" s="16">
        <f t="shared" si="12"/>
        <v>1.4582507624749979</v>
      </c>
      <c r="R50" s="16">
        <f t="shared" si="13"/>
        <v>28.530945391727389</v>
      </c>
      <c r="S50" s="16">
        <f t="shared" si="14"/>
        <v>11.145865700445844</v>
      </c>
      <c r="T50" s="16">
        <f t="shared" si="15"/>
        <v>18.651738793622318</v>
      </c>
      <c r="U50" s="16">
        <f t="shared" si="16"/>
        <v>21.428451845910772</v>
      </c>
      <c r="V50" s="16">
        <f t="shared" si="17"/>
        <v>14.361838871089185</v>
      </c>
      <c r="W50" s="16">
        <f t="shared" si="18"/>
        <v>5.718581461448375</v>
      </c>
      <c r="X50" s="16">
        <f t="shared" si="19"/>
        <v>6.6048960418855813</v>
      </c>
      <c r="Y50" s="16">
        <f t="shared" si="20"/>
        <v>4.0625902239570486</v>
      </c>
      <c r="Z50">
        <v>1.1499999999999999</v>
      </c>
      <c r="AB50">
        <f t="shared" si="21"/>
        <v>7.5956304481684178</v>
      </c>
      <c r="AD50" s="8">
        <v>0</v>
      </c>
      <c r="AE50">
        <v>0</v>
      </c>
      <c r="AF50">
        <v>0</v>
      </c>
      <c r="AG50">
        <f t="shared" si="36"/>
        <v>0</v>
      </c>
      <c r="AH50" s="71">
        <f t="shared" si="37"/>
        <v>1</v>
      </c>
      <c r="AI50">
        <f t="shared" si="38"/>
        <v>7.5956304481684178</v>
      </c>
      <c r="AJ50">
        <f t="shared" si="39"/>
        <v>69.404369551831579</v>
      </c>
      <c r="AK50" s="2">
        <f t="shared" si="28"/>
        <v>7.5956304481684214</v>
      </c>
    </row>
    <row r="51" spans="1:38" ht="15.6">
      <c r="A51" s="1">
        <v>44237</v>
      </c>
      <c r="B51" s="13">
        <f t="shared" si="23"/>
        <v>41</v>
      </c>
      <c r="C51" s="13">
        <f t="shared" si="4"/>
        <v>20.5</v>
      </c>
      <c r="D51" s="14">
        <v>29.5</v>
      </c>
      <c r="E51" s="14">
        <v>11.5</v>
      </c>
      <c r="F51" s="14">
        <v>47</v>
      </c>
      <c r="G51" s="14">
        <v>5</v>
      </c>
      <c r="H51" s="15">
        <v>8.1</v>
      </c>
      <c r="I51" s="16">
        <f>4098*(0.6108*EXP(17.27*Tomato!C51/(Tomato!C51+237.3)))/(Tomato!C51+237.3)^2</f>
        <v>0.14870269420801632</v>
      </c>
      <c r="J51" s="16">
        <f t="shared" si="5"/>
        <v>0.33057469420801633</v>
      </c>
      <c r="K51" s="16">
        <f t="shared" si="6"/>
        <v>4.1228854693811812</v>
      </c>
      <c r="L51" s="16">
        <f t="shared" si="7"/>
        <v>1.3569857803790661</v>
      </c>
      <c r="M51" s="16">
        <f t="shared" si="8"/>
        <v>2.7399356248801237</v>
      </c>
      <c r="N51" s="16">
        <f t="shared" si="9"/>
        <v>1.2877697436936582</v>
      </c>
      <c r="O51" s="16">
        <f t="shared" si="10"/>
        <v>-0.25862873346318338</v>
      </c>
      <c r="P51" s="16">
        <f t="shared" si="11"/>
        <v>1.025124097591448</v>
      </c>
      <c r="Q51" s="16">
        <f t="shared" si="12"/>
        <v>1.4606752298069816</v>
      </c>
      <c r="R51" s="16">
        <f t="shared" si="13"/>
        <v>28.68315272464357</v>
      </c>
      <c r="S51" s="16">
        <f t="shared" si="14"/>
        <v>11.164396660945082</v>
      </c>
      <c r="T51" s="16">
        <f t="shared" si="15"/>
        <v>17.575897571548026</v>
      </c>
      <c r="U51" s="16">
        <f t="shared" si="16"/>
        <v>21.542768685370799</v>
      </c>
      <c r="V51" s="16">
        <f t="shared" si="17"/>
        <v>13.53344113009198</v>
      </c>
      <c r="W51" s="16">
        <f t="shared" si="18"/>
        <v>4.9905220414874796</v>
      </c>
      <c r="X51" s="16">
        <f t="shared" si="19"/>
        <v>6.1047266694892244</v>
      </c>
      <c r="Y51" s="16">
        <f t="shared" si="20"/>
        <v>4.3737092680561496</v>
      </c>
      <c r="Z51">
        <v>1.1499999999999999</v>
      </c>
      <c r="AB51">
        <f t="shared" si="21"/>
        <v>7.0204356699126071</v>
      </c>
      <c r="AD51" s="8">
        <v>0</v>
      </c>
      <c r="AE51">
        <v>0</v>
      </c>
      <c r="AF51">
        <v>0</v>
      </c>
      <c r="AG51">
        <f t="shared" si="36"/>
        <v>0</v>
      </c>
      <c r="AH51" s="71">
        <f t="shared" si="37"/>
        <v>1</v>
      </c>
      <c r="AI51">
        <f t="shared" si="38"/>
        <v>7.0204356699126071</v>
      </c>
      <c r="AJ51">
        <f t="shared" si="39"/>
        <v>62.383933881918971</v>
      </c>
      <c r="AK51" s="2">
        <f t="shared" si="28"/>
        <v>14.616066118081029</v>
      </c>
    </row>
    <row r="52" spans="1:38" s="3" customFormat="1" ht="15.6">
      <c r="A52" s="66">
        <v>44238</v>
      </c>
      <c r="B52" s="3">
        <f t="shared" si="23"/>
        <v>42</v>
      </c>
      <c r="C52" s="3">
        <f t="shared" si="4"/>
        <v>20.9</v>
      </c>
      <c r="D52" s="67">
        <v>30.3</v>
      </c>
      <c r="E52" s="67">
        <v>11.5</v>
      </c>
      <c r="F52" s="67">
        <v>49</v>
      </c>
      <c r="G52" s="67">
        <v>6</v>
      </c>
      <c r="H52" s="68">
        <v>7.1</v>
      </c>
      <c r="I52" s="3">
        <f>4098*(0.6108*EXP(17.27*Tomato!C52/(Tomato!C52+237.3)))/(Tomato!C52+237.3)^2</f>
        <v>0.15193839797273131</v>
      </c>
      <c r="J52" s="3">
        <f t="shared" si="5"/>
        <v>0.35671279797273137</v>
      </c>
      <c r="K52" s="3">
        <f t="shared" si="6"/>
        <v>4.3166253828706109</v>
      </c>
      <c r="L52" s="3">
        <f t="shared" si="7"/>
        <v>1.3569857803790661</v>
      </c>
      <c r="M52" s="3">
        <f t="shared" si="8"/>
        <v>2.8368055816248385</v>
      </c>
      <c r="N52" s="3">
        <f t="shared" si="9"/>
        <v>1.3900347349961708</v>
      </c>
      <c r="O52" s="3">
        <f t="shared" si="10"/>
        <v>-0.25313921382382165</v>
      </c>
      <c r="P52" s="3">
        <f t="shared" si="11"/>
        <v>1.0247522723395606</v>
      </c>
      <c r="Q52" s="3">
        <f t="shared" si="12"/>
        <v>1.4631262466591657</v>
      </c>
      <c r="R52" s="3">
        <f t="shared" si="13"/>
        <v>28.836677302776248</v>
      </c>
      <c r="S52" s="3">
        <f t="shared" si="14"/>
        <v>11.183130547713368</v>
      </c>
      <c r="T52" s="3">
        <f t="shared" si="15"/>
        <v>16.363153890936168</v>
      </c>
      <c r="U52" s="3">
        <f t="shared" si="16"/>
        <v>21.658074855023127</v>
      </c>
      <c r="V52" s="3">
        <f t="shared" si="17"/>
        <v>12.59962849602085</v>
      </c>
      <c r="W52" s="3">
        <f t="shared" si="18"/>
        <v>4.3231098153959922</v>
      </c>
      <c r="X52" s="3">
        <f t="shared" si="19"/>
        <v>6.4580187288747455</v>
      </c>
      <c r="Y52" s="3">
        <f t="shared" si="20"/>
        <v>4.5407031035811505</v>
      </c>
      <c r="Z52" s="3">
        <v>1.1499999999999999</v>
      </c>
      <c r="AB52" s="3">
        <f t="shared" si="21"/>
        <v>7.4267215382059568</v>
      </c>
      <c r="AD52" s="69">
        <v>0</v>
      </c>
      <c r="AE52" s="3">
        <v>0</v>
      </c>
      <c r="AF52" s="3">
        <v>0</v>
      </c>
      <c r="AG52">
        <f t="shared" si="36"/>
        <v>0</v>
      </c>
      <c r="AH52" s="71">
        <f t="shared" si="37"/>
        <v>1</v>
      </c>
      <c r="AI52">
        <f t="shared" si="38"/>
        <v>7.4267215382059568</v>
      </c>
      <c r="AJ52">
        <f t="shared" si="39"/>
        <v>54.95721234371301</v>
      </c>
      <c r="AK52" s="2">
        <f t="shared" si="28"/>
        <v>22.04278765628699</v>
      </c>
    </row>
    <row r="53" spans="1:38" ht="15.6">
      <c r="A53" s="1">
        <v>44239</v>
      </c>
      <c r="B53" s="13">
        <f t="shared" si="23"/>
        <v>43</v>
      </c>
      <c r="C53" s="13">
        <f t="shared" si="4"/>
        <v>21.5</v>
      </c>
      <c r="D53" s="14">
        <v>29.2</v>
      </c>
      <c r="E53" s="14">
        <v>13.8</v>
      </c>
      <c r="F53" s="14">
        <v>49</v>
      </c>
      <c r="G53" s="14">
        <v>6</v>
      </c>
      <c r="H53" s="15">
        <v>5.4</v>
      </c>
      <c r="I53" s="16">
        <f>4098*(0.6108*EXP(17.27*Tomato!C53/(Tomato!C53+237.3)))/(Tomato!C53+237.3)^2</f>
        <v>0.15690345906391898</v>
      </c>
      <c r="J53" s="16">
        <f t="shared" si="5"/>
        <v>0.36167785906391903</v>
      </c>
      <c r="K53" s="16">
        <f t="shared" si="6"/>
        <v>4.0522081272490516</v>
      </c>
      <c r="L53" s="16">
        <f t="shared" si="7"/>
        <v>1.5779746093220435</v>
      </c>
      <c r="M53" s="16">
        <f t="shared" si="8"/>
        <v>2.8150913682855476</v>
      </c>
      <c r="N53" s="16">
        <f t="shared" si="9"/>
        <v>1.3793947704599183</v>
      </c>
      <c r="O53" s="16">
        <f t="shared" si="10"/>
        <v>-0.24757475960542566</v>
      </c>
      <c r="P53" s="16">
        <f t="shared" si="11"/>
        <v>1.0243731198898047</v>
      </c>
      <c r="Q53" s="16">
        <f t="shared" si="12"/>
        <v>1.4656029678250293</v>
      </c>
      <c r="R53" s="16">
        <f t="shared" si="13"/>
        <v>28.991435152458958</v>
      </c>
      <c r="S53" s="16">
        <f t="shared" si="14"/>
        <v>11.202060900573473</v>
      </c>
      <c r="T53" s="16">
        <f t="shared" si="15"/>
        <v>14.235579673262929</v>
      </c>
      <c r="U53" s="16">
        <f t="shared" si="16"/>
        <v>21.774307285605826</v>
      </c>
      <c r="V53" s="16">
        <f t="shared" si="17"/>
        <v>10.961396348412455</v>
      </c>
      <c r="W53" s="16">
        <f t="shared" si="18"/>
        <v>3.4704303801097183</v>
      </c>
      <c r="X53" s="16">
        <f t="shared" si="19"/>
        <v>6.2287735815867658</v>
      </c>
      <c r="Y53" s="16">
        <f t="shared" si="20"/>
        <v>4.1957598665217253</v>
      </c>
      <c r="Z53">
        <v>1.1499999999999999</v>
      </c>
      <c r="AB53">
        <f t="shared" si="21"/>
        <v>7.1630896188247801</v>
      </c>
      <c r="AD53" s="7">
        <v>0</v>
      </c>
      <c r="AE53">
        <v>0</v>
      </c>
      <c r="AF53">
        <v>0</v>
      </c>
      <c r="AG53">
        <f t="shared" si="36"/>
        <v>0</v>
      </c>
      <c r="AH53" s="71">
        <f t="shared" si="37"/>
        <v>0.89216253804728907</v>
      </c>
      <c r="AI53">
        <f t="shared" si="38"/>
        <v>6.3906402145909045</v>
      </c>
      <c r="AJ53">
        <f t="shared" si="39"/>
        <v>48.566572129122108</v>
      </c>
      <c r="AK53" s="2">
        <f t="shared" si="28"/>
        <v>28.433427870877892</v>
      </c>
    </row>
    <row r="54" spans="1:38" ht="15.6">
      <c r="A54" s="1">
        <v>44240</v>
      </c>
      <c r="B54" s="13">
        <f t="shared" si="23"/>
        <v>44</v>
      </c>
      <c r="C54" s="13">
        <f t="shared" si="4"/>
        <v>22.4</v>
      </c>
      <c r="D54" s="14">
        <v>29.3</v>
      </c>
      <c r="E54" s="14">
        <v>15.5</v>
      </c>
      <c r="F54" s="14">
        <v>54</v>
      </c>
      <c r="G54" s="14">
        <v>5</v>
      </c>
      <c r="H54" s="15">
        <v>4</v>
      </c>
      <c r="I54" s="16">
        <f>4098*(0.6108*EXP(17.27*Tomato!C54/(Tomato!C54+237.3)))/(Tomato!C54+237.3)^2</f>
        <v>0.16460774689933025</v>
      </c>
      <c r="J54" s="16">
        <f t="shared" si="5"/>
        <v>0.34647974689933025</v>
      </c>
      <c r="K54" s="16">
        <f t="shared" si="6"/>
        <v>4.0756492057609837</v>
      </c>
      <c r="L54" s="16">
        <f t="shared" si="7"/>
        <v>1.761022898120093</v>
      </c>
      <c r="M54" s="16">
        <f t="shared" si="8"/>
        <v>2.9183360519405381</v>
      </c>
      <c r="N54" s="16">
        <f t="shared" si="9"/>
        <v>1.5759014680478907</v>
      </c>
      <c r="O54" s="16">
        <f t="shared" si="10"/>
        <v>-0.24193701800452469</v>
      </c>
      <c r="P54" s="16">
        <f t="shared" si="11"/>
        <v>1.0239867524793516</v>
      </c>
      <c r="Q54" s="16">
        <f t="shared" si="12"/>
        <v>1.4681045570915705</v>
      </c>
      <c r="R54" s="16">
        <f t="shared" si="13"/>
        <v>29.147341811098787</v>
      </c>
      <c r="S54" s="16">
        <f t="shared" si="14"/>
        <v>11.221181328088438</v>
      </c>
      <c r="T54" s="16">
        <f t="shared" si="15"/>
        <v>12.481893077971121</v>
      </c>
      <c r="U54" s="16">
        <f t="shared" si="16"/>
        <v>21.891402540643853</v>
      </c>
      <c r="V54" s="16">
        <f t="shared" si="17"/>
        <v>9.6110576700377628</v>
      </c>
      <c r="W54" s="16">
        <f t="shared" si="18"/>
        <v>2.5878848440208571</v>
      </c>
      <c r="X54" s="16">
        <f t="shared" si="19"/>
        <v>5.3370907581633809</v>
      </c>
      <c r="Y54" s="16">
        <f t="shared" si="20"/>
        <v>4.0846283693010124</v>
      </c>
      <c r="Z54">
        <v>1.1499999999999999</v>
      </c>
      <c r="AB54">
        <f t="shared" si="21"/>
        <v>6.1376543718878871</v>
      </c>
      <c r="AD54" s="7">
        <v>0</v>
      </c>
      <c r="AE54">
        <v>0</v>
      </c>
      <c r="AF54">
        <v>0</v>
      </c>
      <c r="AG54">
        <f t="shared" si="36"/>
        <v>0</v>
      </c>
      <c r="AH54" s="71">
        <f t="shared" si="37"/>
        <v>0.7884183787195147</v>
      </c>
      <c r="AI54">
        <f t="shared" si="38"/>
        <v>4.8390395090245892</v>
      </c>
      <c r="AJ54">
        <f t="shared" si="39"/>
        <v>43.72753262009752</v>
      </c>
      <c r="AK54" s="2">
        <f t="shared" si="28"/>
        <v>33.27246737990248</v>
      </c>
    </row>
    <row r="55" spans="1:38" ht="15.6">
      <c r="A55" s="1">
        <v>44241</v>
      </c>
      <c r="B55" s="13">
        <f t="shared" si="23"/>
        <v>45</v>
      </c>
      <c r="C55" s="13">
        <f t="shared" si="4"/>
        <v>22.25</v>
      </c>
      <c r="D55" s="15">
        <v>29.2</v>
      </c>
      <c r="E55" s="14">
        <v>15.3</v>
      </c>
      <c r="F55" s="14">
        <v>53</v>
      </c>
      <c r="G55" s="14">
        <v>6</v>
      </c>
      <c r="H55" s="15">
        <v>6.5</v>
      </c>
      <c r="I55" s="16">
        <f>4098*(0.6108*EXP(17.27*Tomato!C55/(Tomato!C55+237.3)))/(Tomato!C55+237.3)^2</f>
        <v>0.16330195980137907</v>
      </c>
      <c r="J55" s="16">
        <f t="shared" si="5"/>
        <v>0.36807635980137909</v>
      </c>
      <c r="K55" s="16">
        <f t="shared" si="6"/>
        <v>4.0522081272490516</v>
      </c>
      <c r="L55" s="16">
        <f t="shared" si="7"/>
        <v>1.7385638954612772</v>
      </c>
      <c r="M55" s="16">
        <f t="shared" si="8"/>
        <v>2.8953860113551642</v>
      </c>
      <c r="N55" s="16">
        <f t="shared" si="9"/>
        <v>1.534554586018237</v>
      </c>
      <c r="O55" s="16">
        <f t="shared" si="10"/>
        <v>-0.23622765791226824</v>
      </c>
      <c r="P55" s="16">
        <f t="shared" si="11"/>
        <v>1.0235932844811537</v>
      </c>
      <c r="Q55" s="16">
        <f t="shared" si="12"/>
        <v>1.470630187604163</v>
      </c>
      <c r="R55" s="16">
        <f t="shared" si="13"/>
        <v>29.304312399653561</v>
      </c>
      <c r="S55" s="16">
        <f t="shared" si="14"/>
        <v>11.24048551035029</v>
      </c>
      <c r="T55" s="16">
        <f t="shared" si="15"/>
        <v>15.798934117669704</v>
      </c>
      <c r="U55" s="16">
        <f t="shared" si="16"/>
        <v>22.009296870883801</v>
      </c>
      <c r="V55" s="16">
        <f t="shared" si="17"/>
        <v>12.165179270605673</v>
      </c>
      <c r="W55" s="16">
        <f t="shared" si="18"/>
        <v>3.8631791368147117</v>
      </c>
      <c r="X55" s="16">
        <f t="shared" si="19"/>
        <v>6.0576150581239308</v>
      </c>
      <c r="Y55" s="16">
        <f t="shared" si="20"/>
        <v>4.1060993681657667</v>
      </c>
      <c r="Z55">
        <v>1.1499999999999999</v>
      </c>
      <c r="AB55">
        <f t="shared" si="21"/>
        <v>6.9662573168425199</v>
      </c>
      <c r="AD55" s="7">
        <v>0</v>
      </c>
      <c r="AE55">
        <v>0</v>
      </c>
      <c r="AF55">
        <v>0</v>
      </c>
      <c r="AG55">
        <f t="shared" si="36"/>
        <v>0</v>
      </c>
      <c r="AH55" s="71">
        <f t="shared" si="37"/>
        <v>0.70986254253405068</v>
      </c>
      <c r="AI55">
        <f t="shared" si="38"/>
        <v>4.9450851308802655</v>
      </c>
      <c r="AJ55">
        <f t="shared" si="39"/>
        <v>38.782447489217255</v>
      </c>
      <c r="AK55" s="2">
        <f t="shared" si="28"/>
        <v>38.217552510782745</v>
      </c>
    </row>
    <row r="56" spans="1:38" ht="15.6">
      <c r="A56" s="1">
        <v>44242</v>
      </c>
      <c r="B56" s="13">
        <f t="shared" si="23"/>
        <v>46</v>
      </c>
      <c r="C56" s="13">
        <f t="shared" si="4"/>
        <v>24.25</v>
      </c>
      <c r="D56" s="14">
        <v>30.5</v>
      </c>
      <c r="E56" s="14">
        <v>18</v>
      </c>
      <c r="F56" s="14">
        <v>51</v>
      </c>
      <c r="G56" s="14">
        <v>6</v>
      </c>
      <c r="H56" s="15">
        <v>6.5</v>
      </c>
      <c r="I56" s="16">
        <f>4098*(0.6108*EXP(17.27*Tomato!C56/(Tomato!C56+237.3)))/(Tomato!C56+237.3)^2</f>
        <v>0.18145122404479402</v>
      </c>
      <c r="J56" s="16">
        <f t="shared" si="5"/>
        <v>0.38622562404479405</v>
      </c>
      <c r="K56" s="16">
        <f t="shared" si="6"/>
        <v>4.3662793205014685</v>
      </c>
      <c r="L56" s="16">
        <f t="shared" si="7"/>
        <v>2.0639892026604851</v>
      </c>
      <c r="M56" s="16">
        <f t="shared" si="8"/>
        <v>3.2151342615809768</v>
      </c>
      <c r="N56" s="16">
        <f t="shared" si="9"/>
        <v>1.6397184734062982</v>
      </c>
      <c r="O56" s="16">
        <f t="shared" si="10"/>
        <v>-0.23044836942039926</v>
      </c>
      <c r="P56" s="16">
        <f t="shared" si="11"/>
        <v>1.0231928323700878</v>
      </c>
      <c r="Q56" s="16">
        <f t="shared" si="12"/>
        <v>1.4731790421852906</v>
      </c>
      <c r="R56" s="16">
        <f t="shared" si="13"/>
        <v>29.462261696228801</v>
      </c>
      <c r="S56" s="16">
        <f t="shared" si="14"/>
        <v>11.259967201416234</v>
      </c>
      <c r="T56" s="16">
        <f t="shared" si="15"/>
        <v>15.869351341009093</v>
      </c>
      <c r="U56" s="16">
        <f t="shared" si="16"/>
        <v>22.127926269569603</v>
      </c>
      <c r="V56" s="16">
        <f t="shared" si="17"/>
        <v>12.219400532577001</v>
      </c>
      <c r="W56" s="16">
        <f t="shared" si="18"/>
        <v>3.8214981783948718</v>
      </c>
      <c r="X56" s="16">
        <f t="shared" si="19"/>
        <v>6.6011836364897158</v>
      </c>
      <c r="Y56" s="16">
        <f t="shared" si="20"/>
        <v>4.110314835155024</v>
      </c>
      <c r="Z56">
        <v>1.1499999999999999</v>
      </c>
      <c r="AB56">
        <f t="shared" si="21"/>
        <v>7.5913611819631726</v>
      </c>
      <c r="AD56" s="7">
        <v>0</v>
      </c>
      <c r="AE56">
        <v>0</v>
      </c>
      <c r="AF56">
        <v>0</v>
      </c>
      <c r="AG56">
        <f t="shared" si="36"/>
        <v>0</v>
      </c>
      <c r="AH56" s="71">
        <f t="shared" si="37"/>
        <v>0.62958518651326711</v>
      </c>
      <c r="AI56">
        <f t="shared" si="38"/>
        <v>4.7794085456358602</v>
      </c>
      <c r="AJ56">
        <f t="shared" si="39"/>
        <v>34.003038943581394</v>
      </c>
      <c r="AK56" s="2">
        <f t="shared" si="28"/>
        <v>42.996961056418606</v>
      </c>
    </row>
    <row r="57" spans="1:38" ht="15.6">
      <c r="A57" s="1">
        <v>44243</v>
      </c>
      <c r="B57" s="13">
        <f t="shared" si="23"/>
        <v>47</v>
      </c>
      <c r="C57" s="13">
        <f t="shared" si="4"/>
        <v>23.3</v>
      </c>
      <c r="D57" s="14">
        <v>32</v>
      </c>
      <c r="E57" s="14">
        <v>14.6</v>
      </c>
      <c r="F57" s="14">
        <v>49</v>
      </c>
      <c r="G57" s="14">
        <v>5</v>
      </c>
      <c r="H57" s="15">
        <v>7.1</v>
      </c>
      <c r="I57" s="16">
        <f>4098*(0.6108*EXP(17.27*Tomato!C57/(Tomato!C57+237.3)))/(Tomato!C57+237.3)^2</f>
        <v>0.1726290323213637</v>
      </c>
      <c r="J57" s="16">
        <f t="shared" si="5"/>
        <v>0.35450103232136376</v>
      </c>
      <c r="K57" s="16">
        <f t="shared" si="6"/>
        <v>4.7547753962618131</v>
      </c>
      <c r="L57" s="16">
        <f t="shared" si="7"/>
        <v>1.6619223807933985</v>
      </c>
      <c r="M57" s="16">
        <f t="shared" si="8"/>
        <v>3.2083488885276057</v>
      </c>
      <c r="N57" s="16">
        <f t="shared" si="9"/>
        <v>1.5720909553785267</v>
      </c>
      <c r="O57" s="16">
        <f t="shared" si="10"/>
        <v>-0.22460086332095064</v>
      </c>
      <c r="P57" s="16">
        <f t="shared" si="11"/>
        <v>1.0227855146884768</v>
      </c>
      <c r="Q57" s="16">
        <f t="shared" si="12"/>
        <v>1.4757503136079635</v>
      </c>
      <c r="R57" s="16">
        <f t="shared" si="13"/>
        <v>29.621104210697958</v>
      </c>
      <c r="S57" s="16">
        <f t="shared" si="14"/>
        <v>11.279620231398447</v>
      </c>
      <c r="T57" s="16">
        <f t="shared" si="15"/>
        <v>16.727834595493505</v>
      </c>
      <c r="U57" s="16">
        <f t="shared" si="16"/>
        <v>22.247226528486806</v>
      </c>
      <c r="V57" s="16">
        <f t="shared" si="17"/>
        <v>12.880432638529999</v>
      </c>
      <c r="W57" s="16">
        <f t="shared" si="18"/>
        <v>4.1639443769298907</v>
      </c>
      <c r="X57" s="16">
        <f t="shared" si="19"/>
        <v>6.4537057603885728</v>
      </c>
      <c r="Y57" s="16">
        <f t="shared" si="20"/>
        <v>4.7654694435379437</v>
      </c>
      <c r="Z57">
        <v>1.1499999999999999</v>
      </c>
      <c r="AB57">
        <f t="shared" si="21"/>
        <v>7.4217616244468578</v>
      </c>
      <c r="AD57" s="7">
        <v>0</v>
      </c>
      <c r="AE57">
        <v>0</v>
      </c>
      <c r="AF57">
        <v>0</v>
      </c>
      <c r="AG57">
        <f t="shared" si="36"/>
        <v>47.093754068529719</v>
      </c>
      <c r="AH57" s="71">
        <f t="shared" si="37"/>
        <v>0.5519973854477499</v>
      </c>
      <c r="AI57">
        <f t="shared" si="38"/>
        <v>4.0967930121111102</v>
      </c>
      <c r="AJ57">
        <f t="shared" si="39"/>
        <v>77</v>
      </c>
      <c r="AK57" s="2">
        <f t="shared" si="28"/>
        <v>0</v>
      </c>
      <c r="AL57" t="s">
        <v>2</v>
      </c>
    </row>
    <row r="58" spans="1:38" ht="15.6">
      <c r="A58" s="1">
        <v>44244</v>
      </c>
      <c r="B58" s="13">
        <f t="shared" si="23"/>
        <v>48</v>
      </c>
      <c r="C58" s="13">
        <f t="shared" si="4"/>
        <v>22.4</v>
      </c>
      <c r="D58" s="14">
        <v>29.2</v>
      </c>
      <c r="E58" s="14">
        <v>15.6</v>
      </c>
      <c r="F58" s="14">
        <v>50</v>
      </c>
      <c r="G58" s="14">
        <v>7</v>
      </c>
      <c r="H58" s="15">
        <v>0</v>
      </c>
      <c r="I58" s="16">
        <f>4098*(0.6108*EXP(17.27*Tomato!C58/(Tomato!C58+237.3)))/(Tomato!C58+237.3)^2</f>
        <v>0.16460774689933025</v>
      </c>
      <c r="J58" s="16">
        <f t="shared" si="5"/>
        <v>0.39228454689933029</v>
      </c>
      <c r="K58" s="16">
        <f t="shared" si="6"/>
        <v>4.0522081272490516</v>
      </c>
      <c r="L58" s="16">
        <f t="shared" si="7"/>
        <v>1.7723474716742158</v>
      </c>
      <c r="M58" s="16">
        <f t="shared" si="8"/>
        <v>2.9122777994616338</v>
      </c>
      <c r="N58" s="16">
        <f t="shared" si="9"/>
        <v>1.4561388997308169</v>
      </c>
      <c r="O58" s="16">
        <f t="shared" si="10"/>
        <v>-0.21868687059981493</v>
      </c>
      <c r="P58" s="16">
        <f t="shared" si="11"/>
        <v>1.0223714520109977</v>
      </c>
      <c r="Q58" s="16">
        <f t="shared" si="12"/>
        <v>1.4783432048247009</v>
      </c>
      <c r="R58" s="16">
        <f t="shared" si="13"/>
        <v>29.780754260244048</v>
      </c>
      <c r="S58" s="16">
        <f t="shared" si="14"/>
        <v>11.299438508214275</v>
      </c>
      <c r="T58" s="16">
        <f t="shared" si="15"/>
        <v>7.4451885650610121</v>
      </c>
      <c r="U58" s="16">
        <f t="shared" si="16"/>
        <v>22.367133294698892</v>
      </c>
      <c r="V58" s="16">
        <f t="shared" si="17"/>
        <v>5.7327951950969798</v>
      </c>
      <c r="W58" s="16">
        <f t="shared" si="18"/>
        <v>0.63797879270061431</v>
      </c>
      <c r="X58" s="16">
        <f t="shared" si="19"/>
        <v>6.204778875907996</v>
      </c>
      <c r="Y58" s="16">
        <f t="shared" si="20"/>
        <v>4.1430406967055848</v>
      </c>
      <c r="Z58">
        <v>1.1499999999999999</v>
      </c>
      <c r="AB58">
        <f t="shared" si="21"/>
        <v>7.1354957072941945</v>
      </c>
      <c r="AD58" s="7">
        <v>0</v>
      </c>
      <c r="AE58">
        <v>0</v>
      </c>
      <c r="AF58">
        <v>0</v>
      </c>
      <c r="AG58">
        <f t="shared" si="36"/>
        <v>0</v>
      </c>
      <c r="AH58" s="71">
        <f t="shared" si="37"/>
        <v>1</v>
      </c>
      <c r="AI58">
        <f t="shared" si="38"/>
        <v>7.1354957072941945</v>
      </c>
      <c r="AJ58">
        <f t="shared" si="39"/>
        <v>69.864504292705803</v>
      </c>
      <c r="AK58" s="2">
        <f t="shared" si="28"/>
        <v>7.1354957072941971</v>
      </c>
    </row>
    <row r="59" spans="1:38" ht="15.6">
      <c r="A59" s="1">
        <v>44245</v>
      </c>
      <c r="B59" s="13">
        <f t="shared" si="23"/>
        <v>49</v>
      </c>
      <c r="C59" s="13">
        <f t="shared" si="4"/>
        <v>21.7</v>
      </c>
      <c r="D59" s="14">
        <v>29</v>
      </c>
      <c r="E59" s="14">
        <v>14.4</v>
      </c>
      <c r="F59" s="14">
        <v>59</v>
      </c>
      <c r="G59" s="14">
        <v>8</v>
      </c>
      <c r="H59" s="15">
        <v>8.1999999999999993</v>
      </c>
      <c r="I59" s="16">
        <f>4098*(0.6108*EXP(17.27*Tomato!C59/(Tomato!C59+237.3)))/(Tomato!C59+237.3)^2</f>
        <v>0.15858864710297663</v>
      </c>
      <c r="J59" s="16">
        <f t="shared" si="5"/>
        <v>0.4091678471029766</v>
      </c>
      <c r="K59" s="16">
        <f t="shared" si="6"/>
        <v>4.0056776000859209</v>
      </c>
      <c r="L59" s="16">
        <f t="shared" si="7"/>
        <v>1.6405764392484408</v>
      </c>
      <c r="M59" s="16">
        <f t="shared" si="8"/>
        <v>2.8231270196671807</v>
      </c>
      <c r="N59" s="16">
        <f t="shared" si="9"/>
        <v>1.6656449416036365</v>
      </c>
      <c r="O59" s="16">
        <f t="shared" si="10"/>
        <v>-0.21270814192433549</v>
      </c>
      <c r="P59" s="16">
        <f t="shared" si="11"/>
        <v>1.0219507669089898</v>
      </c>
      <c r="Q59" s="16">
        <f t="shared" si="12"/>
        <v>1.4809569291530589</v>
      </c>
      <c r="R59" s="16">
        <f t="shared" si="13"/>
        <v>29.941126045717084</v>
      </c>
      <c r="S59" s="16">
        <f t="shared" si="14"/>
        <v>11.319416019004272</v>
      </c>
      <c r="T59" s="16">
        <f t="shared" si="15"/>
        <v>18.330241762147104</v>
      </c>
      <c r="U59" s="16">
        <f t="shared" si="16"/>
        <v>22.487582127896271</v>
      </c>
      <c r="V59" s="16">
        <f t="shared" si="17"/>
        <v>14.11428615685327</v>
      </c>
      <c r="W59" s="16">
        <f t="shared" si="18"/>
        <v>4.4471839774619744</v>
      </c>
      <c r="X59" s="16">
        <f t="shared" si="19"/>
        <v>6.1842263826591699</v>
      </c>
      <c r="Y59" s="16">
        <f t="shared" si="20"/>
        <v>4.2406228795173373</v>
      </c>
      <c r="Z59">
        <v>1.1499999999999999</v>
      </c>
      <c r="AB59">
        <f t="shared" si="21"/>
        <v>7.1118603400580449</v>
      </c>
      <c r="AD59" s="7">
        <v>0</v>
      </c>
      <c r="AE59">
        <v>0</v>
      </c>
      <c r="AF59">
        <v>0</v>
      </c>
      <c r="AG59">
        <f t="shared" si="36"/>
        <v>0</v>
      </c>
      <c r="AH59" s="71">
        <f t="shared" si="37"/>
        <v>1</v>
      </c>
      <c r="AI59">
        <f t="shared" si="38"/>
        <v>7.1118603400580449</v>
      </c>
      <c r="AJ59">
        <f t="shared" si="39"/>
        <v>62.752643952647759</v>
      </c>
      <c r="AK59" s="2">
        <f t="shared" si="28"/>
        <v>14.247356047352241</v>
      </c>
    </row>
    <row r="60" spans="1:38" ht="15.6">
      <c r="A60" s="1">
        <v>44246</v>
      </c>
      <c r="B60" s="13">
        <f t="shared" si="23"/>
        <v>50</v>
      </c>
      <c r="C60" s="13">
        <f t="shared" si="4"/>
        <v>23.05</v>
      </c>
      <c r="D60" s="14">
        <v>28.6</v>
      </c>
      <c r="E60" s="14">
        <v>17.5</v>
      </c>
      <c r="F60" s="14">
        <v>53</v>
      </c>
      <c r="G60" s="14">
        <v>6</v>
      </c>
      <c r="H60" s="15">
        <v>0</v>
      </c>
      <c r="I60" s="16">
        <f>4098*(0.6108*EXP(17.27*Tomato!C60/(Tomato!C60+237.3)))/(Tomato!C60+237.3)^2</f>
        <v>0.17036851144047491</v>
      </c>
      <c r="J60" s="16">
        <f t="shared" si="5"/>
        <v>0.37514291144047496</v>
      </c>
      <c r="K60" s="16">
        <f t="shared" si="6"/>
        <v>3.9140092986798436</v>
      </c>
      <c r="L60" s="16">
        <f t="shared" si="7"/>
        <v>1.9999869748999506</v>
      </c>
      <c r="M60" s="16">
        <f t="shared" si="8"/>
        <v>2.9569981367898972</v>
      </c>
      <c r="N60" s="16">
        <f t="shared" si="9"/>
        <v>1.5672090124986455</v>
      </c>
      <c r="O60" s="16">
        <f t="shared" si="10"/>
        <v>-0.20666644712507193</v>
      </c>
      <c r="P60" s="16">
        <f t="shared" si="11"/>
        <v>1.0215235839141705</v>
      </c>
      <c r="Q60" s="16">
        <f t="shared" si="12"/>
        <v>1.483590710418752</v>
      </c>
      <c r="R60" s="16">
        <f t="shared" si="13"/>
        <v>30.102133728697392</v>
      </c>
      <c r="S60" s="16">
        <f t="shared" si="14"/>
        <v>11.33954683122613</v>
      </c>
      <c r="T60" s="16">
        <f t="shared" si="15"/>
        <v>7.5255334321743481</v>
      </c>
      <c r="U60" s="16">
        <f t="shared" si="16"/>
        <v>22.608508558275464</v>
      </c>
      <c r="V60" s="16">
        <f t="shared" si="17"/>
        <v>5.7946607427742478</v>
      </c>
      <c r="W60" s="16">
        <f t="shared" si="18"/>
        <v>0.61915223932193919</v>
      </c>
      <c r="X60" s="16">
        <f t="shared" si="19"/>
        <v>5.5107692056126849</v>
      </c>
      <c r="Y60" s="16">
        <f t="shared" si="20"/>
        <v>3.8444908369874655</v>
      </c>
      <c r="Z60">
        <v>1.1499999999999999</v>
      </c>
      <c r="AB60">
        <f t="shared" si="21"/>
        <v>6.3373845864545872</v>
      </c>
      <c r="AD60" s="7">
        <v>0</v>
      </c>
      <c r="AE60">
        <v>0</v>
      </c>
      <c r="AF60">
        <v>0</v>
      </c>
      <c r="AG60">
        <f t="shared" si="36"/>
        <v>0</v>
      </c>
      <c r="AH60" s="71">
        <f t="shared" si="37"/>
        <v>1</v>
      </c>
      <c r="AI60">
        <f t="shared" si="38"/>
        <v>6.3373845864545872</v>
      </c>
      <c r="AJ60">
        <f t="shared" si="39"/>
        <v>56.415259366193169</v>
      </c>
      <c r="AK60" s="2">
        <f t="shared" si="28"/>
        <v>20.584740633806831</v>
      </c>
    </row>
    <row r="61" spans="1:38" ht="15.6">
      <c r="A61" s="1">
        <v>44247</v>
      </c>
      <c r="B61" s="13">
        <f t="shared" si="23"/>
        <v>51</v>
      </c>
      <c r="C61" s="13">
        <f t="shared" si="4"/>
        <v>23.6</v>
      </c>
      <c r="D61" s="14">
        <v>29</v>
      </c>
      <c r="E61" s="14">
        <v>18.2</v>
      </c>
      <c r="F61" s="14">
        <v>54</v>
      </c>
      <c r="G61" s="14">
        <v>6</v>
      </c>
      <c r="H61" s="15">
        <v>2.5</v>
      </c>
      <c r="I61" s="16">
        <f>4098*(0.6108*EXP(17.27*Tomato!C61/(Tomato!C61+237.3)))/(Tomato!C61+237.3)^2</f>
        <v>0.17537501030785449</v>
      </c>
      <c r="J61" s="16">
        <f t="shared" si="5"/>
        <v>0.38014941030785454</v>
      </c>
      <c r="K61" s="16">
        <f t="shared" si="6"/>
        <v>4.0056776000859209</v>
      </c>
      <c r="L61" s="16">
        <f t="shared" si="7"/>
        <v>2.0900878010879693</v>
      </c>
      <c r="M61" s="16">
        <f t="shared" si="8"/>
        <v>3.0478827005869453</v>
      </c>
      <c r="N61" s="16">
        <f t="shared" si="9"/>
        <v>1.6458566583169505</v>
      </c>
      <c r="O61" s="16">
        <f t="shared" si="10"/>
        <v>-0.20056357467189265</v>
      </c>
      <c r="P61" s="16">
        <f t="shared" si="11"/>
        <v>1.0210900294817713</v>
      </c>
      <c r="Q61" s="16">
        <f t="shared" si="12"/>
        <v>1.4862437830574831</v>
      </c>
      <c r="R61" s="16">
        <f t="shared" si="13"/>
        <v>30.263691509151307</v>
      </c>
      <c r="S61" s="16">
        <f t="shared" si="14"/>
        <v>11.359825093432992</v>
      </c>
      <c r="T61" s="16">
        <f t="shared" si="15"/>
        <v>10.896045839155267</v>
      </c>
      <c r="U61" s="16">
        <f t="shared" si="16"/>
        <v>22.72984814486318</v>
      </c>
      <c r="V61" s="16">
        <f t="shared" si="17"/>
        <v>8.3899552961495552</v>
      </c>
      <c r="W61" s="16">
        <f t="shared" si="18"/>
        <v>1.8159681339865077</v>
      </c>
      <c r="X61" s="16">
        <f t="shared" si="19"/>
        <v>5.7603766137472165</v>
      </c>
      <c r="Y61" s="16">
        <f t="shared" si="20"/>
        <v>3.8638665585728735</v>
      </c>
      <c r="Z61">
        <v>1.1499999999999999</v>
      </c>
      <c r="AB61">
        <f t="shared" si="21"/>
        <v>6.6244331058092989</v>
      </c>
      <c r="AD61" s="7">
        <v>0</v>
      </c>
      <c r="AE61">
        <v>0</v>
      </c>
      <c r="AF61">
        <v>0</v>
      </c>
      <c r="AG61">
        <f t="shared" si="36"/>
        <v>0</v>
      </c>
      <c r="AH61" s="71">
        <f t="shared" si="37"/>
        <v>0.91583213256807094</v>
      </c>
      <c r="AI61">
        <f t="shared" si="38"/>
        <v>6.0668686983478599</v>
      </c>
      <c r="AJ61">
        <f t="shared" si="39"/>
        <v>50.348390667845308</v>
      </c>
      <c r="AK61" s="2">
        <f t="shared" si="28"/>
        <v>26.651609332154692</v>
      </c>
    </row>
    <row r="62" spans="1:38" ht="15.6">
      <c r="A62" s="1">
        <v>44248</v>
      </c>
      <c r="B62" s="13">
        <f t="shared" si="23"/>
        <v>52</v>
      </c>
      <c r="C62" s="13">
        <f t="shared" si="4"/>
        <v>22.4</v>
      </c>
      <c r="D62" s="14">
        <v>29</v>
      </c>
      <c r="E62" s="14">
        <v>15.8</v>
      </c>
      <c r="F62" s="14">
        <v>48</v>
      </c>
      <c r="G62" s="14">
        <v>5</v>
      </c>
      <c r="H62" s="15">
        <v>4.5</v>
      </c>
      <c r="I62" s="16">
        <f>4098*(0.6108*EXP(17.27*Tomato!C62/(Tomato!C62+237.3)))/(Tomato!C62+237.3)^2</f>
        <v>0.16460774689933025</v>
      </c>
      <c r="J62" s="16">
        <f t="shared" si="5"/>
        <v>0.34647974689933025</v>
      </c>
      <c r="K62" s="16">
        <f t="shared" si="6"/>
        <v>4.0056776000859209</v>
      </c>
      <c r="L62" s="16">
        <f t="shared" si="7"/>
        <v>1.7951882816867184</v>
      </c>
      <c r="M62" s="16">
        <f t="shared" si="8"/>
        <v>2.9004329408863194</v>
      </c>
      <c r="N62" s="16">
        <f t="shared" si="9"/>
        <v>1.3922078116254333</v>
      </c>
      <c r="O62" s="16">
        <f t="shared" si="10"/>
        <v>-0.19440133114454983</v>
      </c>
      <c r="P62" s="16">
        <f t="shared" si="11"/>
        <v>1.0206502319531043</v>
      </c>
      <c r="Q62" s="16">
        <f t="shared" si="12"/>
        <v>1.4889153921766574</v>
      </c>
      <c r="R62" s="16">
        <f t="shared" si="13"/>
        <v>30.425713703561868</v>
      </c>
      <c r="S62" s="16">
        <f t="shared" si="14"/>
        <v>11.380245035745151</v>
      </c>
      <c r="T62" s="16">
        <f t="shared" si="15"/>
        <v>13.621927707144016</v>
      </c>
      <c r="U62" s="16">
        <f t="shared" si="16"/>
        <v>22.851536534197177</v>
      </c>
      <c r="V62" s="16">
        <f t="shared" si="17"/>
        <v>10.488884334500892</v>
      </c>
      <c r="W62" s="16">
        <f t="shared" si="18"/>
        <v>2.9831655151637935</v>
      </c>
      <c r="X62" s="16">
        <f t="shared" si="19"/>
        <v>5.9216302484564975</v>
      </c>
      <c r="Y62" s="16">
        <f t="shared" si="20"/>
        <v>4.1700550876642151</v>
      </c>
      <c r="Z62">
        <v>1.1499999999999999</v>
      </c>
      <c r="AB62">
        <f t="shared" si="21"/>
        <v>6.809874785724972</v>
      </c>
      <c r="AD62" s="7">
        <v>0</v>
      </c>
      <c r="AE62">
        <v>0</v>
      </c>
      <c r="AF62">
        <v>0</v>
      </c>
      <c r="AG62">
        <f t="shared" si="36"/>
        <v>0</v>
      </c>
      <c r="AH62" s="71">
        <f t="shared" si="37"/>
        <v>0.81734400434813814</v>
      </c>
      <c r="AI62">
        <f t="shared" si="38"/>
        <v>5.5660103264738678</v>
      </c>
      <c r="AJ62">
        <f t="shared" si="39"/>
        <v>44.782380341371443</v>
      </c>
      <c r="AK62" s="2">
        <f t="shared" si="28"/>
        <v>32.217619658628557</v>
      </c>
    </row>
    <row r="63" spans="1:38" ht="15.6">
      <c r="A63" s="1">
        <v>44249</v>
      </c>
      <c r="B63" s="13">
        <f t="shared" si="23"/>
        <v>53</v>
      </c>
      <c r="C63" s="13">
        <f t="shared" si="4"/>
        <v>22.75</v>
      </c>
      <c r="D63" s="14">
        <v>31</v>
      </c>
      <c r="E63" s="14">
        <v>14.5</v>
      </c>
      <c r="F63" s="14">
        <v>58</v>
      </c>
      <c r="G63" s="14">
        <v>6</v>
      </c>
      <c r="H63" s="15">
        <v>5</v>
      </c>
      <c r="I63" s="16">
        <f>4098*(0.6108*EXP(17.27*Tomato!C63/(Tomato!C63+237.3)))/(Tomato!C63+237.3)^2</f>
        <v>0.16768890664106281</v>
      </c>
      <c r="J63" s="16">
        <f t="shared" si="5"/>
        <v>0.37246330664106286</v>
      </c>
      <c r="K63" s="16">
        <f t="shared" si="6"/>
        <v>4.492592251118583</v>
      </c>
      <c r="L63" s="16">
        <f t="shared" si="7"/>
        <v>1.6512191555446767</v>
      </c>
      <c r="M63" s="16">
        <f t="shared" si="8"/>
        <v>3.0719057033316299</v>
      </c>
      <c r="N63" s="16">
        <f t="shared" si="9"/>
        <v>1.7817053079323453</v>
      </c>
      <c r="O63" s="16">
        <f t="shared" si="10"/>
        <v>-0.18818154069789345</v>
      </c>
      <c r="P63" s="16">
        <f t="shared" si="11"/>
        <v>1.0202043215175709</v>
      </c>
      <c r="Q63" s="16">
        <f t="shared" si="12"/>
        <v>1.4916047935782015</v>
      </c>
      <c r="R63" s="16">
        <f t="shared" si="13"/>
        <v>30.588114823414614</v>
      </c>
      <c r="S63" s="16">
        <f t="shared" si="14"/>
        <v>11.40080097002447</v>
      </c>
      <c r="T63" s="16">
        <f t="shared" si="15"/>
        <v>14.35447735438246</v>
      </c>
      <c r="U63" s="16">
        <f t="shared" si="16"/>
        <v>22.973509519273779</v>
      </c>
      <c r="V63" s="16">
        <f t="shared" si="17"/>
        <v>11.052947562874495</v>
      </c>
      <c r="W63" s="16">
        <f t="shared" si="18"/>
        <v>2.8541449667366603</v>
      </c>
      <c r="X63" s="16">
        <f t="shared" si="19"/>
        <v>5.766367319549162</v>
      </c>
      <c r="Y63" s="16">
        <f t="shared" si="20"/>
        <v>4.7279572559153564</v>
      </c>
      <c r="Z63">
        <v>1.1499999999999999</v>
      </c>
      <c r="AB63">
        <f t="shared" si="21"/>
        <v>6.6313224174815355</v>
      </c>
      <c r="AD63" s="7">
        <v>0</v>
      </c>
      <c r="AE63">
        <v>0</v>
      </c>
      <c r="AF63">
        <v>0</v>
      </c>
      <c r="AG63">
        <f t="shared" si="36"/>
        <v>0</v>
      </c>
      <c r="AH63" s="71">
        <f t="shared" si="37"/>
        <v>0.72698669385343251</v>
      </c>
      <c r="AI63">
        <f t="shared" si="38"/>
        <v>4.8208831601610527</v>
      </c>
      <c r="AJ63">
        <f t="shared" si="39"/>
        <v>39.96149718121039</v>
      </c>
      <c r="AK63" s="2">
        <f t="shared" si="28"/>
        <v>37.03850281878961</v>
      </c>
    </row>
    <row r="64" spans="1:38" ht="15.6">
      <c r="A64" s="1">
        <v>44250</v>
      </c>
      <c r="B64" s="13">
        <f t="shared" si="23"/>
        <v>54</v>
      </c>
      <c r="C64" s="13">
        <f t="shared" si="4"/>
        <v>23.45</v>
      </c>
      <c r="D64" s="14">
        <v>31.7</v>
      </c>
      <c r="E64" s="14">
        <v>15.2</v>
      </c>
      <c r="F64" s="14">
        <v>46</v>
      </c>
      <c r="G64" s="14">
        <v>4</v>
      </c>
      <c r="H64" s="15">
        <v>6.5</v>
      </c>
      <c r="I64" s="16">
        <f>4098*(0.6108*EXP(17.27*Tomato!C64/(Tomato!C64+237.3)))/(Tomato!C64+237.3)^2</f>
        <v>0.17399745174765596</v>
      </c>
      <c r="J64" s="16">
        <f t="shared" si="5"/>
        <v>0.33296705174765595</v>
      </c>
      <c r="K64" s="16">
        <f t="shared" si="6"/>
        <v>4.6747601804976453</v>
      </c>
      <c r="L64" s="16">
        <f t="shared" si="7"/>
        <v>1.727428862466867</v>
      </c>
      <c r="M64" s="16">
        <f t="shared" si="8"/>
        <v>3.2010945214822559</v>
      </c>
      <c r="N64" s="16">
        <f t="shared" si="9"/>
        <v>1.4725034798818377</v>
      </c>
      <c r="O64" s="16">
        <f t="shared" si="10"/>
        <v>-0.18190604452188291</v>
      </c>
      <c r="P64" s="16">
        <f t="shared" si="11"/>
        <v>1.0197524301741223</v>
      </c>
      <c r="Q64" s="16">
        <f t="shared" si="12"/>
        <v>1.494311253743754</v>
      </c>
      <c r="R64" s="16">
        <f t="shared" si="13"/>
        <v>30.750809653914658</v>
      </c>
      <c r="S64" s="16">
        <f t="shared" si="14"/>
        <v>11.421487289761178</v>
      </c>
      <c r="T64" s="16">
        <f t="shared" si="15"/>
        <v>16.437887817512184</v>
      </c>
      <c r="U64" s="16">
        <f t="shared" si="16"/>
        <v>23.095703098669141</v>
      </c>
      <c r="V64" s="16">
        <f t="shared" si="17"/>
        <v>12.657173619484382</v>
      </c>
      <c r="W64" s="16">
        <f t="shared" si="18"/>
        <v>3.9616998251623841</v>
      </c>
      <c r="X64" s="16">
        <f t="shared" si="19"/>
        <v>6.100564345049408</v>
      </c>
      <c r="Y64" s="16">
        <f t="shared" si="20"/>
        <v>4.8351558723634334</v>
      </c>
      <c r="Z64">
        <v>1.1499999999999999</v>
      </c>
      <c r="AB64">
        <f t="shared" si="21"/>
        <v>7.015648996806819</v>
      </c>
      <c r="AD64" s="7">
        <v>0</v>
      </c>
      <c r="AE64">
        <v>0</v>
      </c>
      <c r="AF64">
        <v>0</v>
      </c>
      <c r="AG64">
        <f t="shared" si="36"/>
        <v>0</v>
      </c>
      <c r="AH64" s="71">
        <f t="shared" si="37"/>
        <v>0.64872560359107778</v>
      </c>
      <c r="AI64">
        <f t="shared" si="38"/>
        <v>4.5512311300366433</v>
      </c>
      <c r="AJ64">
        <f t="shared" si="39"/>
        <v>35.41026605117375</v>
      </c>
      <c r="AK64" s="2">
        <f t="shared" si="28"/>
        <v>41.58973394882625</v>
      </c>
    </row>
    <row r="65" spans="1:38" ht="15.6">
      <c r="A65" s="1">
        <v>44251</v>
      </c>
      <c r="B65" s="13">
        <f t="shared" si="23"/>
        <v>55</v>
      </c>
      <c r="C65" s="13">
        <f t="shared" si="4"/>
        <v>24.65</v>
      </c>
      <c r="D65" s="14">
        <v>34</v>
      </c>
      <c r="E65" s="14">
        <v>15.3</v>
      </c>
      <c r="F65" s="14">
        <v>44</v>
      </c>
      <c r="G65" s="14">
        <v>6</v>
      </c>
      <c r="H65" s="15">
        <v>8.8000000000000007</v>
      </c>
      <c r="I65" s="16">
        <f>4098*(0.6108*EXP(17.27*Tomato!C65/(Tomato!C65+237.3)))/(Tomato!C65+237.3)^2</f>
        <v>0.18527790820050849</v>
      </c>
      <c r="J65" s="16">
        <f t="shared" si="5"/>
        <v>0.39005230820050851</v>
      </c>
      <c r="K65" s="16">
        <f t="shared" si="6"/>
        <v>5.3192602098598769</v>
      </c>
      <c r="L65" s="16">
        <f t="shared" si="7"/>
        <v>1.7385638954612772</v>
      </c>
      <c r="M65" s="16">
        <f t="shared" si="8"/>
        <v>3.5289120526605773</v>
      </c>
      <c r="N65" s="16">
        <f t="shared" si="9"/>
        <v>1.5527213031706539</v>
      </c>
      <c r="O65" s="16">
        <f t="shared" si="10"/>
        <v>-0.17557670029655545</v>
      </c>
      <c r="P65" s="16">
        <f t="shared" si="11"/>
        <v>1.0192946916921857</v>
      </c>
      <c r="Q65" s="16">
        <f t="shared" si="12"/>
        <v>1.4970340497835266</v>
      </c>
      <c r="R65" s="16">
        <f t="shared" si="13"/>
        <v>30.913713332809824</v>
      </c>
      <c r="S65" s="16">
        <f t="shared" si="14"/>
        <v>11.442298469683006</v>
      </c>
      <c r="T65" s="16">
        <f t="shared" si="15"/>
        <v>19.61592969708984</v>
      </c>
      <c r="U65" s="16">
        <f t="shared" si="16"/>
        <v>23.218053535740143</v>
      </c>
      <c r="V65" s="16">
        <f t="shared" si="17"/>
        <v>15.104265866759176</v>
      </c>
      <c r="W65" s="16">
        <f t="shared" si="18"/>
        <v>5.0773664564750236</v>
      </c>
      <c r="X65" s="16">
        <f t="shared" si="19"/>
        <v>8.1347464155932911</v>
      </c>
      <c r="Y65" s="16">
        <f t="shared" si="20"/>
        <v>5.325221445263475</v>
      </c>
      <c r="Z65">
        <v>1.1499999999999999</v>
      </c>
      <c r="AB65">
        <f t="shared" si="21"/>
        <v>9.3549583779322845</v>
      </c>
      <c r="AD65" s="7">
        <v>0</v>
      </c>
      <c r="AE65">
        <v>0</v>
      </c>
      <c r="AF65">
        <v>0</v>
      </c>
      <c r="AG65">
        <f t="shared" si="36"/>
        <v>46.967356758245714</v>
      </c>
      <c r="AH65" s="71">
        <f t="shared" si="37"/>
        <v>0.57484198135022324</v>
      </c>
      <c r="AI65">
        <f t="shared" si="38"/>
        <v>5.3776228094194654</v>
      </c>
      <c r="AJ65">
        <f t="shared" si="39"/>
        <v>77</v>
      </c>
      <c r="AK65" s="2">
        <f t="shared" si="28"/>
        <v>0</v>
      </c>
      <c r="AL65" t="s">
        <v>2</v>
      </c>
    </row>
    <row r="66" spans="1:38" ht="15.6">
      <c r="A66" s="1">
        <v>44252</v>
      </c>
      <c r="B66" s="13">
        <f t="shared" si="23"/>
        <v>56</v>
      </c>
      <c r="C66" s="13">
        <f t="shared" si="4"/>
        <v>25.5</v>
      </c>
      <c r="D66" s="14">
        <v>36</v>
      </c>
      <c r="E66" s="14">
        <v>15</v>
      </c>
      <c r="F66" s="14">
        <v>40</v>
      </c>
      <c r="G66" s="14">
        <v>6</v>
      </c>
      <c r="H66" s="15">
        <v>9.1999999999999993</v>
      </c>
      <c r="I66" s="16">
        <f>4098*(0.6108*EXP(17.27*Tomato!C66/(Tomato!C66+237.3)))/(Tomato!C66+237.3)^2</f>
        <v>0.19363585091694491</v>
      </c>
      <c r="J66" s="16">
        <f t="shared" si="5"/>
        <v>0.39841025091694493</v>
      </c>
      <c r="K66" s="16">
        <f t="shared" si="6"/>
        <v>5.9409977016273503</v>
      </c>
      <c r="L66" s="16">
        <f t="shared" si="7"/>
        <v>1.7053462321157722</v>
      </c>
      <c r="M66" s="16">
        <f t="shared" si="8"/>
        <v>3.8231719668715614</v>
      </c>
      <c r="N66" s="16">
        <f t="shared" si="9"/>
        <v>1.5292687867486245</v>
      </c>
      <c r="O66" s="16">
        <f t="shared" si="10"/>
        <v>-0.16919538164211376</v>
      </c>
      <c r="P66" s="16">
        <f t="shared" si="11"/>
        <v>1.0188312415720648</v>
      </c>
      <c r="Q66" s="16">
        <f t="shared" si="12"/>
        <v>1.4997724693501662</v>
      </c>
      <c r="R66" s="16">
        <f t="shared" si="13"/>
        <v>31.076741429191195</v>
      </c>
      <c r="S66" s="16">
        <f t="shared" si="14"/>
        <v>11.463229065096812</v>
      </c>
      <c r="T66" s="16">
        <f t="shared" si="15"/>
        <v>20.239756237674097</v>
      </c>
      <c r="U66" s="16">
        <f t="shared" si="16"/>
        <v>23.340497417808336</v>
      </c>
      <c r="V66" s="16">
        <f t="shared" si="17"/>
        <v>15.584612303009056</v>
      </c>
      <c r="W66" s="16">
        <f t="shared" si="18"/>
        <v>5.3817195257039527</v>
      </c>
      <c r="X66" s="16">
        <f t="shared" si="19"/>
        <v>9.0393047289506754</v>
      </c>
      <c r="Y66" s="16">
        <f t="shared" si="20"/>
        <v>5.7865674149774788</v>
      </c>
      <c r="Z66">
        <v>1.1499999999999999</v>
      </c>
      <c r="AB66">
        <f t="shared" si="21"/>
        <v>10.395200438293276</v>
      </c>
      <c r="AD66" s="7">
        <v>0</v>
      </c>
      <c r="AE66">
        <v>0</v>
      </c>
      <c r="AF66">
        <v>0</v>
      </c>
      <c r="AG66">
        <f t="shared" si="36"/>
        <v>0</v>
      </c>
      <c r="AH66" s="71">
        <f t="shared" si="37"/>
        <v>1</v>
      </c>
      <c r="AI66">
        <f t="shared" si="38"/>
        <v>10.395200438293276</v>
      </c>
      <c r="AJ66">
        <f t="shared" si="39"/>
        <v>66.604799561706727</v>
      </c>
      <c r="AK66" s="2">
        <f t="shared" si="28"/>
        <v>10.395200438293273</v>
      </c>
    </row>
    <row r="67" spans="1:38" ht="15.6">
      <c r="A67" s="1">
        <v>44253</v>
      </c>
      <c r="B67" s="13">
        <f t="shared" si="23"/>
        <v>57</v>
      </c>
      <c r="C67" s="13">
        <f t="shared" si="4"/>
        <v>26</v>
      </c>
      <c r="D67" s="14">
        <v>36</v>
      </c>
      <c r="E67" s="14">
        <v>16</v>
      </c>
      <c r="F67" s="14">
        <v>42</v>
      </c>
      <c r="G67" s="14">
        <v>6</v>
      </c>
      <c r="H67" s="15">
        <v>9.1999999999999993</v>
      </c>
      <c r="I67" s="16">
        <f>4098*(0.6108*EXP(17.27*Tomato!C67/(Tomato!C67+237.3)))/(Tomato!C67+237.3)^2</f>
        <v>0.19869895242110683</v>
      </c>
      <c r="J67" s="16">
        <f t="shared" si="5"/>
        <v>0.40347335242110682</v>
      </c>
      <c r="K67" s="16">
        <f t="shared" si="6"/>
        <v>5.9409977016273503</v>
      </c>
      <c r="L67" s="16">
        <f t="shared" si="7"/>
        <v>1.8182866804855506</v>
      </c>
      <c r="M67" s="16">
        <f t="shared" si="8"/>
        <v>3.8796421910564503</v>
      </c>
      <c r="N67" s="16">
        <f t="shared" si="9"/>
        <v>1.629449720243709</v>
      </c>
      <c r="O67" s="16">
        <f t="shared" si="10"/>
        <v>-0.16276397756429417</v>
      </c>
      <c r="P67" s="16">
        <f t="shared" si="11"/>
        <v>1.0183622170048303</v>
      </c>
      <c r="Q67" s="16">
        <f t="shared" si="12"/>
        <v>1.5025258105189663</v>
      </c>
      <c r="R67" s="16">
        <f t="shared" si="13"/>
        <v>31.239810022141519</v>
      </c>
      <c r="S67" s="16">
        <f t="shared" si="14"/>
        <v>11.484273710972991</v>
      </c>
      <c r="T67" s="16">
        <f t="shared" si="15"/>
        <v>20.322988133077555</v>
      </c>
      <c r="U67" s="16">
        <f t="shared" si="16"/>
        <v>23.462971715229607</v>
      </c>
      <c r="V67" s="16">
        <f t="shared" si="17"/>
        <v>15.648700862469717</v>
      </c>
      <c r="W67" s="16">
        <f t="shared" si="18"/>
        <v>5.2245249808818084</v>
      </c>
      <c r="X67" s="16">
        <f t="shared" si="19"/>
        <v>8.87919227630106</v>
      </c>
      <c r="Y67" s="16">
        <f t="shared" si="20"/>
        <v>5.7422948911461686</v>
      </c>
      <c r="Z67">
        <v>1.1499999999999999</v>
      </c>
      <c r="AB67">
        <f t="shared" si="21"/>
        <v>10.211071117746219</v>
      </c>
      <c r="AD67" s="8">
        <v>0</v>
      </c>
      <c r="AE67">
        <v>0</v>
      </c>
      <c r="AF67">
        <v>0</v>
      </c>
      <c r="AG67">
        <f t="shared" si="36"/>
        <v>0</v>
      </c>
      <c r="AH67" s="71">
        <f t="shared" si="37"/>
        <v>1</v>
      </c>
      <c r="AI67">
        <f t="shared" si="38"/>
        <v>10.211071117746219</v>
      </c>
      <c r="AJ67">
        <f t="shared" si="39"/>
        <v>56.393728443960512</v>
      </c>
      <c r="AK67" s="2">
        <f t="shared" si="28"/>
        <v>20.606271556039488</v>
      </c>
    </row>
    <row r="68" spans="1:38" ht="15.6">
      <c r="A68" s="1">
        <v>44254</v>
      </c>
      <c r="B68" s="13">
        <f t="shared" si="23"/>
        <v>58</v>
      </c>
      <c r="C68" s="13">
        <f t="shared" si="4"/>
        <v>27.25</v>
      </c>
      <c r="D68" s="14">
        <v>36.200000000000003</v>
      </c>
      <c r="E68" s="14">
        <v>18.3</v>
      </c>
      <c r="F68" s="14">
        <v>33</v>
      </c>
      <c r="G68" s="14">
        <v>6</v>
      </c>
      <c r="H68" s="15">
        <v>9</v>
      </c>
      <c r="I68" s="16">
        <f>4098*(0.6108*EXP(17.27*Tomato!C68/(Tomato!C68+237.3)))/(Tomato!C68+237.3)^2</f>
        <v>0.21184640181521044</v>
      </c>
      <c r="J68" s="16">
        <f t="shared" si="5"/>
        <v>0.41662080181521044</v>
      </c>
      <c r="K68" s="16">
        <f t="shared" si="6"/>
        <v>6.0065013919942043</v>
      </c>
      <c r="L68" s="16">
        <f t="shared" si="7"/>
        <v>2.1032450848446573</v>
      </c>
      <c r="M68" s="16">
        <f t="shared" si="8"/>
        <v>4.0548732384194306</v>
      </c>
      <c r="N68" s="16">
        <f t="shared" si="9"/>
        <v>1.3381081686784122</v>
      </c>
      <c r="O68" s="16">
        <f t="shared" si="10"/>
        <v>-0.15628439189518159</v>
      </c>
      <c r="P68" s="16">
        <f t="shared" si="11"/>
        <v>1.0178877568317068</v>
      </c>
      <c r="Q68" s="16">
        <f t="shared" si="12"/>
        <v>1.5052933816357956</v>
      </c>
      <c r="R68" s="16">
        <f t="shared" si="13"/>
        <v>31.402835779099416</v>
      </c>
      <c r="S68" s="16">
        <f t="shared" si="14"/>
        <v>11.505427120783152</v>
      </c>
      <c r="T68" s="16">
        <f t="shared" si="15"/>
        <v>20.132978826844951</v>
      </c>
      <c r="U68" s="16">
        <f t="shared" si="16"/>
        <v>23.585413840250407</v>
      </c>
      <c r="V68" s="16">
        <f t="shared" si="17"/>
        <v>15.502393696670612</v>
      </c>
      <c r="W68" s="16">
        <f t="shared" si="18"/>
        <v>5.7353372069949868</v>
      </c>
      <c r="X68" s="16">
        <f t="shared" si="19"/>
        <v>9.9262441903553444</v>
      </c>
      <c r="Y68" s="16">
        <f t="shared" si="20"/>
        <v>5.6166605557091049</v>
      </c>
      <c r="Z68">
        <v>1.1499999999999999</v>
      </c>
      <c r="AB68">
        <f t="shared" si="21"/>
        <v>11.415180818908645</v>
      </c>
      <c r="AD68" s="8">
        <v>0</v>
      </c>
      <c r="AE68">
        <v>0</v>
      </c>
      <c r="AF68">
        <v>0</v>
      </c>
      <c r="AG68">
        <f t="shared" si="36"/>
        <v>0</v>
      </c>
      <c r="AH68" s="71">
        <f t="shared" si="37"/>
        <v>0.91548260460974851</v>
      </c>
      <c r="AI68">
        <f t="shared" si="38"/>
        <v>10.450399468185729</v>
      </c>
      <c r="AJ68">
        <f t="shared" si="39"/>
        <v>45.943328975774783</v>
      </c>
      <c r="AK68" s="2">
        <f t="shared" si="28"/>
        <v>31.056671024225217</v>
      </c>
    </row>
    <row r="69" spans="1:38" ht="15.6">
      <c r="A69" s="1">
        <v>44255</v>
      </c>
      <c r="B69" s="13">
        <f t="shared" si="23"/>
        <v>59</v>
      </c>
      <c r="C69" s="13">
        <f t="shared" si="4"/>
        <v>27.3</v>
      </c>
      <c r="D69" s="14">
        <v>36.5</v>
      </c>
      <c r="E69" s="14">
        <v>18.100000000000001</v>
      </c>
      <c r="F69" s="14">
        <v>31</v>
      </c>
      <c r="G69" s="14">
        <v>6</v>
      </c>
      <c r="H69" s="15">
        <v>8.6999999999999993</v>
      </c>
      <c r="I69" s="16">
        <f>4098*(0.6108*EXP(17.27*Tomato!C69/(Tomato!C69+237.3)))/(Tomato!C69+237.3)^2</f>
        <v>0.21238715151384185</v>
      </c>
      <c r="J69" s="16">
        <f t="shared" si="5"/>
        <v>0.41716155151384188</v>
      </c>
      <c r="K69" s="16">
        <f t="shared" si="6"/>
        <v>6.1059301791053064</v>
      </c>
      <c r="L69" s="16">
        <f t="shared" si="7"/>
        <v>2.0770026187312354</v>
      </c>
      <c r="M69" s="16">
        <f t="shared" si="8"/>
        <v>4.0914663989182714</v>
      </c>
      <c r="N69" s="16">
        <f t="shared" si="9"/>
        <v>1.2683545836646641</v>
      </c>
      <c r="O69" s="16">
        <f t="shared" si="10"/>
        <v>-0.14975854272963399</v>
      </c>
      <c r="P69" s="16">
        <f t="shared" si="11"/>
        <v>1.0174080015029738</v>
      </c>
      <c r="Q69" s="16">
        <f t="shared" si="12"/>
        <v>1.5080745011341217</v>
      </c>
      <c r="R69" s="16">
        <f t="shared" si="13"/>
        <v>31.565736033806893</v>
      </c>
      <c r="S69" s="16">
        <f t="shared" si="14"/>
        <v>11.526684085101566</v>
      </c>
      <c r="T69" s="16">
        <f t="shared" si="15"/>
        <v>19.803875672792703</v>
      </c>
      <c r="U69" s="16">
        <f t="shared" si="16"/>
        <v>23.707761705551004</v>
      </c>
      <c r="V69" s="16">
        <f t="shared" si="17"/>
        <v>15.248984268050382</v>
      </c>
      <c r="W69" s="16">
        <f t="shared" si="18"/>
        <v>5.6979119699994616</v>
      </c>
      <c r="X69" s="16">
        <f t="shared" si="19"/>
        <v>10.181152283349109</v>
      </c>
      <c r="Y69" s="16">
        <f t="shared" si="20"/>
        <v>5.7304585160304411</v>
      </c>
      <c r="Z69">
        <v>1.1499999999999999</v>
      </c>
      <c r="AB69">
        <f t="shared" si="21"/>
        <v>11.708325125851474</v>
      </c>
      <c r="AD69" s="8">
        <v>0</v>
      </c>
      <c r="AE69">
        <v>0</v>
      </c>
      <c r="AF69">
        <v>0</v>
      </c>
      <c r="AG69">
        <f t="shared" si="36"/>
        <v>0</v>
      </c>
      <c r="AH69" s="71">
        <f t="shared" si="37"/>
        <v>0.74583326259374649</v>
      </c>
      <c r="AI69">
        <f t="shared" si="38"/>
        <v>8.7324583281221422</v>
      </c>
      <c r="AJ69">
        <f t="shared" si="39"/>
        <v>37.210870647652641</v>
      </c>
      <c r="AK69" s="2">
        <f t="shared" si="28"/>
        <v>39.789129352347359</v>
      </c>
    </row>
    <row r="70" spans="1:38" ht="15.6">
      <c r="A70" s="1">
        <v>44256</v>
      </c>
      <c r="B70" s="13">
        <f t="shared" si="23"/>
        <v>60</v>
      </c>
      <c r="C70" s="13">
        <f t="shared" si="4"/>
        <v>26.9</v>
      </c>
      <c r="D70" s="14">
        <v>35.799999999999997</v>
      </c>
      <c r="E70" s="14">
        <v>18</v>
      </c>
      <c r="F70" s="14">
        <v>51</v>
      </c>
      <c r="G70" s="14">
        <v>8</v>
      </c>
      <c r="H70" s="15">
        <v>8</v>
      </c>
      <c r="I70" s="16">
        <f>4098*(0.6108*EXP(17.27*Tomato!C70/(Tomato!C70+237.3)))/(Tomato!C70+237.3)^2</f>
        <v>0.20809346882072433</v>
      </c>
      <c r="J70" s="16">
        <f t="shared" si="5"/>
        <v>0.45867266882072433</v>
      </c>
      <c r="K70" s="16">
        <f t="shared" si="6"/>
        <v>5.8761139848648147</v>
      </c>
      <c r="L70" s="16">
        <f t="shared" si="7"/>
        <v>2.0639892026604851</v>
      </c>
      <c r="M70" s="16">
        <f t="shared" si="8"/>
        <v>3.9700515937626499</v>
      </c>
      <c r="N70" s="16">
        <f t="shared" si="9"/>
        <v>2.0247263128189514</v>
      </c>
      <c r="O70" s="16">
        <f t="shared" si="10"/>
        <v>-0.14318836185748637</v>
      </c>
      <c r="P70" s="16">
        <f t="shared" si="11"/>
        <v>1.0169230930363895</v>
      </c>
      <c r="Q70" s="16">
        <f t="shared" si="12"/>
        <v>1.5108684973225086</v>
      </c>
      <c r="R70" s="16">
        <f t="shared" si="13"/>
        <v>31.72842886370622</v>
      </c>
      <c r="S70" s="16">
        <f t="shared" si="14"/>
        <v>11.548039469980958</v>
      </c>
      <c r="T70" s="16">
        <f t="shared" si="15"/>
        <v>18.922173173419701</v>
      </c>
      <c r="U70" s="16">
        <f t="shared" si="16"/>
        <v>23.829953782375192</v>
      </c>
      <c r="V70" s="16">
        <f t="shared" si="17"/>
        <v>14.570073343533171</v>
      </c>
      <c r="W70" s="16">
        <f t="shared" si="18"/>
        <v>4.0613496157373135</v>
      </c>
      <c r="X70" s="16">
        <f t="shared" si="19"/>
        <v>8.8039961102300026</v>
      </c>
      <c r="Y70" s="16">
        <f t="shared" si="20"/>
        <v>5.6150559819613148</v>
      </c>
      <c r="Z70">
        <v>1.1499999999999999</v>
      </c>
      <c r="AB70">
        <f t="shared" si="21"/>
        <v>10.124595526764502</v>
      </c>
      <c r="AD70" s="10">
        <v>0</v>
      </c>
      <c r="AE70">
        <v>0</v>
      </c>
      <c r="AF70">
        <v>0</v>
      </c>
      <c r="AG70">
        <f t="shared" si="36"/>
        <v>45.905119847578469</v>
      </c>
      <c r="AH70" s="71">
        <f t="shared" si="37"/>
        <v>0.60407257544890647</v>
      </c>
      <c r="AI70">
        <f t="shared" si="38"/>
        <v>6.1159904952311104</v>
      </c>
      <c r="AJ70">
        <f t="shared" si="39"/>
        <v>77</v>
      </c>
      <c r="AK70" s="2">
        <f t="shared" si="28"/>
        <v>0</v>
      </c>
      <c r="AL70" t="s">
        <v>2</v>
      </c>
    </row>
    <row r="71" spans="1:38" ht="15.6">
      <c r="A71" s="1">
        <v>44257</v>
      </c>
      <c r="B71" s="13">
        <f t="shared" si="23"/>
        <v>61</v>
      </c>
      <c r="C71" s="13">
        <f t="shared" si="4"/>
        <v>27.4</v>
      </c>
      <c r="D71" s="14">
        <v>35.799999999999997</v>
      </c>
      <c r="E71" s="14">
        <v>19</v>
      </c>
      <c r="F71" s="14">
        <v>48</v>
      </c>
      <c r="G71" s="14">
        <v>6</v>
      </c>
      <c r="H71" s="15">
        <v>7.7</v>
      </c>
      <c r="I71" s="16">
        <f>4098*(0.6108*EXP(17.27*Tomato!C71/(Tomato!C71+237.3)))/(Tomato!C71+237.3)^2</f>
        <v>0.21347213281933025</v>
      </c>
      <c r="J71" s="16">
        <f t="shared" si="5"/>
        <v>0.41824653281933027</v>
      </c>
      <c r="K71" s="16">
        <f t="shared" si="6"/>
        <v>5.8761139848648147</v>
      </c>
      <c r="L71" s="16">
        <f t="shared" si="7"/>
        <v>2.1973933238855259</v>
      </c>
      <c r="M71" s="16">
        <f t="shared" si="8"/>
        <v>4.0367536543751701</v>
      </c>
      <c r="N71" s="16">
        <f t="shared" si="9"/>
        <v>1.9376417541000817</v>
      </c>
      <c r="O71" s="16">
        <f t="shared" si="10"/>
        <v>-0.13657579419169927</v>
      </c>
      <c r="P71" s="16">
        <f t="shared" si="11"/>
        <v>1.0164331749751496</v>
      </c>
      <c r="Q71" s="16">
        <f t="shared" si="12"/>
        <v>1.5136747081439836</v>
      </c>
      <c r="R71" s="16">
        <f t="shared" si="13"/>
        <v>31.890833166651845</v>
      </c>
      <c r="S71" s="16">
        <f t="shared" si="14"/>
        <v>11.569488215113251</v>
      </c>
      <c r="T71" s="16">
        <f t="shared" si="15"/>
        <v>18.585079851125911</v>
      </c>
      <c r="U71" s="16">
        <f t="shared" si="16"/>
        <v>23.951929158145532</v>
      </c>
      <c r="V71" s="16">
        <f t="shared" si="17"/>
        <v>14.310511485366952</v>
      </c>
      <c r="W71" s="16">
        <f t="shared" si="18"/>
        <v>4.069094604647046</v>
      </c>
      <c r="X71" s="16">
        <f t="shared" si="19"/>
        <v>8.2098351964193856</v>
      </c>
      <c r="Y71" s="16">
        <f t="shared" si="20"/>
        <v>5.544302790933096</v>
      </c>
      <c r="Z71">
        <v>1.1499999999999999</v>
      </c>
      <c r="AB71">
        <f t="shared" si="21"/>
        <v>9.4413104758822932</v>
      </c>
      <c r="AD71" s="10">
        <v>0</v>
      </c>
      <c r="AE71">
        <v>0</v>
      </c>
      <c r="AF71">
        <v>0</v>
      </c>
      <c r="AG71">
        <f t="shared" si="36"/>
        <v>0</v>
      </c>
      <c r="AH71" s="71">
        <f t="shared" si="37"/>
        <v>1</v>
      </c>
      <c r="AI71">
        <f t="shared" si="38"/>
        <v>9.4413104758822932</v>
      </c>
      <c r="AJ71">
        <f t="shared" si="39"/>
        <v>67.55868952411771</v>
      </c>
      <c r="AK71" s="2">
        <f t="shared" si="28"/>
        <v>9.4413104758822897</v>
      </c>
    </row>
    <row r="72" spans="1:38" ht="15.6">
      <c r="A72" s="1">
        <v>44258</v>
      </c>
      <c r="B72" s="13">
        <f t="shared" si="23"/>
        <v>62</v>
      </c>
      <c r="C72" s="13">
        <f t="shared" si="4"/>
        <v>25.45</v>
      </c>
      <c r="D72" s="14">
        <v>32.4</v>
      </c>
      <c r="E72" s="14">
        <v>18.5</v>
      </c>
      <c r="F72" s="14">
        <v>43</v>
      </c>
      <c r="G72" s="14">
        <v>8</v>
      </c>
      <c r="H72" s="15">
        <v>8.5</v>
      </c>
      <c r="I72" s="16">
        <f>4098*(0.6108*EXP(17.27*Tomato!C72/(Tomato!C72+237.3)))/(Tomato!C72+237.3)^2</f>
        <v>0.19313557107365051</v>
      </c>
      <c r="J72" s="16">
        <f t="shared" si="5"/>
        <v>0.44371477107365054</v>
      </c>
      <c r="K72" s="16">
        <f t="shared" si="6"/>
        <v>4.8633111980528723</v>
      </c>
      <c r="L72" s="16">
        <f t="shared" si="7"/>
        <v>2.1297773032821605</v>
      </c>
      <c r="M72" s="16">
        <f t="shared" si="8"/>
        <v>3.4965442506675162</v>
      </c>
      <c r="N72" s="16">
        <f t="shared" si="9"/>
        <v>1.503514027787032</v>
      </c>
      <c r="O72" s="16">
        <f t="shared" si="10"/>
        <v>-0.12992279719262398</v>
      </c>
      <c r="P72" s="16">
        <f t="shared" si="11"/>
        <v>1.0159383923453968</v>
      </c>
      <c r="Q72" s="16">
        <f t="shared" si="12"/>
        <v>1.5164924809086429</v>
      </c>
      <c r="R72" s="16">
        <f t="shared" si="13"/>
        <v>32.052868736803184</v>
      </c>
      <c r="S72" s="16">
        <f t="shared" si="14"/>
        <v>11.591025331785806</v>
      </c>
      <c r="T72" s="16">
        <f t="shared" si="15"/>
        <v>19.765817858607711</v>
      </c>
      <c r="U72" s="16">
        <f t="shared" si="16"/>
        <v>24.073627593463399</v>
      </c>
      <c r="V72" s="16">
        <f t="shared" si="17"/>
        <v>15.219679751127938</v>
      </c>
      <c r="W72" s="16">
        <f t="shared" si="18"/>
        <v>4.9931745526417073</v>
      </c>
      <c r="X72" s="16">
        <f t="shared" si="19"/>
        <v>9.1152869989563481</v>
      </c>
      <c r="Y72" s="16">
        <f t="shared" si="20"/>
        <v>4.8500745712703566</v>
      </c>
      <c r="Z72">
        <v>1.1499999999999999</v>
      </c>
      <c r="AB72">
        <f t="shared" si="21"/>
        <v>10.4825800487998</v>
      </c>
      <c r="AD72" s="10">
        <v>0</v>
      </c>
      <c r="AE72">
        <v>0</v>
      </c>
      <c r="AF72">
        <v>0</v>
      </c>
      <c r="AG72">
        <f t="shared" si="36"/>
        <v>0</v>
      </c>
      <c r="AH72" s="71">
        <f t="shared" si="37"/>
        <v>1</v>
      </c>
      <c r="AI72">
        <f t="shared" si="38"/>
        <v>10.4825800487998</v>
      </c>
      <c r="AJ72">
        <f t="shared" si="39"/>
        <v>57.076109475317907</v>
      </c>
      <c r="AK72" s="2">
        <f t="shared" si="28"/>
        <v>19.923890524682093</v>
      </c>
    </row>
    <row r="73" spans="1:38" ht="15.6">
      <c r="A73" s="1">
        <v>44259</v>
      </c>
      <c r="B73" s="13">
        <f t="shared" si="23"/>
        <v>63</v>
      </c>
      <c r="C73" s="13">
        <f t="shared" si="4"/>
        <v>24.7</v>
      </c>
      <c r="D73" s="14">
        <v>34</v>
      </c>
      <c r="E73" s="14">
        <v>15.4</v>
      </c>
      <c r="F73" s="14">
        <v>47</v>
      </c>
      <c r="G73" s="14">
        <v>7</v>
      </c>
      <c r="H73" s="15">
        <v>8.1999999999999993</v>
      </c>
      <c r="I73" s="16">
        <f>4098*(0.6108*EXP(17.27*Tomato!C73/(Tomato!C73+237.3)))/(Tomato!C73+237.3)^2</f>
        <v>0.18576099026505449</v>
      </c>
      <c r="J73" s="16">
        <f t="shared" si="5"/>
        <v>0.41343779026505456</v>
      </c>
      <c r="K73" s="16">
        <f t="shared" si="6"/>
        <v>5.3192602098598769</v>
      </c>
      <c r="L73" s="16">
        <f t="shared" si="7"/>
        <v>1.7497618068909833</v>
      </c>
      <c r="M73" s="16">
        <f t="shared" si="8"/>
        <v>3.5345110083754303</v>
      </c>
      <c r="N73" s="16">
        <f t="shared" si="9"/>
        <v>1.661220173936452</v>
      </c>
      <c r="O73" s="16">
        <f t="shared" si="10"/>
        <v>-0.12323134028855193</v>
      </c>
      <c r="P73" s="16">
        <f t="shared" si="11"/>
        <v>1.015438891613289</v>
      </c>
      <c r="Q73" s="16">
        <f t="shared" si="12"/>
        <v>1.5193211720008852</v>
      </c>
      <c r="R73" s="16">
        <f t="shared" si="13"/>
        <v>32.214456339563796</v>
      </c>
      <c r="S73" s="16">
        <f t="shared" si="14"/>
        <v>11.612645900643709</v>
      </c>
      <c r="T73" s="16">
        <f t="shared" si="15"/>
        <v>19.427358890533405</v>
      </c>
      <c r="U73" s="16">
        <f t="shared" si="16"/>
        <v>24.194989578392782</v>
      </c>
      <c r="V73" s="16">
        <f t="shared" si="17"/>
        <v>14.959066345710722</v>
      </c>
      <c r="W73" s="16">
        <f t="shared" si="18"/>
        <v>4.5461461925754438</v>
      </c>
      <c r="X73" s="16">
        <f t="shared" si="19"/>
        <v>8.3677770742715634</v>
      </c>
      <c r="Y73" s="16">
        <f t="shared" si="20"/>
        <v>5.5409497002767312</v>
      </c>
      <c r="Z73">
        <v>1.1499999999999999</v>
      </c>
      <c r="AB73">
        <f t="shared" si="21"/>
        <v>9.6229436354122964</v>
      </c>
      <c r="AD73" s="10">
        <v>0</v>
      </c>
      <c r="AE73">
        <v>0</v>
      </c>
      <c r="AF73">
        <v>0</v>
      </c>
      <c r="AG73">
        <f t="shared" si="36"/>
        <v>0</v>
      </c>
      <c r="AH73" s="71">
        <f t="shared" si="37"/>
        <v>0.92656021875516081</v>
      </c>
      <c r="AI73">
        <f t="shared" si="38"/>
        <v>8.9162367598961989</v>
      </c>
      <c r="AJ73">
        <f t="shared" si="39"/>
        <v>48.159872715421706</v>
      </c>
      <c r="AK73" s="2">
        <f t="shared" si="28"/>
        <v>28.840127284578294</v>
      </c>
    </row>
    <row r="74" spans="1:38" ht="15.6">
      <c r="A74" s="1">
        <v>44260</v>
      </c>
      <c r="B74" s="13">
        <f t="shared" si="23"/>
        <v>64</v>
      </c>
      <c r="C74" s="13">
        <f t="shared" si="4"/>
        <v>27.2</v>
      </c>
      <c r="D74" s="14">
        <v>34.4</v>
      </c>
      <c r="E74" s="14">
        <v>20</v>
      </c>
      <c r="F74" s="14">
        <v>59</v>
      </c>
      <c r="G74" s="14">
        <v>8</v>
      </c>
      <c r="H74" s="15">
        <v>8</v>
      </c>
      <c r="I74" s="16">
        <f>4098*(0.6108*EXP(17.27*Tomato!C74/(Tomato!C74+237.3)))/(Tomato!C74+237.3)^2</f>
        <v>0.21130681013503458</v>
      </c>
      <c r="J74" s="16">
        <f t="shared" si="5"/>
        <v>0.46188601013503461</v>
      </c>
      <c r="K74" s="16">
        <f t="shared" si="6"/>
        <v>5.4388791379242765</v>
      </c>
      <c r="L74" s="16">
        <f t="shared" si="7"/>
        <v>2.3382812709274461</v>
      </c>
      <c r="M74" s="16">
        <f t="shared" si="8"/>
        <v>3.8885802044258613</v>
      </c>
      <c r="N74" s="16">
        <f t="shared" si="9"/>
        <v>2.2942623206112582</v>
      </c>
      <c r="O74" s="16">
        <f t="shared" si="10"/>
        <v>-0.11650340429272316</v>
      </c>
      <c r="P74" s="16">
        <f t="shared" si="11"/>
        <v>1.0149348206416426</v>
      </c>
      <c r="Q74" s="16">
        <f t="shared" si="12"/>
        <v>1.5221601465626349</v>
      </c>
      <c r="R74" s="16">
        <f t="shared" si="13"/>
        <v>32.375517785433388</v>
      </c>
      <c r="S74" s="16">
        <f t="shared" si="14"/>
        <v>11.634345069268546</v>
      </c>
      <c r="T74" s="16">
        <f t="shared" si="15"/>
        <v>19.224894589084844</v>
      </c>
      <c r="U74" s="16">
        <f t="shared" si="16"/>
        <v>24.315956387927599</v>
      </c>
      <c r="V74" s="16">
        <f t="shared" si="17"/>
        <v>14.803168833595331</v>
      </c>
      <c r="W74" s="16">
        <f t="shared" si="18"/>
        <v>3.6751674915354076</v>
      </c>
      <c r="X74" s="16">
        <f t="shared" si="19"/>
        <v>7.6536227668396082</v>
      </c>
      <c r="Y74" s="16">
        <f t="shared" si="20"/>
        <v>5.187982253160472</v>
      </c>
      <c r="Z74">
        <v>1.1499999999999999</v>
      </c>
      <c r="AB74">
        <f t="shared" si="21"/>
        <v>8.8016661818655493</v>
      </c>
      <c r="AD74" s="10">
        <v>0</v>
      </c>
      <c r="AE74">
        <v>0</v>
      </c>
      <c r="AF74">
        <v>0</v>
      </c>
      <c r="AG74">
        <f t="shared" si="36"/>
        <v>0</v>
      </c>
      <c r="AH74" s="71">
        <f t="shared" si="37"/>
        <v>0.78181611551009256</v>
      </c>
      <c r="AI74">
        <f t="shared" si="38"/>
        <v>6.8812844643226718</v>
      </c>
      <c r="AJ74">
        <f t="shared" si="39"/>
        <v>41.278588251099038</v>
      </c>
      <c r="AK74" s="2">
        <f t="shared" si="28"/>
        <v>35.721411748900962</v>
      </c>
    </row>
    <row r="75" spans="1:38" ht="15.6">
      <c r="A75" s="1">
        <v>44261</v>
      </c>
      <c r="B75" s="13">
        <f t="shared" si="23"/>
        <v>65</v>
      </c>
      <c r="C75" s="13">
        <f t="shared" si="4"/>
        <v>26.1</v>
      </c>
      <c r="D75" s="14">
        <v>36</v>
      </c>
      <c r="E75" s="14">
        <v>16.2</v>
      </c>
      <c r="F75" s="14">
        <v>39</v>
      </c>
      <c r="G75" s="14">
        <v>8</v>
      </c>
      <c r="H75" s="15">
        <v>8.5</v>
      </c>
      <c r="I75" s="16">
        <f>4098*(0.6108*EXP(17.27*Tomato!C75/(Tomato!C75+237.3)))/(Tomato!C75+237.3)^2</f>
        <v>0.1997248282483387</v>
      </c>
      <c r="J75" s="16">
        <f t="shared" si="5"/>
        <v>0.45030402824833871</v>
      </c>
      <c r="K75" s="16">
        <f t="shared" si="6"/>
        <v>5.9409977016273503</v>
      </c>
      <c r="L75" s="16">
        <f t="shared" si="7"/>
        <v>1.841645130417793</v>
      </c>
      <c r="M75" s="16">
        <f t="shared" si="8"/>
        <v>3.8913214160225715</v>
      </c>
      <c r="N75" s="16">
        <f t="shared" si="9"/>
        <v>1.517615352248803</v>
      </c>
      <c r="O75" s="16">
        <f t="shared" si="10"/>
        <v>-0.1097409808169625</v>
      </c>
      <c r="P75" s="16">
        <f t="shared" si="11"/>
        <v>1.0144263286461619</v>
      </c>
      <c r="Q75" s="16">
        <f t="shared" si="12"/>
        <v>1.5250087781539141</v>
      </c>
      <c r="R75" s="16">
        <f t="shared" si="13"/>
        <v>32.53597600264002</v>
      </c>
      <c r="S75" s="16">
        <f t="shared" si="14"/>
        <v>11.656118049584057</v>
      </c>
      <c r="T75" s="16">
        <f t="shared" si="15"/>
        <v>19.997111500242507</v>
      </c>
      <c r="U75" s="16">
        <f t="shared" si="16"/>
        <v>24.436470136542813</v>
      </c>
      <c r="V75" s="16">
        <f t="shared" si="17"/>
        <v>15.397775855186731</v>
      </c>
      <c r="W75" s="16">
        <f t="shared" si="18"/>
        <v>5.0049288718662357</v>
      </c>
      <c r="X75" s="16">
        <f t="shared" si="19"/>
        <v>10.428209187083269</v>
      </c>
      <c r="Y75" s="16">
        <f t="shared" si="20"/>
        <v>5.9641554384487634</v>
      </c>
      <c r="Z75">
        <v>1.1499999999999999</v>
      </c>
      <c r="AB75">
        <f t="shared" si="21"/>
        <v>11.992440565145758</v>
      </c>
      <c r="AD75" s="10">
        <v>0</v>
      </c>
      <c r="AE75">
        <v>0</v>
      </c>
      <c r="AF75">
        <v>0</v>
      </c>
      <c r="AG75">
        <f t="shared" si="36"/>
        <v>0</v>
      </c>
      <c r="AH75" s="71">
        <f t="shared" si="37"/>
        <v>0.67010695212823113</v>
      </c>
      <c r="AI75">
        <f t="shared" si="38"/>
        <v>8.0362177956887848</v>
      </c>
      <c r="AJ75">
        <f t="shared" si="39"/>
        <v>33.242370455410253</v>
      </c>
      <c r="AK75" s="2">
        <f t="shared" si="28"/>
        <v>43.757629544589747</v>
      </c>
    </row>
    <row r="76" spans="1:38" ht="15.6">
      <c r="A76" s="1">
        <v>44262</v>
      </c>
      <c r="B76" s="13">
        <f t="shared" si="23"/>
        <v>66</v>
      </c>
      <c r="C76" s="13">
        <f t="shared" ref="C76:C130" si="40">(D76+E76)/2</f>
        <v>25.75</v>
      </c>
      <c r="D76" s="14">
        <v>35</v>
      </c>
      <c r="E76" s="14">
        <v>16.5</v>
      </c>
      <c r="F76" s="14">
        <v>39</v>
      </c>
      <c r="G76" s="14">
        <v>6</v>
      </c>
      <c r="H76" s="15">
        <v>9</v>
      </c>
      <c r="I76" s="16">
        <f>4098*(0.6108*EXP(17.27*Tomato!C76/(Tomato!C76+237.3)))/(Tomato!C76+237.3)^2</f>
        <v>0.19615364917180653</v>
      </c>
      <c r="J76" s="16">
        <f t="shared" ref="J76:J130" si="41">I76+0.06736*(1+0.34*G76)</f>
        <v>0.40092804917180658</v>
      </c>
      <c r="K76" s="16">
        <f t="shared" ref="K76:K130" si="42">0.6108*EXP(17.27*D76/(D76+237.3))</f>
        <v>5.6226812384961216</v>
      </c>
      <c r="L76" s="16">
        <f t="shared" ref="L76:L130" si="43">0.6108*EXP(17.27*E76/(E76+237.3))</f>
        <v>1.877175834096539</v>
      </c>
      <c r="M76" s="16">
        <f t="shared" ref="M76:M130" si="44">(K76+L76)/2</f>
        <v>3.7499285362963302</v>
      </c>
      <c r="N76" s="16">
        <f t="shared" ref="N76:N130" si="45">F76/100*((K76+L76)/2)</f>
        <v>1.4624721291555689</v>
      </c>
      <c r="O76" s="16">
        <f t="shared" ref="O76:O130" si="46">0.409*SIN(2*3.14*B76/365-1.39)</f>
        <v>-0.10294607168212071</v>
      </c>
      <c r="P76" s="16">
        <f t="shared" ref="P76:P130" si="47">1+0.033*COS(2*3.14*B76/365)</f>
        <v>1.0139135661512677</v>
      </c>
      <c r="Q76" s="16">
        <f t="shared" ref="Q76:Q130" si="48">ACOS(-TAN(22.57*3.14/180)*TAN(O76))</f>
        <v>1.5278664483921092</v>
      </c>
      <c r="R76" s="16">
        <f t="shared" ref="R76:R130" si="49">(Q76*SIN(3.14*22.57/180)*SIN(O76)+COS(3.14*22.57/180)*COS(O76)*SIN(Q76))*P76*0.082*24*60/3.14</f>
        <v>32.69575510842099</v>
      </c>
      <c r="S76" s="16">
        <f t="shared" ref="S76:S130" si="50">24/3.14*Q76</f>
        <v>11.677960115098923</v>
      </c>
      <c r="T76" s="16">
        <f t="shared" ref="T76:T130" si="51">(0.25+0.5*H76/S76)*R76</f>
        <v>20.772962625256838</v>
      </c>
      <c r="U76" s="16">
        <f t="shared" ref="U76:U130" si="52">(0.75+2*10^-5*53)*R76</f>
        <v>24.556473831730667</v>
      </c>
      <c r="V76" s="16">
        <f t="shared" ref="V76:V130" si="53">(1-0.23)*T76</f>
        <v>15.995181221447766</v>
      </c>
      <c r="W76" s="16">
        <f t="shared" ref="W76:W130" si="54">4.903*(10^-9)*((D76+273.16)^4+(E76+273.16)^4)/2*(0.34-(0.14*SQRT(N76)))*(1.35*T76/U76-0.35)</f>
        <v>5.3217737266933254</v>
      </c>
      <c r="X76" s="16">
        <f t="shared" ref="X76:X130" si="55">(0.408*I76*(V76-W76)+(0.06736*900/(C76+273)*G76*(M76-N76)))/J76</f>
        <v>9.077189507078522</v>
      </c>
      <c r="Y76" s="16">
        <f t="shared" ref="Y76:Y130" si="56">((0.0023*R76)*(C76+17.8)*(D76-E76)^0.5)*0.408</f>
        <v>5.7471614094549448</v>
      </c>
      <c r="Z76">
        <v>1.1499999999999999</v>
      </c>
      <c r="AB76">
        <f t="shared" ref="AB76:AB130" si="57">X76*Z76</f>
        <v>10.4387679331403</v>
      </c>
      <c r="AD76" s="10">
        <v>0</v>
      </c>
      <c r="AE76">
        <v>0</v>
      </c>
      <c r="AF76">
        <v>0</v>
      </c>
      <c r="AG76">
        <f t="shared" si="36"/>
        <v>49.39089887464668</v>
      </c>
      <c r="AH76" s="71">
        <f t="shared" si="37"/>
        <v>0.53964887102938719</v>
      </c>
      <c r="AI76">
        <f t="shared" si="38"/>
        <v>5.6332693300569323</v>
      </c>
      <c r="AJ76">
        <f t="shared" si="39"/>
        <v>77</v>
      </c>
      <c r="AK76" s="2">
        <f t="shared" si="28"/>
        <v>0</v>
      </c>
      <c r="AL76" t="s">
        <v>2</v>
      </c>
    </row>
    <row r="77" spans="1:38" ht="15.6">
      <c r="A77" s="1">
        <v>44263</v>
      </c>
      <c r="B77" s="13">
        <f t="shared" ref="B77:B130" si="58">1+B76</f>
        <v>67</v>
      </c>
      <c r="C77" s="13">
        <f t="shared" si="40"/>
        <v>26</v>
      </c>
      <c r="D77" s="14">
        <v>35</v>
      </c>
      <c r="E77" s="14">
        <v>17</v>
      </c>
      <c r="F77" s="14">
        <v>61</v>
      </c>
      <c r="G77" s="14">
        <v>6</v>
      </c>
      <c r="H77" s="15">
        <v>5.5</v>
      </c>
      <c r="I77" s="16">
        <f>4098*(0.6108*EXP(17.27*Tomato!C77/(Tomato!C77+237.3)))/(Tomato!C77+237.3)^2</f>
        <v>0.19869895242110683</v>
      </c>
      <c r="J77" s="16">
        <f t="shared" si="41"/>
        <v>0.40347335242110682</v>
      </c>
      <c r="K77" s="16">
        <f t="shared" si="42"/>
        <v>5.6226812384961216</v>
      </c>
      <c r="L77" s="16">
        <f t="shared" si="43"/>
        <v>1.9377293518704448</v>
      </c>
      <c r="M77" s="16">
        <f t="shared" si="44"/>
        <v>3.7802052951832832</v>
      </c>
      <c r="N77" s="16">
        <f t="shared" si="45"/>
        <v>2.3059252300618027</v>
      </c>
      <c r="O77" s="16">
        <f t="shared" si="46"/>
        <v>-9.6120688325493225E-2</v>
      </c>
      <c r="P77" s="16">
        <f t="shared" si="47"/>
        <v>1.01339668494554</v>
      </c>
      <c r="Q77" s="16">
        <f t="shared" si="48"/>
        <v>1.5307325465712585</v>
      </c>
      <c r="R77" s="16">
        <f t="shared" si="49"/>
        <v>32.854780478822811</v>
      </c>
      <c r="S77" s="16">
        <f t="shared" si="50"/>
        <v>11.699866597996881</v>
      </c>
      <c r="T77" s="16">
        <f t="shared" si="51"/>
        <v>15.936060632166464</v>
      </c>
      <c r="U77" s="16">
        <f t="shared" si="52"/>
        <v>24.675911426424658</v>
      </c>
      <c r="V77" s="16">
        <f t="shared" si="53"/>
        <v>12.270766686768178</v>
      </c>
      <c r="W77" s="16">
        <f t="shared" si="54"/>
        <v>2.6252104209343163</v>
      </c>
      <c r="X77" s="16">
        <f t="shared" si="55"/>
        <v>6.3832486625522007</v>
      </c>
      <c r="Y77" s="16">
        <f t="shared" si="56"/>
        <v>5.7292388990760275</v>
      </c>
      <c r="Z77">
        <v>1.1499999999999999</v>
      </c>
      <c r="AB77">
        <f t="shared" si="57"/>
        <v>7.3407359619350299</v>
      </c>
      <c r="AD77" s="10">
        <v>0</v>
      </c>
      <c r="AE77">
        <v>0</v>
      </c>
      <c r="AF77">
        <v>0</v>
      </c>
      <c r="AG77">
        <f t="shared" si="36"/>
        <v>0</v>
      </c>
      <c r="AH77" s="71">
        <f t="shared" si="37"/>
        <v>1</v>
      </c>
      <c r="AI77">
        <f t="shared" si="38"/>
        <v>7.3407359619350299</v>
      </c>
      <c r="AJ77">
        <f t="shared" si="39"/>
        <v>69.659264038064975</v>
      </c>
      <c r="AK77" s="2">
        <f t="shared" si="28"/>
        <v>7.3407359619350245</v>
      </c>
    </row>
    <row r="78" spans="1:38" ht="15.6">
      <c r="A78" s="1">
        <v>44264</v>
      </c>
      <c r="B78" s="13">
        <f t="shared" si="58"/>
        <v>68</v>
      </c>
      <c r="C78" s="13">
        <f t="shared" si="40"/>
        <v>25.5</v>
      </c>
      <c r="D78" s="14">
        <v>34</v>
      </c>
      <c r="E78" s="14">
        <v>17</v>
      </c>
      <c r="F78" s="14">
        <v>73</v>
      </c>
      <c r="G78" s="14">
        <v>9</v>
      </c>
      <c r="H78" s="15">
        <v>4.5</v>
      </c>
      <c r="I78" s="16">
        <f>4098*(0.6108*EXP(17.27*Tomato!C78/(Tomato!C78+237.3)))/(Tomato!C78+237.3)^2</f>
        <v>0.19363585091694491</v>
      </c>
      <c r="J78" s="16">
        <f t="shared" si="41"/>
        <v>0.46711745091694495</v>
      </c>
      <c r="K78" s="16">
        <f t="shared" si="42"/>
        <v>5.3192602098598769</v>
      </c>
      <c r="L78" s="16">
        <f t="shared" si="43"/>
        <v>1.9377293518704448</v>
      </c>
      <c r="M78" s="16">
        <f t="shared" si="44"/>
        <v>3.6284947808651609</v>
      </c>
      <c r="N78" s="16">
        <f t="shared" si="45"/>
        <v>2.6488011900315676</v>
      </c>
      <c r="O78" s="16">
        <f t="shared" si="46"/>
        <v>-8.9266851205391698E-2</v>
      </c>
      <c r="P78" s="16">
        <f t="shared" si="47"/>
        <v>1.0128758380367839</v>
      </c>
      <c r="Q78" s="16">
        <f t="shared" si="48"/>
        <v>1.5336064692626765</v>
      </c>
      <c r="R78" s="16">
        <f t="shared" si="49"/>
        <v>33.012978816892449</v>
      </c>
      <c r="S78" s="16">
        <f t="shared" si="50"/>
        <v>11.721832886084153</v>
      </c>
      <c r="T78" s="16">
        <f t="shared" si="51"/>
        <v>14.590069589876473</v>
      </c>
      <c r="U78" s="16">
        <f t="shared" si="52"/>
        <v>24.79472787021524</v>
      </c>
      <c r="V78" s="16">
        <f t="shared" si="53"/>
        <v>11.234353584204884</v>
      </c>
      <c r="W78" s="16">
        <f t="shared" si="54"/>
        <v>1.9535678450469085</v>
      </c>
      <c r="X78" s="16">
        <f t="shared" si="55"/>
        <v>5.4032576025944836</v>
      </c>
      <c r="Y78" s="16">
        <f t="shared" si="56"/>
        <v>5.5307632618167863</v>
      </c>
      <c r="Z78">
        <v>1.1499999999999999</v>
      </c>
      <c r="AB78">
        <f t="shared" si="57"/>
        <v>6.2137462429836559</v>
      </c>
      <c r="AD78" s="10">
        <v>0</v>
      </c>
      <c r="AE78">
        <v>0</v>
      </c>
      <c r="AF78">
        <v>0</v>
      </c>
      <c r="AG78">
        <f t="shared" si="36"/>
        <v>0</v>
      </c>
      <c r="AH78" s="71">
        <f t="shared" si="37"/>
        <v>1</v>
      </c>
      <c r="AI78">
        <f t="shared" si="38"/>
        <v>6.2137462429836559</v>
      </c>
      <c r="AJ78">
        <f t="shared" si="39"/>
        <v>63.445517795081322</v>
      </c>
      <c r="AK78" s="2">
        <f t="shared" si="28"/>
        <v>13.554482204918678</v>
      </c>
    </row>
    <row r="79" spans="1:38" ht="15.6">
      <c r="A79" s="1">
        <v>44265</v>
      </c>
      <c r="B79" s="13">
        <f t="shared" si="58"/>
        <v>69</v>
      </c>
      <c r="C79" s="13">
        <f t="shared" si="40"/>
        <v>25.85</v>
      </c>
      <c r="D79" s="14">
        <v>32.200000000000003</v>
      </c>
      <c r="E79" s="14">
        <v>19.5</v>
      </c>
      <c r="F79" s="14">
        <v>75</v>
      </c>
      <c r="G79" s="14">
        <v>8</v>
      </c>
      <c r="H79" s="15">
        <v>0</v>
      </c>
      <c r="I79" s="16">
        <f>4098*(0.6108*EXP(17.27*Tomato!C79/(Tomato!C79+237.3)))/(Tomato!C79+237.3)^2</f>
        <v>0.19716845660963872</v>
      </c>
      <c r="J79" s="16">
        <f t="shared" si="41"/>
        <v>0.44774765660963872</v>
      </c>
      <c r="K79" s="16">
        <f t="shared" si="42"/>
        <v>4.8087773652629577</v>
      </c>
      <c r="L79" s="16">
        <f t="shared" si="43"/>
        <v>2.2668801009804516</v>
      </c>
      <c r="M79" s="16">
        <f t="shared" si="44"/>
        <v>3.5378287331217049</v>
      </c>
      <c r="N79" s="16">
        <f t="shared" si="45"/>
        <v>2.6533715498412787</v>
      </c>
      <c r="O79" s="16">
        <f t="shared" si="46"/>
        <v>-8.2386589203045646E-2</v>
      </c>
      <c r="P79" s="16">
        <f t="shared" si="47"/>
        <v>1.0123511796067373</v>
      </c>
      <c r="Q79" s="16">
        <f t="shared" si="48"/>
        <v>1.5364876198982089</v>
      </c>
      <c r="R79" s="16">
        <f t="shared" si="49"/>
        <v>33.170278219134694</v>
      </c>
      <c r="S79" s="16">
        <f t="shared" si="50"/>
        <v>11.743854419604144</v>
      </c>
      <c r="T79" s="16">
        <f t="shared" si="51"/>
        <v>8.2925695547836735</v>
      </c>
      <c r="U79" s="16">
        <f t="shared" si="52"/>
        <v>24.912869159263302</v>
      </c>
      <c r="V79" s="16">
        <f t="shared" si="53"/>
        <v>6.3852785571834287</v>
      </c>
      <c r="W79" s="16">
        <f t="shared" si="54"/>
        <v>0.43716124872167972</v>
      </c>
      <c r="X79" s="16">
        <f t="shared" si="55"/>
        <v>4.2743846989808318</v>
      </c>
      <c r="Y79" s="16">
        <f t="shared" si="56"/>
        <v>4.8419825711285842</v>
      </c>
      <c r="Z79">
        <v>1.1499999999999999</v>
      </c>
      <c r="AB79">
        <f t="shared" si="57"/>
        <v>4.9155424038279563</v>
      </c>
      <c r="AD79" s="10">
        <v>0</v>
      </c>
      <c r="AE79">
        <v>0</v>
      </c>
      <c r="AF79">
        <v>0</v>
      </c>
      <c r="AG79">
        <f t="shared" si="36"/>
        <v>0</v>
      </c>
      <c r="AH79" s="71">
        <f t="shared" si="37"/>
        <v>1</v>
      </c>
      <c r="AI79">
        <f t="shared" si="38"/>
        <v>4.9155424038279563</v>
      </c>
      <c r="AJ79">
        <f t="shared" si="39"/>
        <v>58.529975391253366</v>
      </c>
      <c r="AK79" s="2">
        <f t="shared" si="28"/>
        <v>18.470024608746634</v>
      </c>
    </row>
    <row r="80" spans="1:38" ht="15.6">
      <c r="A80" s="1">
        <v>44266</v>
      </c>
      <c r="B80" s="13">
        <f t="shared" si="58"/>
        <v>70</v>
      </c>
      <c r="C80" s="13">
        <f t="shared" si="40"/>
        <v>25.25</v>
      </c>
      <c r="D80" s="14">
        <v>31.5</v>
      </c>
      <c r="E80" s="14">
        <v>19</v>
      </c>
      <c r="F80" s="14">
        <v>81</v>
      </c>
      <c r="G80" s="14">
        <v>8</v>
      </c>
      <c r="H80" s="15">
        <v>2</v>
      </c>
      <c r="I80" s="16">
        <f>4098*(0.6108*EXP(17.27*Tomato!C80/(Tomato!C80+237.3)))/(Tomato!C80+237.3)^2</f>
        <v>0.19114532166868012</v>
      </c>
      <c r="J80" s="16">
        <f t="shared" si="41"/>
        <v>0.44172452166868015</v>
      </c>
      <c r="K80" s="16">
        <f t="shared" si="42"/>
        <v>4.6220689030255047</v>
      </c>
      <c r="L80" s="16">
        <f t="shared" si="43"/>
        <v>2.1973933238855259</v>
      </c>
      <c r="M80" s="16">
        <f t="shared" si="44"/>
        <v>3.4097311134555151</v>
      </c>
      <c r="N80" s="16">
        <f t="shared" si="45"/>
        <v>2.7618822018989673</v>
      </c>
      <c r="O80" s="16">
        <f t="shared" si="46"/>
        <v>-7.5481939022010253E-2</v>
      </c>
      <c r="P80" s="16">
        <f t="shared" si="47"/>
        <v>1.0118228649654286</v>
      </c>
      <c r="Q80" s="16">
        <f t="shared" si="48"/>
        <v>1.5393754083373943</v>
      </c>
      <c r="R80" s="16">
        <f t="shared" si="49"/>
        <v>33.326608240112975</v>
      </c>
      <c r="S80" s="16">
        <f t="shared" si="50"/>
        <v>11.765926687929129</v>
      </c>
      <c r="T80" s="16">
        <f t="shared" si="51"/>
        <v>11.164119839578776</v>
      </c>
      <c r="U80" s="16">
        <f t="shared" si="52"/>
        <v>25.030282384819248</v>
      </c>
      <c r="V80" s="16">
        <f t="shared" si="53"/>
        <v>8.5963722764756572</v>
      </c>
      <c r="W80" s="16">
        <f t="shared" si="54"/>
        <v>1.0549435781989382</v>
      </c>
      <c r="X80" s="16">
        <f t="shared" si="55"/>
        <v>3.7163872554084905</v>
      </c>
      <c r="Y80" s="16">
        <f t="shared" si="56"/>
        <v>4.7600035620429377</v>
      </c>
      <c r="Z80">
        <v>1.1499999999999999</v>
      </c>
      <c r="AB80">
        <f t="shared" si="57"/>
        <v>4.2738453437197634</v>
      </c>
      <c r="AD80" s="10">
        <v>0</v>
      </c>
      <c r="AE80">
        <v>0</v>
      </c>
      <c r="AF80">
        <v>0</v>
      </c>
      <c r="AG80">
        <f t="shared" si="36"/>
        <v>0</v>
      </c>
      <c r="AH80" s="71">
        <f t="shared" si="37"/>
        <v>0.95016193816969752</v>
      </c>
      <c r="AI80">
        <f t="shared" si="38"/>
        <v>4.0608451752263077</v>
      </c>
      <c r="AJ80">
        <f t="shared" si="39"/>
        <v>54.469130216027061</v>
      </c>
      <c r="AK80" s="2">
        <f t="shared" si="28"/>
        <v>22.530869783972939</v>
      </c>
    </row>
    <row r="81" spans="1:38" ht="15.6">
      <c r="A81" s="1">
        <v>44267</v>
      </c>
      <c r="B81" s="13">
        <f t="shared" si="58"/>
        <v>71</v>
      </c>
      <c r="C81" s="13">
        <f t="shared" si="40"/>
        <v>26.9</v>
      </c>
      <c r="D81" s="14">
        <v>31.6</v>
      </c>
      <c r="E81" s="14">
        <v>22.2</v>
      </c>
      <c r="F81" s="14">
        <v>70</v>
      </c>
      <c r="G81" s="14">
        <v>6</v>
      </c>
      <c r="H81" s="15">
        <v>1.6</v>
      </c>
      <c r="I81" s="16">
        <f>4098*(0.6108*EXP(17.27*Tomato!C81/(Tomato!C81+237.3)))/(Tomato!C81+237.3)^2</f>
        <v>0.20809346882072433</v>
      </c>
      <c r="J81" s="16">
        <f t="shared" si="41"/>
        <v>0.41286786882072435</v>
      </c>
      <c r="K81" s="16">
        <f t="shared" si="42"/>
        <v>4.6483496796026218</v>
      </c>
      <c r="L81" s="16">
        <f t="shared" si="43"/>
        <v>2.6763336594163714</v>
      </c>
      <c r="M81" s="16">
        <f t="shared" si="44"/>
        <v>3.6623416695094964</v>
      </c>
      <c r="N81" s="16">
        <f t="shared" si="45"/>
        <v>2.5636391686566471</v>
      </c>
      <c r="O81" s="16">
        <f t="shared" si="46"/>
        <v>-6.8554944585259361E-2</v>
      </c>
      <c r="P81" s="16">
        <f t="shared" si="47"/>
        <v>1.0112910505052028</v>
      </c>
      <c r="Q81" s="16">
        <f t="shared" si="48"/>
        <v>1.5422692504197972</v>
      </c>
      <c r="R81" s="16">
        <f t="shared" si="49"/>
        <v>33.481899955074226</v>
      </c>
      <c r="S81" s="16">
        <f t="shared" si="50"/>
        <v>11.788045226138578</v>
      </c>
      <c r="T81" s="16">
        <f t="shared" si="51"/>
        <v>10.642736373095936</v>
      </c>
      <c r="U81" s="16">
        <f t="shared" si="52"/>
        <v>25.146915780258048</v>
      </c>
      <c r="V81" s="16">
        <f t="shared" si="53"/>
        <v>8.1949070072838701</v>
      </c>
      <c r="W81" s="16">
        <f t="shared" si="54"/>
        <v>1.0206450036074479</v>
      </c>
      <c r="X81" s="16">
        <f t="shared" si="55"/>
        <v>4.7029796157583341</v>
      </c>
      <c r="Y81" s="16">
        <f t="shared" si="56"/>
        <v>4.3059555608377504</v>
      </c>
      <c r="Z81">
        <v>0.8</v>
      </c>
      <c r="AB81">
        <f t="shared" si="57"/>
        <v>3.7623836926066674</v>
      </c>
      <c r="AD81" s="9">
        <v>0</v>
      </c>
      <c r="AE81">
        <v>0</v>
      </c>
      <c r="AF81">
        <v>0</v>
      </c>
      <c r="AG81">
        <f t="shared" si="36"/>
        <v>0</v>
      </c>
      <c r="AH81" s="71">
        <f t="shared" si="37"/>
        <v>0.88423912688355621</v>
      </c>
      <c r="AI81">
        <f t="shared" si="38"/>
        <v>3.3268468713514499</v>
      </c>
      <c r="AJ81">
        <f t="shared" si="39"/>
        <v>51.142283344675612</v>
      </c>
      <c r="AK81" s="2">
        <f t="shared" si="28"/>
        <v>25.857716655324388</v>
      </c>
    </row>
    <row r="82" spans="1:38" ht="15.6">
      <c r="A82" s="1">
        <v>44268</v>
      </c>
      <c r="B82" s="13">
        <f t="shared" si="58"/>
        <v>72</v>
      </c>
      <c r="C82" s="13">
        <f t="shared" si="40"/>
        <v>24.5</v>
      </c>
      <c r="D82" s="14">
        <v>28.2</v>
      </c>
      <c r="E82" s="14">
        <v>20.8</v>
      </c>
      <c r="F82" s="14">
        <v>59</v>
      </c>
      <c r="G82" s="14">
        <v>19</v>
      </c>
      <c r="H82" s="15">
        <v>0</v>
      </c>
      <c r="I82" s="16">
        <f>4098*(0.6108*EXP(17.27*Tomato!C82/(Tomato!C82+237.3)))/(Tomato!C82+237.3)^2</f>
        <v>0.18383500912050901</v>
      </c>
      <c r="J82" s="16">
        <f t="shared" si="41"/>
        <v>0.68634060912050909</v>
      </c>
      <c r="K82" s="16">
        <f t="shared" si="42"/>
        <v>3.8241720180540506</v>
      </c>
      <c r="L82" s="16">
        <f t="shared" si="43"/>
        <v>2.4566163260716172</v>
      </c>
      <c r="M82" s="16">
        <f t="shared" si="44"/>
        <v>3.1403941720628339</v>
      </c>
      <c r="N82" s="16">
        <f t="shared" si="45"/>
        <v>1.852832561517072</v>
      </c>
      <c r="O82" s="16">
        <f t="shared" si="46"/>
        <v>-6.160765643014058E-2</v>
      </c>
      <c r="P82" s="16">
        <f t="shared" si="47"/>
        <v>1.0107558936544261</v>
      </c>
      <c r="Q82" s="16">
        <f t="shared" si="48"/>
        <v>1.5451685675037485</v>
      </c>
      <c r="R82" s="16">
        <f t="shared" si="49"/>
        <v>33.636086020481869</v>
      </c>
      <c r="S82" s="16">
        <f t="shared" si="50"/>
        <v>11.81020561149362</v>
      </c>
      <c r="T82" s="16">
        <f t="shared" si="51"/>
        <v>8.4090215051204673</v>
      </c>
      <c r="U82" s="16">
        <f t="shared" si="52"/>
        <v>25.262718766543109</v>
      </c>
      <c r="V82" s="16">
        <f t="shared" si="53"/>
        <v>6.4749465589427597</v>
      </c>
      <c r="W82" s="16">
        <f t="shared" si="54"/>
        <v>0.57204179621217688</v>
      </c>
      <c r="X82" s="16">
        <f t="shared" si="55"/>
        <v>7.9084743065246483</v>
      </c>
      <c r="Y82" s="16">
        <f t="shared" si="56"/>
        <v>3.6320321221091749</v>
      </c>
      <c r="Z82">
        <v>0.8</v>
      </c>
      <c r="AB82">
        <f t="shared" si="57"/>
        <v>6.326779445219719</v>
      </c>
      <c r="AD82" s="9">
        <v>0</v>
      </c>
      <c r="AE82">
        <v>0</v>
      </c>
      <c r="AF82">
        <v>0</v>
      </c>
      <c r="AG82">
        <f t="shared" si="36"/>
        <v>0</v>
      </c>
      <c r="AH82" s="71">
        <f t="shared" si="37"/>
        <v>0.83023187247850017</v>
      </c>
      <c r="AI82">
        <f t="shared" si="38"/>
        <v>5.2526939455632542</v>
      </c>
      <c r="AJ82">
        <f t="shared" si="39"/>
        <v>45.88958939911236</v>
      </c>
      <c r="AK82" s="2">
        <f t="shared" si="28"/>
        <v>31.11041060088764</v>
      </c>
    </row>
    <row r="83" spans="1:38" ht="15.6">
      <c r="A83" s="1">
        <v>44269</v>
      </c>
      <c r="B83" s="13">
        <f t="shared" si="58"/>
        <v>73</v>
      </c>
      <c r="C83" s="13">
        <f t="shared" si="40"/>
        <v>25</v>
      </c>
      <c r="D83" s="15">
        <v>33.5</v>
      </c>
      <c r="E83" s="14">
        <v>16.5</v>
      </c>
      <c r="F83" s="14">
        <v>43</v>
      </c>
      <c r="G83" s="14">
        <v>8</v>
      </c>
      <c r="H83" s="15">
        <v>9.3000000000000007</v>
      </c>
      <c r="I83" s="16">
        <f>4098*(0.6108*EXP(17.27*Tomato!C83/(Tomato!C83+237.3)))/(Tomato!C83+237.3)^2</f>
        <v>0.18868182684282603</v>
      </c>
      <c r="J83" s="16">
        <f t="shared" si="41"/>
        <v>0.43926102684282603</v>
      </c>
      <c r="K83" s="16">
        <f t="shared" si="42"/>
        <v>5.1729513859624818</v>
      </c>
      <c r="L83" s="16">
        <f t="shared" si="43"/>
        <v>1.877175834096539</v>
      </c>
      <c r="M83" s="16">
        <f t="shared" si="44"/>
        <v>3.5250636100295103</v>
      </c>
      <c r="N83" s="16">
        <f t="shared" si="45"/>
        <v>1.5157773523126894</v>
      </c>
      <c r="O83" s="16">
        <f t="shared" si="46"/>
        <v>-5.4642131101372879E-2</v>
      </c>
      <c r="P83" s="16">
        <f t="shared" si="47"/>
        <v>1.0102175528308819</v>
      </c>
      <c r="Q83" s="16">
        <f t="shared" si="48"/>
        <v>1.5480727859927199</v>
      </c>
      <c r="R83" s="16">
        <f t="shared" si="49"/>
        <v>33.789100732344309</v>
      </c>
      <c r="S83" s="16">
        <f t="shared" si="50"/>
        <v>11.832403459816968</v>
      </c>
      <c r="T83" s="16">
        <f t="shared" si="51"/>
        <v>21.72600751662937</v>
      </c>
      <c r="U83" s="16">
        <f t="shared" si="52"/>
        <v>25.377641996034516</v>
      </c>
      <c r="V83" s="16">
        <f t="shared" si="53"/>
        <v>16.729025787804616</v>
      </c>
      <c r="W83" s="16">
        <f t="shared" si="54"/>
        <v>5.2594294514484581</v>
      </c>
      <c r="X83" s="16">
        <f t="shared" si="55"/>
        <v>9.4546237749489137</v>
      </c>
      <c r="Y83" s="16">
        <f t="shared" si="56"/>
        <v>5.5954222100041049</v>
      </c>
      <c r="Z83">
        <v>0.8</v>
      </c>
      <c r="AB83">
        <f t="shared" si="57"/>
        <v>7.563699019959131</v>
      </c>
      <c r="AD83" s="9">
        <v>0</v>
      </c>
      <c r="AE83">
        <v>0</v>
      </c>
      <c r="AF83">
        <v>0</v>
      </c>
      <c r="AG83">
        <f t="shared" si="36"/>
        <v>0</v>
      </c>
      <c r="AH83" s="71">
        <f t="shared" si="37"/>
        <v>0.74496086686870711</v>
      </c>
      <c r="AI83">
        <f t="shared" si="38"/>
        <v>5.6346597786427441</v>
      </c>
      <c r="AJ83">
        <f t="shared" si="39"/>
        <v>40.254929620469618</v>
      </c>
      <c r="AK83" s="2">
        <f t="shared" si="28"/>
        <v>36.745070379530382</v>
      </c>
    </row>
    <row r="84" spans="1:38" ht="15.6">
      <c r="A84" s="1">
        <v>44270</v>
      </c>
      <c r="B84" s="13">
        <f t="shared" si="58"/>
        <v>74</v>
      </c>
      <c r="C84" s="13">
        <f t="shared" si="40"/>
        <v>25.9</v>
      </c>
      <c r="D84" s="14">
        <v>35.5</v>
      </c>
      <c r="E84" s="14">
        <v>16.3</v>
      </c>
      <c r="F84" s="14">
        <v>42</v>
      </c>
      <c r="G84" s="14">
        <v>6</v>
      </c>
      <c r="H84" s="15">
        <v>9.1999999999999993</v>
      </c>
      <c r="I84" s="16">
        <f>4098*(0.6108*EXP(17.27*Tomato!C84/(Tomato!C84+237.3)))/(Tomato!C84+237.3)^2</f>
        <v>0.19767751536034411</v>
      </c>
      <c r="J84" s="16">
        <f t="shared" si="41"/>
        <v>0.40245191536034414</v>
      </c>
      <c r="K84" s="16">
        <f t="shared" si="42"/>
        <v>5.7799401422607124</v>
      </c>
      <c r="L84" s="16">
        <f t="shared" si="43"/>
        <v>1.8534226492057391</v>
      </c>
      <c r="M84" s="16">
        <f t="shared" si="44"/>
        <v>3.8166813957332257</v>
      </c>
      <c r="N84" s="16">
        <f t="shared" si="45"/>
        <v>1.6030061862079548</v>
      </c>
      <c r="O84" s="16">
        <f t="shared" si="46"/>
        <v>-4.7660430542265389E-2</v>
      </c>
      <c r="P84" s="16">
        <f t="shared" si="47"/>
        <v>1.0096761873948781</v>
      </c>
      <c r="Q84" s="16">
        <f t="shared" si="48"/>
        <v>1.5509813368505383</v>
      </c>
      <c r="R84" s="16">
        <f t="shared" si="49"/>
        <v>33.940880082231132</v>
      </c>
      <c r="S84" s="16">
        <f t="shared" si="50"/>
        <v>11.854634421787553</v>
      </c>
      <c r="T84" s="16">
        <f t="shared" si="51"/>
        <v>21.655432008817542</v>
      </c>
      <c r="U84" s="16">
        <f t="shared" si="52"/>
        <v>25.491637394560513</v>
      </c>
      <c r="V84" s="16">
        <f t="shared" si="53"/>
        <v>16.674682646789506</v>
      </c>
      <c r="W84" s="16">
        <f t="shared" si="54"/>
        <v>5.1174603156797405</v>
      </c>
      <c r="X84" s="16">
        <f t="shared" si="55"/>
        <v>9.0098530742354352</v>
      </c>
      <c r="Y84" s="16">
        <f t="shared" si="56"/>
        <v>6.0987825603779173</v>
      </c>
      <c r="Z84">
        <v>0.8</v>
      </c>
      <c r="AB84">
        <f t="shared" si="57"/>
        <v>7.2078824593883484</v>
      </c>
      <c r="AD84" s="9">
        <v>0</v>
      </c>
      <c r="AE84">
        <v>0</v>
      </c>
      <c r="AF84">
        <v>0</v>
      </c>
      <c r="AG84">
        <f t="shared" si="36"/>
        <v>0</v>
      </c>
      <c r="AH84" s="71">
        <f t="shared" si="37"/>
        <v>0.6534891172154158</v>
      </c>
      <c r="AI84">
        <f t="shared" si="38"/>
        <v>4.7102727453781723</v>
      </c>
      <c r="AJ84">
        <f t="shared" si="39"/>
        <v>35.544656875091448</v>
      </c>
      <c r="AK84" s="2">
        <f t="shared" ref="AK84:AK130" si="59">$D$6-AJ84</f>
        <v>41.455343124908552</v>
      </c>
    </row>
    <row r="85" spans="1:38" ht="15.6">
      <c r="A85" s="1">
        <v>44271</v>
      </c>
      <c r="B85" s="13">
        <f t="shared" si="58"/>
        <v>75</v>
      </c>
      <c r="C85" s="13">
        <f t="shared" si="40"/>
        <v>26.1</v>
      </c>
      <c r="D85" s="14">
        <v>36</v>
      </c>
      <c r="E85" s="14">
        <v>16.2</v>
      </c>
      <c r="F85" s="14">
        <v>41</v>
      </c>
      <c r="G85" s="14">
        <v>7</v>
      </c>
      <c r="H85" s="15">
        <v>9.5</v>
      </c>
      <c r="I85" s="16">
        <f>4098*(0.6108*EXP(17.27*Tomato!C85/(Tomato!C85+237.3)))/(Tomato!C85+237.3)^2</f>
        <v>0.1997248282483387</v>
      </c>
      <c r="J85" s="16">
        <f t="shared" si="41"/>
        <v>0.42740162824833872</v>
      </c>
      <c r="K85" s="16">
        <f t="shared" si="42"/>
        <v>5.9409977016273503</v>
      </c>
      <c r="L85" s="16">
        <f t="shared" si="43"/>
        <v>1.841645130417793</v>
      </c>
      <c r="M85" s="16">
        <f t="shared" si="44"/>
        <v>3.8913214160225715</v>
      </c>
      <c r="N85" s="16">
        <f t="shared" si="45"/>
        <v>1.5954417805692542</v>
      </c>
      <c r="O85" s="16">
        <f t="shared" si="46"/>
        <v>-4.0664621484338997E-2</v>
      </c>
      <c r="P85" s="16">
        <f t="shared" si="47"/>
        <v>1.0091319576020719</v>
      </c>
      <c r="Q85" s="16">
        <f t="shared" si="48"/>
        <v>1.55389365510663</v>
      </c>
      <c r="R85" s="16">
        <f t="shared" si="49"/>
        <v>34.09136181087289</v>
      </c>
      <c r="S85" s="16">
        <f t="shared" si="50"/>
        <v>11.876894179158956</v>
      </c>
      <c r="T85" s="16">
        <f t="shared" si="51"/>
        <v>22.157210361124136</v>
      </c>
      <c r="U85" s="16">
        <f t="shared" si="52"/>
        <v>25.604658201674191</v>
      </c>
      <c r="V85" s="16">
        <f t="shared" si="53"/>
        <v>17.061051978065585</v>
      </c>
      <c r="W85" s="16">
        <f t="shared" si="54"/>
        <v>5.2844982059030308</v>
      </c>
      <c r="X85" s="16">
        <f t="shared" si="55"/>
        <v>9.8667766967211268</v>
      </c>
      <c r="Y85" s="16">
        <f t="shared" si="56"/>
        <v>6.2492725262627378</v>
      </c>
      <c r="Z85">
        <v>0.8</v>
      </c>
      <c r="AB85">
        <f t="shared" si="57"/>
        <v>7.8934213573769014</v>
      </c>
      <c r="AD85" s="9">
        <v>0</v>
      </c>
      <c r="AE85">
        <v>0</v>
      </c>
      <c r="AF85">
        <v>0</v>
      </c>
      <c r="AG85">
        <f t="shared" si="36"/>
        <v>46.010033932026744</v>
      </c>
      <c r="AH85" s="71">
        <f t="shared" si="37"/>
        <v>0.57702365056966631</v>
      </c>
      <c r="AI85">
        <f t="shared" si="38"/>
        <v>4.55469080711819</v>
      </c>
      <c r="AJ85">
        <f t="shared" si="39"/>
        <v>77</v>
      </c>
      <c r="AK85" s="2">
        <f t="shared" si="59"/>
        <v>0</v>
      </c>
      <c r="AL85" t="s">
        <v>2</v>
      </c>
    </row>
    <row r="86" spans="1:38" ht="15.6">
      <c r="A86" s="1">
        <v>44272</v>
      </c>
      <c r="B86" s="13">
        <f t="shared" si="58"/>
        <v>76</v>
      </c>
      <c r="C86" s="13">
        <f t="shared" si="40"/>
        <v>27</v>
      </c>
      <c r="D86" s="14">
        <v>36</v>
      </c>
      <c r="E86" s="14">
        <v>18</v>
      </c>
      <c r="F86" s="14">
        <v>48</v>
      </c>
      <c r="G86" s="14">
        <v>6</v>
      </c>
      <c r="H86" s="15">
        <v>8</v>
      </c>
      <c r="I86" s="16">
        <f>4098*(0.6108*EXP(17.27*Tomato!C86/(Tomato!C86+237.3)))/(Tomato!C86+237.3)^2</f>
        <v>0.20915998442580921</v>
      </c>
      <c r="J86" s="16">
        <f t="shared" si="41"/>
        <v>0.41393438442580921</v>
      </c>
      <c r="K86" s="16">
        <f t="shared" si="42"/>
        <v>5.9409977016273503</v>
      </c>
      <c r="L86" s="16">
        <f t="shared" si="43"/>
        <v>2.0639892026604851</v>
      </c>
      <c r="M86" s="16">
        <f t="shared" si="44"/>
        <v>4.0024934521439182</v>
      </c>
      <c r="N86" s="16">
        <f t="shared" si="45"/>
        <v>1.9211968570290807</v>
      </c>
      <c r="O86" s="16">
        <f t="shared" si="46"/>
        <v>-3.3656774835529271E-2</v>
      </c>
      <c r="P86" s="16">
        <f t="shared" si="47"/>
        <v>1.0085850245560306</v>
      </c>
      <c r="Q86" s="16">
        <f t="shared" si="48"/>
        <v>1.5568091793524708</v>
      </c>
      <c r="R86" s="16">
        <f t="shared" si="49"/>
        <v>34.240485459245271</v>
      </c>
      <c r="S86" s="16">
        <f t="shared" si="50"/>
        <v>11.899178440910605</v>
      </c>
      <c r="T86" s="16">
        <f t="shared" si="51"/>
        <v>20.070322889825164</v>
      </c>
      <c r="U86" s="16">
        <f t="shared" si="52"/>
        <v>25.716659009020752</v>
      </c>
      <c r="V86" s="16">
        <f t="shared" si="53"/>
        <v>15.454148625165377</v>
      </c>
      <c r="W86" s="16">
        <f t="shared" si="54"/>
        <v>4.10899999277256</v>
      </c>
      <c r="X86" s="16">
        <f t="shared" si="55"/>
        <v>8.4353817426458626</v>
      </c>
      <c r="Y86" s="16">
        <f t="shared" si="56"/>
        <v>6.1072005132514349</v>
      </c>
      <c r="Z86">
        <v>0.8</v>
      </c>
      <c r="AB86">
        <f t="shared" si="57"/>
        <v>6.7483053941166906</v>
      </c>
      <c r="AD86" s="9">
        <v>0</v>
      </c>
      <c r="AE86">
        <v>0</v>
      </c>
      <c r="AF86">
        <v>0</v>
      </c>
      <c r="AG86">
        <f t="shared" si="36"/>
        <v>0</v>
      </c>
      <c r="AH86" s="71">
        <f t="shared" si="37"/>
        <v>1</v>
      </c>
      <c r="AI86">
        <f t="shared" si="38"/>
        <v>6.7483053941166906</v>
      </c>
      <c r="AJ86">
        <f t="shared" si="39"/>
        <v>70.251694605883316</v>
      </c>
      <c r="AK86" s="2">
        <f t="shared" si="59"/>
        <v>6.7483053941166844</v>
      </c>
    </row>
    <row r="87" spans="1:38" ht="15.6">
      <c r="A87" s="1">
        <v>44273</v>
      </c>
      <c r="B87" s="13">
        <f t="shared" si="58"/>
        <v>77</v>
      </c>
      <c r="C87" s="13">
        <f t="shared" si="40"/>
        <v>28.65</v>
      </c>
      <c r="D87" s="14">
        <v>37.799999999999997</v>
      </c>
      <c r="E87" s="14">
        <v>19.5</v>
      </c>
      <c r="F87" s="14">
        <v>38</v>
      </c>
      <c r="G87" s="14">
        <v>6</v>
      </c>
      <c r="H87" s="15">
        <v>7</v>
      </c>
      <c r="I87" s="16">
        <f>4098*(0.6108*EXP(17.27*Tomato!C87/(Tomato!C87+237.3)))/(Tomato!C87+237.3)^2</f>
        <v>0.22743235016149782</v>
      </c>
      <c r="J87" s="16">
        <f t="shared" si="41"/>
        <v>0.43220675016149784</v>
      </c>
      <c r="K87" s="16">
        <f t="shared" si="42"/>
        <v>6.5534484603429339</v>
      </c>
      <c r="L87" s="16">
        <f t="shared" si="43"/>
        <v>2.2668801009804516</v>
      </c>
      <c r="M87" s="16">
        <f t="shared" si="44"/>
        <v>4.410164280661693</v>
      </c>
      <c r="N87" s="16">
        <f t="shared" si="45"/>
        <v>1.6758624266514432</v>
      </c>
      <c r="O87" s="16">
        <f t="shared" si="46"/>
        <v>-2.6638965067154425E-2</v>
      </c>
      <c r="P87" s="16">
        <f t="shared" si="47"/>
        <v>1.0080355501605422</v>
      </c>
      <c r="Q87" s="16">
        <f t="shared" si="48"/>
        <v>1.5597273512303995</v>
      </c>
      <c r="R87" s="16">
        <f t="shared" si="49"/>
        <v>34.388192417043619</v>
      </c>
      <c r="S87" s="16">
        <f t="shared" si="50"/>
        <v>11.921482939340633</v>
      </c>
      <c r="T87" s="16">
        <f t="shared" si="51"/>
        <v>18.692996240249233</v>
      </c>
      <c r="U87" s="16">
        <f t="shared" si="52"/>
        <v>25.827595796744777</v>
      </c>
      <c r="V87" s="16">
        <f t="shared" si="53"/>
        <v>14.39360710499191</v>
      </c>
      <c r="W87" s="16">
        <f t="shared" si="54"/>
        <v>4.0724413806209165</v>
      </c>
      <c r="X87" s="16">
        <f t="shared" si="55"/>
        <v>9.8445424583230636</v>
      </c>
      <c r="Y87" s="16">
        <f t="shared" si="56"/>
        <v>6.4122228951146507</v>
      </c>
      <c r="Z87">
        <v>0.8</v>
      </c>
      <c r="AB87">
        <f t="shared" si="57"/>
        <v>7.8756339666584516</v>
      </c>
      <c r="AD87" s="9">
        <v>0</v>
      </c>
      <c r="AE87">
        <v>0</v>
      </c>
      <c r="AF87">
        <v>0</v>
      </c>
      <c r="AG87">
        <f t="shared" si="36"/>
        <v>0</v>
      </c>
      <c r="AH87" s="71">
        <f t="shared" si="37"/>
        <v>1</v>
      </c>
      <c r="AI87">
        <f t="shared" si="38"/>
        <v>7.8756339666584516</v>
      </c>
      <c r="AJ87">
        <f t="shared" si="39"/>
        <v>62.37606063922486</v>
      </c>
      <c r="AK87" s="2">
        <f t="shared" si="59"/>
        <v>14.62393936077514</v>
      </c>
    </row>
    <row r="88" spans="1:38" ht="15.6">
      <c r="A88" s="1">
        <v>44274</v>
      </c>
      <c r="B88" s="13">
        <f t="shared" si="58"/>
        <v>78</v>
      </c>
      <c r="C88" s="13">
        <f t="shared" si="40"/>
        <v>27.7</v>
      </c>
      <c r="D88" s="14">
        <v>36.799999999999997</v>
      </c>
      <c r="E88" s="14">
        <v>18.600000000000001</v>
      </c>
      <c r="F88" s="14">
        <v>34</v>
      </c>
      <c r="G88" s="14">
        <v>6</v>
      </c>
      <c r="H88" s="15">
        <v>6.6</v>
      </c>
      <c r="I88" s="16">
        <f>4098*(0.6108*EXP(17.27*Tomato!C88/(Tomato!C88+237.3)))/(Tomato!C88+237.3)^2</f>
        <v>0.2167550737640033</v>
      </c>
      <c r="J88" s="16">
        <f t="shared" si="41"/>
        <v>0.42152947376400329</v>
      </c>
      <c r="K88" s="16">
        <f t="shared" si="42"/>
        <v>6.2067817955104676</v>
      </c>
      <c r="L88" s="16">
        <f t="shared" si="43"/>
        <v>2.143152914469288</v>
      </c>
      <c r="M88" s="16">
        <f t="shared" si="44"/>
        <v>4.174967354989878</v>
      </c>
      <c r="N88" s="16">
        <f t="shared" si="45"/>
        <v>1.4194889006965585</v>
      </c>
      <c r="O88" s="16">
        <f t="shared" si="46"/>
        <v>-1.9613269599827364E-2</v>
      </c>
      <c r="P88" s="16">
        <f t="shared" si="47"/>
        <v>1.0074836970716878</v>
      </c>
      <c r="Q88" s="16">
        <f t="shared" si="48"/>
        <v>1.5626476149159469</v>
      </c>
      <c r="R88" s="16">
        <f t="shared" si="49"/>
        <v>34.534425968458464</v>
      </c>
      <c r="S88" s="16">
        <f t="shared" si="50"/>
        <v>11.943803426109149</v>
      </c>
      <c r="T88" s="16">
        <f t="shared" si="51"/>
        <v>18.175257642098259</v>
      </c>
      <c r="U88" s="16">
        <f t="shared" si="52"/>
        <v>25.937425967870411</v>
      </c>
      <c r="V88" s="16">
        <f t="shared" si="53"/>
        <v>13.994948384415659</v>
      </c>
      <c r="W88" s="16">
        <f t="shared" si="54"/>
        <v>4.1695358453547406</v>
      </c>
      <c r="X88" s="16">
        <f t="shared" si="55"/>
        <v>9.9687120781837546</v>
      </c>
      <c r="Y88" s="16">
        <f t="shared" si="56"/>
        <v>6.2905313534036011</v>
      </c>
      <c r="Z88">
        <v>0.8</v>
      </c>
      <c r="AB88">
        <f t="shared" si="57"/>
        <v>7.9749696625470037</v>
      </c>
      <c r="AD88" s="9">
        <v>0</v>
      </c>
      <c r="AE88">
        <v>0</v>
      </c>
      <c r="AF88">
        <v>0</v>
      </c>
      <c r="AG88">
        <f t="shared" si="36"/>
        <v>0</v>
      </c>
      <c r="AH88" s="71">
        <f t="shared" si="37"/>
        <v>1</v>
      </c>
      <c r="AI88">
        <f t="shared" si="38"/>
        <v>7.9749696625470037</v>
      </c>
      <c r="AJ88">
        <f t="shared" si="39"/>
        <v>54.401090976677857</v>
      </c>
      <c r="AK88" s="2">
        <f t="shared" si="59"/>
        <v>22.598909023322143</v>
      </c>
    </row>
    <row r="89" spans="1:38" ht="15.6">
      <c r="A89" s="1">
        <v>44275</v>
      </c>
      <c r="B89" s="13">
        <f t="shared" si="58"/>
        <v>79</v>
      </c>
      <c r="C89" s="13">
        <f t="shared" si="40"/>
        <v>27.05</v>
      </c>
      <c r="D89" s="14">
        <v>35.6</v>
      </c>
      <c r="E89" s="14">
        <v>18.5</v>
      </c>
      <c r="F89" s="14">
        <v>43</v>
      </c>
      <c r="G89" s="14">
        <v>8</v>
      </c>
      <c r="H89" s="15">
        <v>6.3</v>
      </c>
      <c r="I89" s="16">
        <f>4098*(0.6108*EXP(17.27*Tomato!C89/(Tomato!C89+237.3)))/(Tomato!C89+237.3)^2</f>
        <v>0.20969496361300413</v>
      </c>
      <c r="J89" s="16">
        <f t="shared" si="41"/>
        <v>0.46027416361300411</v>
      </c>
      <c r="K89" s="16">
        <f t="shared" si="42"/>
        <v>5.8118453382797011</v>
      </c>
      <c r="L89" s="16">
        <f t="shared" si="43"/>
        <v>2.1297773032821605</v>
      </c>
      <c r="M89" s="16">
        <f t="shared" si="44"/>
        <v>3.970811320780931</v>
      </c>
      <c r="N89" s="16">
        <f t="shared" si="45"/>
        <v>1.7074488679358004</v>
      </c>
      <c r="O89" s="16">
        <f t="shared" si="46"/>
        <v>-1.2581768188495327E-2</v>
      </c>
      <c r="P89" s="16">
        <f t="shared" si="47"/>
        <v>1.0069296286496925</v>
      </c>
      <c r="Q89" s="16">
        <f t="shared" si="48"/>
        <v>1.5655694165948169</v>
      </c>
      <c r="R89" s="16">
        <f t="shared" si="49"/>
        <v>34.679131335168812</v>
      </c>
      <c r="S89" s="16">
        <f t="shared" si="50"/>
        <v>11.966135668240639</v>
      </c>
      <c r="T89" s="16">
        <f t="shared" si="51"/>
        <v>17.798817196632836</v>
      </c>
      <c r="U89" s="16">
        <f t="shared" si="52"/>
        <v>26.046108380591885</v>
      </c>
      <c r="V89" s="16">
        <f t="shared" si="53"/>
        <v>13.705089241407284</v>
      </c>
      <c r="W89" s="16">
        <f t="shared" si="54"/>
        <v>3.598698953517864</v>
      </c>
      <c r="X89" s="16">
        <f t="shared" si="55"/>
        <v>9.826947991447355</v>
      </c>
      <c r="Y89" s="16">
        <f t="shared" si="56"/>
        <v>6.0355480552538143</v>
      </c>
      <c r="Z89">
        <v>0.8</v>
      </c>
      <c r="AB89">
        <f t="shared" si="57"/>
        <v>7.8615583931578845</v>
      </c>
      <c r="AD89" s="9">
        <v>0</v>
      </c>
      <c r="AE89">
        <v>0</v>
      </c>
      <c r="AF89">
        <v>0</v>
      </c>
      <c r="AG89">
        <f t="shared" ref="AG89:AG130" si="60">IF(AJ88&gt;=$H$6,0,$D$6-AJ88-AE89+AI89)</f>
        <v>0</v>
      </c>
      <c r="AH89" s="71">
        <f t="shared" ref="AH89:AH130" si="61">IF(AK88&lt;=$F$7,1,($D$6-AK88)/($D$6-$F$7))</f>
        <v>0.88313459377723791</v>
      </c>
      <c r="AI89">
        <f t="shared" ref="AI89:AI130" si="62">AB89*AH89</f>
        <v>6.9428141779975237</v>
      </c>
      <c r="AJ89">
        <f t="shared" ref="AJ89:AJ130" si="63">AJ88-AI89+AE89-AF89+AG89</f>
        <v>47.45827679868033</v>
      </c>
      <c r="AK89" s="2">
        <f t="shared" si="59"/>
        <v>29.54172320131967</v>
      </c>
    </row>
    <row r="90" spans="1:38" ht="15.6">
      <c r="A90" s="1">
        <v>44276</v>
      </c>
      <c r="B90" s="13">
        <f t="shared" si="58"/>
        <v>80</v>
      </c>
      <c r="C90" s="13">
        <f t="shared" si="40"/>
        <v>29.25</v>
      </c>
      <c r="D90" s="14">
        <v>36.5</v>
      </c>
      <c r="E90" s="14">
        <v>22</v>
      </c>
      <c r="F90" s="14">
        <v>47</v>
      </c>
      <c r="G90" s="14">
        <v>6</v>
      </c>
      <c r="H90" s="15">
        <v>7.5</v>
      </c>
      <c r="I90" s="16">
        <f>4098*(0.6108*EXP(17.27*Tomato!C90/(Tomato!C90+237.3)))/(Tomato!C90+237.3)^2</f>
        <v>0.23440079772556432</v>
      </c>
      <c r="J90" s="16">
        <f t="shared" si="41"/>
        <v>0.43917519772556435</v>
      </c>
      <c r="K90" s="16">
        <f t="shared" si="42"/>
        <v>6.1059301791053064</v>
      </c>
      <c r="L90" s="16">
        <f t="shared" si="43"/>
        <v>2.6439311922105757</v>
      </c>
      <c r="M90" s="16">
        <f t="shared" si="44"/>
        <v>4.3749306856579411</v>
      </c>
      <c r="N90" s="16">
        <f t="shared" si="45"/>
        <v>2.0562174222592322</v>
      </c>
      <c r="O90" s="16">
        <f t="shared" si="46"/>
        <v>-5.5465423067879117E-3</v>
      </c>
      <c r="P90" s="16">
        <f t="shared" si="47"/>
        <v>1.0063735089105665</v>
      </c>
      <c r="Q90" s="16">
        <f t="shared" si="48"/>
        <v>1.5684922039356435</v>
      </c>
      <c r="R90" s="16">
        <f t="shared" si="49"/>
        <v>34.822255716474935</v>
      </c>
      <c r="S90" s="16">
        <f t="shared" si="50"/>
        <v>11.988475444094091</v>
      </c>
      <c r="T90" s="16">
        <f t="shared" si="51"/>
        <v>19.597979695054232</v>
      </c>
      <c r="U90" s="16">
        <f t="shared" si="52"/>
        <v>26.153603378415664</v>
      </c>
      <c r="V90" s="16">
        <f t="shared" si="53"/>
        <v>15.090444365191759</v>
      </c>
      <c r="W90" s="16">
        <f t="shared" si="54"/>
        <v>3.7907885225675337</v>
      </c>
      <c r="X90" s="16">
        <f t="shared" si="55"/>
        <v>8.8145084570774976</v>
      </c>
      <c r="Y90" s="16">
        <f t="shared" si="56"/>
        <v>5.8544827190786002</v>
      </c>
      <c r="Z90">
        <v>0.8</v>
      </c>
      <c r="AB90">
        <f t="shared" si="57"/>
        <v>7.0516067656619983</v>
      </c>
      <c r="AD90" s="9">
        <v>0</v>
      </c>
      <c r="AE90">
        <v>0</v>
      </c>
      <c r="AF90">
        <v>0</v>
      </c>
      <c r="AG90">
        <f t="shared" si="60"/>
        <v>0</v>
      </c>
      <c r="AH90" s="71">
        <f t="shared" si="61"/>
        <v>0.77042657140714821</v>
      </c>
      <c r="AI90">
        <f t="shared" si="62"/>
        <v>5.4327452233804232</v>
      </c>
      <c r="AJ90">
        <f t="shared" si="63"/>
        <v>42.025531575299908</v>
      </c>
      <c r="AK90" s="2">
        <f t="shared" si="59"/>
        <v>34.974468424700092</v>
      </c>
    </row>
    <row r="91" spans="1:38" ht="15.6">
      <c r="A91" s="1">
        <v>44277</v>
      </c>
      <c r="B91" s="13">
        <f t="shared" si="58"/>
        <v>81</v>
      </c>
      <c r="C91" s="13">
        <f t="shared" si="40"/>
        <v>29.3</v>
      </c>
      <c r="D91" s="14">
        <v>37</v>
      </c>
      <c r="E91" s="14">
        <v>21.6</v>
      </c>
      <c r="F91" s="14">
        <v>52</v>
      </c>
      <c r="G91" s="14">
        <v>8</v>
      </c>
      <c r="H91" s="15">
        <v>6.4</v>
      </c>
      <c r="I91" s="16">
        <f>4098*(0.6108*EXP(17.27*Tomato!C91/(Tomato!C91+237.3)))/(Tomato!C91+237.3)^2</f>
        <v>0.2349895019498757</v>
      </c>
      <c r="J91" s="16">
        <f t="shared" si="41"/>
        <v>0.48556870194987567</v>
      </c>
      <c r="K91" s="16">
        <f t="shared" si="42"/>
        <v>6.2748150241265215</v>
      </c>
      <c r="L91" s="16">
        <f t="shared" si="43"/>
        <v>2.5801527260359443</v>
      </c>
      <c r="M91" s="16">
        <f t="shared" si="44"/>
        <v>4.4274838750812329</v>
      </c>
      <c r="N91" s="16">
        <f t="shared" si="45"/>
        <v>2.302291615042241</v>
      </c>
      <c r="O91" s="16">
        <f t="shared" si="46"/>
        <v>1.4903254691427505E-3</v>
      </c>
      <c r="P91" s="16">
        <f t="shared" si="47"/>
        <v>1.0058155024775539</v>
      </c>
      <c r="Q91" s="16">
        <f t="shared" si="48"/>
        <v>1.5714154255596497</v>
      </c>
      <c r="R91" s="16">
        <f t="shared" si="49"/>
        <v>34.963748326498902</v>
      </c>
      <c r="S91" s="16">
        <f t="shared" si="50"/>
        <v>12.010818539309424</v>
      </c>
      <c r="T91" s="16">
        <f t="shared" si="51"/>
        <v>18.056205169192499</v>
      </c>
      <c r="U91" s="16">
        <f t="shared" si="52"/>
        <v>26.259872818100263</v>
      </c>
      <c r="V91" s="16">
        <f t="shared" si="53"/>
        <v>13.903277980278224</v>
      </c>
      <c r="W91" s="16">
        <f t="shared" si="54"/>
        <v>3.0387895542285452</v>
      </c>
      <c r="X91" s="16">
        <f t="shared" si="55"/>
        <v>9.1669246279721897</v>
      </c>
      <c r="Y91" s="16">
        <f t="shared" si="56"/>
        <v>6.0643918039629137</v>
      </c>
      <c r="Z91">
        <v>0.8</v>
      </c>
      <c r="AB91">
        <f t="shared" si="57"/>
        <v>7.3335397023777524</v>
      </c>
      <c r="AD91" s="9">
        <v>0</v>
      </c>
      <c r="AE91">
        <v>0</v>
      </c>
      <c r="AF91">
        <v>0</v>
      </c>
      <c r="AG91">
        <f t="shared" si="60"/>
        <v>0</v>
      </c>
      <c r="AH91" s="71">
        <f t="shared" si="61"/>
        <v>0.68223265544318035</v>
      </c>
      <c r="AI91">
        <f t="shared" si="62"/>
        <v>5.0031802649511645</v>
      </c>
      <c r="AJ91">
        <f t="shared" si="63"/>
        <v>37.022351310348746</v>
      </c>
      <c r="AK91" s="2">
        <f t="shared" si="59"/>
        <v>39.977648689651254</v>
      </c>
    </row>
    <row r="92" spans="1:38" ht="15.6">
      <c r="A92" s="1">
        <v>44278</v>
      </c>
      <c r="B92" s="13">
        <f t="shared" si="58"/>
        <v>82</v>
      </c>
      <c r="C92" s="13">
        <f t="shared" si="40"/>
        <v>30.05</v>
      </c>
      <c r="D92" s="14">
        <v>37.6</v>
      </c>
      <c r="E92" s="14">
        <v>22.5</v>
      </c>
      <c r="F92" s="14">
        <v>52</v>
      </c>
      <c r="G92" s="14">
        <v>7</v>
      </c>
      <c r="H92" s="15">
        <v>6.6</v>
      </c>
      <c r="I92" s="16">
        <f>4098*(0.6108*EXP(17.27*Tomato!C92/(Tomato!C92+237.3)))/(Tomato!C92+237.3)^2</f>
        <v>0.24397006559464809</v>
      </c>
      <c r="J92" s="16">
        <f t="shared" si="41"/>
        <v>0.47164686559464813</v>
      </c>
      <c r="K92" s="16">
        <f t="shared" si="42"/>
        <v>6.4828047854892876</v>
      </c>
      <c r="L92" s="16">
        <f t="shared" si="43"/>
        <v>2.7255876066054592</v>
      </c>
      <c r="M92" s="16">
        <f t="shared" si="44"/>
        <v>4.6041961960473738</v>
      </c>
      <c r="N92" s="16">
        <f t="shared" si="45"/>
        <v>2.3941820219446344</v>
      </c>
      <c r="O92" s="16">
        <f t="shared" si="46"/>
        <v>8.526752077109085E-3</v>
      </c>
      <c r="P92" s="16">
        <f t="shared" si="47"/>
        <v>1.0052557745324</v>
      </c>
      <c r="Q92" s="16">
        <f t="shared" si="48"/>
        <v>1.5743385305083202</v>
      </c>
      <c r="R92" s="16">
        <f t="shared" si="49"/>
        <v>35.103560428386885</v>
      </c>
      <c r="S92" s="16">
        <f t="shared" si="50"/>
        <v>12.033160742738753</v>
      </c>
      <c r="T92" s="16">
        <f t="shared" si="51"/>
        <v>18.402766361000324</v>
      </c>
      <c r="U92" s="16">
        <f t="shared" si="52"/>
        <v>26.364880095344251</v>
      </c>
      <c r="V92" s="16">
        <f t="shared" si="53"/>
        <v>14.170130097970251</v>
      </c>
      <c r="W92" s="16">
        <f t="shared" si="54"/>
        <v>3.0396537545964604</v>
      </c>
      <c r="X92" s="16">
        <f t="shared" si="55"/>
        <v>8.9106067785718235</v>
      </c>
      <c r="Y92" s="16">
        <f t="shared" si="56"/>
        <v>6.1250492132696026</v>
      </c>
      <c r="Z92">
        <v>0.8</v>
      </c>
      <c r="AB92">
        <f t="shared" si="57"/>
        <v>7.1284854228574588</v>
      </c>
      <c r="AD92" s="9">
        <v>0</v>
      </c>
      <c r="AE92">
        <v>0</v>
      </c>
      <c r="AF92">
        <v>0</v>
      </c>
      <c r="AG92">
        <f t="shared" si="60"/>
        <v>44.261955372049449</v>
      </c>
      <c r="AH92" s="71">
        <f t="shared" si="61"/>
        <v>0.60101219659657057</v>
      </c>
      <c r="AI92">
        <f t="shared" si="62"/>
        <v>4.2843066823981948</v>
      </c>
      <c r="AJ92">
        <f t="shared" si="63"/>
        <v>77</v>
      </c>
      <c r="AK92" s="2">
        <f t="shared" si="59"/>
        <v>0</v>
      </c>
      <c r="AL92" t="s">
        <v>2</v>
      </c>
    </row>
    <row r="93" spans="1:38" ht="15.6">
      <c r="A93" s="1">
        <v>44279</v>
      </c>
      <c r="B93" s="13">
        <f t="shared" si="58"/>
        <v>83</v>
      </c>
      <c r="C93" s="13">
        <f t="shared" si="40"/>
        <v>29.85</v>
      </c>
      <c r="D93" s="14">
        <v>37.4</v>
      </c>
      <c r="E93" s="14">
        <v>22.3</v>
      </c>
      <c r="F93" s="14">
        <v>52</v>
      </c>
      <c r="G93" s="14">
        <v>6</v>
      </c>
      <c r="H93" s="15">
        <v>5.4</v>
      </c>
      <c r="I93" s="16">
        <f>4098*(0.6108*EXP(17.27*Tomato!C93/(Tomato!C93+237.3)))/(Tomato!C93+237.3)^2</f>
        <v>0.24154756638329455</v>
      </c>
      <c r="J93" s="16">
        <f t="shared" si="41"/>
        <v>0.44632196638329458</v>
      </c>
      <c r="K93" s="16">
        <f t="shared" si="42"/>
        <v>6.4128214159504626</v>
      </c>
      <c r="L93" s="16">
        <f t="shared" si="43"/>
        <v>2.6926645530366384</v>
      </c>
      <c r="M93" s="16">
        <f t="shared" si="44"/>
        <v>4.5527429844935501</v>
      </c>
      <c r="N93" s="16">
        <f t="shared" si="45"/>
        <v>2.3674263519366461</v>
      </c>
      <c r="O93" s="16">
        <f t="shared" si="46"/>
        <v>1.5560654585518507E-2</v>
      </c>
      <c r="P93" s="16">
        <f t="shared" si="47"/>
        <v>1.0046944907664543</v>
      </c>
      <c r="Q93" s="16">
        <f t="shared" si="48"/>
        <v>1.5772609677101979</v>
      </c>
      <c r="R93" s="16">
        <f t="shared" si="49"/>
        <v>35.241645365453515</v>
      </c>
      <c r="S93" s="16">
        <f t="shared" si="50"/>
        <v>12.05549784237094</v>
      </c>
      <c r="T93" s="16">
        <f t="shared" si="51"/>
        <v>16.703278457335671</v>
      </c>
      <c r="U93" s="16">
        <f t="shared" si="52"/>
        <v>26.468590168177514</v>
      </c>
      <c r="V93" s="16">
        <f t="shared" si="53"/>
        <v>12.861524412148468</v>
      </c>
      <c r="W93" s="16">
        <f t="shared" si="54"/>
        <v>2.5943680907258782</v>
      </c>
      <c r="X93" s="16">
        <f t="shared" si="55"/>
        <v>8.1478413943660275</v>
      </c>
      <c r="Y93" s="16">
        <f t="shared" si="56"/>
        <v>6.1234412340571689</v>
      </c>
      <c r="Z93">
        <v>0.8</v>
      </c>
      <c r="AB93">
        <f t="shared" si="57"/>
        <v>6.5182731154928222</v>
      </c>
      <c r="AD93" s="9">
        <v>0</v>
      </c>
      <c r="AE93">
        <v>0</v>
      </c>
      <c r="AF93">
        <v>0</v>
      </c>
      <c r="AG93">
        <f t="shared" si="60"/>
        <v>0</v>
      </c>
      <c r="AH93" s="71">
        <f t="shared" si="61"/>
        <v>1</v>
      </c>
      <c r="AI93">
        <f t="shared" si="62"/>
        <v>6.5182731154928222</v>
      </c>
      <c r="AJ93">
        <f t="shared" si="63"/>
        <v>70.481726884507182</v>
      </c>
      <c r="AK93" s="2">
        <f t="shared" si="59"/>
        <v>6.5182731154928177</v>
      </c>
    </row>
    <row r="94" spans="1:38" ht="15.6">
      <c r="A94" s="1">
        <v>44280</v>
      </c>
      <c r="B94" s="13">
        <f t="shared" si="58"/>
        <v>84</v>
      </c>
      <c r="C94" s="13">
        <f t="shared" si="40"/>
        <v>29.4</v>
      </c>
      <c r="D94" s="14">
        <v>38</v>
      </c>
      <c r="E94" s="14">
        <v>20.8</v>
      </c>
      <c r="F94" s="14">
        <v>52</v>
      </c>
      <c r="G94" s="14">
        <v>6</v>
      </c>
      <c r="H94" s="15">
        <v>8.1999999999999993</v>
      </c>
      <c r="I94" s="16">
        <f>4098*(0.6108*EXP(17.27*Tomato!C94/(Tomato!C94+237.3)))/(Tomato!C94+237.3)^2</f>
        <v>0.23617063355931983</v>
      </c>
      <c r="J94" s="16">
        <f t="shared" si="41"/>
        <v>0.44094503355931985</v>
      </c>
      <c r="K94" s="16">
        <f t="shared" si="42"/>
        <v>6.6247576218785209</v>
      </c>
      <c r="L94" s="16">
        <f t="shared" si="43"/>
        <v>2.4566163260716172</v>
      </c>
      <c r="M94" s="16">
        <f t="shared" si="44"/>
        <v>4.5406869739750686</v>
      </c>
      <c r="N94" s="16">
        <f t="shared" si="45"/>
        <v>2.3611572264670357</v>
      </c>
      <c r="O94" s="16">
        <f t="shared" si="46"/>
        <v>2.2589950809965641E-2</v>
      </c>
      <c r="P94" s="16">
        <f t="shared" si="47"/>
        <v>1.0041318173316225</v>
      </c>
      <c r="Q94" s="16">
        <f t="shared" si="48"/>
        <v>1.580182185447917</v>
      </c>
      <c r="R94" s="16">
        <f t="shared" si="49"/>
        <v>35.37795858921524</v>
      </c>
      <c r="S94" s="16">
        <f t="shared" si="50"/>
        <v>12.077825621257965</v>
      </c>
      <c r="T94" s="16">
        <f t="shared" si="51"/>
        <v>20.854071070675513</v>
      </c>
      <c r="U94" s="16">
        <f t="shared" si="52"/>
        <v>26.570969578015998</v>
      </c>
      <c r="V94" s="16">
        <f t="shared" si="53"/>
        <v>16.057634724420144</v>
      </c>
      <c r="W94" s="16">
        <f t="shared" si="54"/>
        <v>3.6581479468924005</v>
      </c>
      <c r="X94" s="16">
        <f t="shared" si="55"/>
        <v>8.6551557468769342</v>
      </c>
      <c r="Y94" s="16">
        <f t="shared" si="56"/>
        <v>6.4987075025863827</v>
      </c>
      <c r="Z94">
        <v>0.8</v>
      </c>
      <c r="AB94">
        <f t="shared" si="57"/>
        <v>6.9241245975015477</v>
      </c>
      <c r="AD94" s="9">
        <v>0</v>
      </c>
      <c r="AE94">
        <v>0</v>
      </c>
      <c r="AF94">
        <v>0</v>
      </c>
      <c r="AG94">
        <f t="shared" si="60"/>
        <v>0</v>
      </c>
      <c r="AH94" s="71">
        <f t="shared" si="61"/>
        <v>1</v>
      </c>
      <c r="AI94">
        <f t="shared" si="62"/>
        <v>6.9241245975015477</v>
      </c>
      <c r="AJ94">
        <f t="shared" si="63"/>
        <v>63.557602287005636</v>
      </c>
      <c r="AK94" s="2">
        <f t="shared" si="59"/>
        <v>13.442397712994364</v>
      </c>
    </row>
    <row r="95" spans="1:38" ht="15.6">
      <c r="A95" s="1">
        <v>44281</v>
      </c>
      <c r="B95" s="13">
        <f t="shared" si="58"/>
        <v>85</v>
      </c>
      <c r="C95" s="13">
        <f t="shared" si="40"/>
        <v>28.45</v>
      </c>
      <c r="D95" s="14">
        <v>35.9</v>
      </c>
      <c r="E95" s="14">
        <v>21</v>
      </c>
      <c r="F95" s="14">
        <v>47</v>
      </c>
      <c r="G95" s="14">
        <v>7</v>
      </c>
      <c r="H95" s="15">
        <v>7.7</v>
      </c>
      <c r="I95" s="16">
        <f>4098*(0.6108*EXP(17.27*Tomato!C95/(Tomato!C95+237.3)))/(Tomato!C95+237.3)^2</f>
        <v>0.22514855067229991</v>
      </c>
      <c r="J95" s="16">
        <f t="shared" si="41"/>
        <v>0.45282535067229995</v>
      </c>
      <c r="K95" s="16">
        <f t="shared" si="42"/>
        <v>5.9084786537204232</v>
      </c>
      <c r="L95" s="16">
        <f t="shared" si="43"/>
        <v>2.4870053972720654</v>
      </c>
      <c r="M95" s="16">
        <f t="shared" si="44"/>
        <v>4.1977420254962441</v>
      </c>
      <c r="N95" s="16">
        <f t="shared" si="45"/>
        <v>1.9729387519832347</v>
      </c>
      <c r="O95" s="16">
        <f t="shared" si="46"/>
        <v>2.9612559929603006E-2</v>
      </c>
      <c r="P95" s="16">
        <f t="shared" si="47"/>
        <v>1.0035679207911812</v>
      </c>
      <c r="Q95" s="16">
        <f t="shared" si="48"/>
        <v>1.5831016308265815</v>
      </c>
      <c r="R95" s="16">
        <f t="shared" si="49"/>
        <v>35.512457684265975</v>
      </c>
      <c r="S95" s="16">
        <f t="shared" si="50"/>
        <v>12.100139853451578</v>
      </c>
      <c r="T95" s="16">
        <f t="shared" si="51"/>
        <v>20.177402176440964</v>
      </c>
      <c r="U95" s="16">
        <f t="shared" si="52"/>
        <v>26.671986468344802</v>
      </c>
      <c r="V95" s="16">
        <f t="shared" si="53"/>
        <v>15.536599675859543</v>
      </c>
      <c r="W95" s="16">
        <f t="shared" si="54"/>
        <v>3.9187185823045771</v>
      </c>
      <c r="X95" s="16">
        <f t="shared" si="55"/>
        <v>9.2733444332589148</v>
      </c>
      <c r="Y95" s="16">
        <f t="shared" si="56"/>
        <v>5.949405897518881</v>
      </c>
      <c r="Z95">
        <v>0.8</v>
      </c>
      <c r="AB95">
        <f t="shared" si="57"/>
        <v>7.4186755466071324</v>
      </c>
      <c r="AD95" s="10">
        <v>0</v>
      </c>
      <c r="AE95">
        <v>0</v>
      </c>
      <c r="AF95">
        <v>0</v>
      </c>
      <c r="AG95">
        <f t="shared" si="60"/>
        <v>0</v>
      </c>
      <c r="AH95" s="71">
        <f t="shared" si="61"/>
        <v>1</v>
      </c>
      <c r="AI95">
        <f t="shared" si="62"/>
        <v>7.4186755466071324</v>
      </c>
      <c r="AJ95">
        <f t="shared" si="63"/>
        <v>56.138926740398503</v>
      </c>
      <c r="AK95" s="2">
        <f t="shared" si="59"/>
        <v>20.861073259601497</v>
      </c>
    </row>
    <row r="96" spans="1:38" ht="15.6">
      <c r="A96" s="1">
        <v>44282</v>
      </c>
      <c r="B96" s="13">
        <f t="shared" si="58"/>
        <v>86</v>
      </c>
      <c r="C96" s="13">
        <f t="shared" si="40"/>
        <v>28.2</v>
      </c>
      <c r="D96" s="14">
        <v>36</v>
      </c>
      <c r="E96" s="14">
        <v>20.399999999999999</v>
      </c>
      <c r="F96" s="14">
        <v>31</v>
      </c>
      <c r="G96" s="14">
        <v>6</v>
      </c>
      <c r="H96" s="15">
        <v>7.5</v>
      </c>
      <c r="I96" s="16">
        <f>4098*(0.6108*EXP(17.27*Tomato!C96/(Tomato!C96+237.3)))/(Tomato!C96+237.3)^2</f>
        <v>0.22232091572927459</v>
      </c>
      <c r="J96" s="16">
        <f t="shared" si="41"/>
        <v>0.42709531572927462</v>
      </c>
      <c r="K96" s="16">
        <f t="shared" si="42"/>
        <v>5.9409977016273503</v>
      </c>
      <c r="L96" s="16">
        <f t="shared" si="43"/>
        <v>2.3968104104453793</v>
      </c>
      <c r="M96" s="16">
        <f t="shared" si="44"/>
        <v>4.1689040560363644</v>
      </c>
      <c r="N96" s="16">
        <f t="shared" si="45"/>
        <v>1.2923602573712729</v>
      </c>
      <c r="O96" s="16">
        <f t="shared" si="46"/>
        <v>3.6626403103107601E-2</v>
      </c>
      <c r="P96" s="16">
        <f t="shared" si="47"/>
        <v>1.0030029680704724</v>
      </c>
      <c r="Q96" s="16">
        <f t="shared" si="48"/>
        <v>1.5860187492445978</v>
      </c>
      <c r="R96" s="16">
        <f t="shared" si="49"/>
        <v>35.645102389955085</v>
      </c>
      <c r="S96" s="16">
        <f t="shared" si="50"/>
        <v>12.122436299958709</v>
      </c>
      <c r="T96" s="16">
        <f t="shared" si="51"/>
        <v>19.937865521725936</v>
      </c>
      <c r="U96" s="16">
        <f t="shared" si="52"/>
        <v>26.771610600999665</v>
      </c>
      <c r="V96" s="16">
        <f t="shared" si="53"/>
        <v>15.352156451728971</v>
      </c>
      <c r="W96" s="16">
        <f t="shared" si="54"/>
        <v>4.812364770979511</v>
      </c>
      <c r="X96" s="16">
        <f t="shared" si="55"/>
        <v>10.372131045671084</v>
      </c>
      <c r="Y96" s="16">
        <f t="shared" si="56"/>
        <v>6.0772625132035225</v>
      </c>
      <c r="Z96">
        <v>0.8</v>
      </c>
      <c r="AB96">
        <f t="shared" si="57"/>
        <v>8.2977048365368677</v>
      </c>
      <c r="AD96" s="10">
        <v>0</v>
      </c>
      <c r="AE96">
        <v>0</v>
      </c>
      <c r="AF96">
        <v>0</v>
      </c>
      <c r="AG96">
        <f t="shared" si="60"/>
        <v>0</v>
      </c>
      <c r="AH96" s="71">
        <f t="shared" si="61"/>
        <v>0.91134621331815746</v>
      </c>
      <c r="AI96">
        <f t="shared" si="62"/>
        <v>7.5620818820096352</v>
      </c>
      <c r="AJ96">
        <f t="shared" si="63"/>
        <v>48.576844858388867</v>
      </c>
      <c r="AK96" s="2">
        <f t="shared" si="59"/>
        <v>28.423155141611133</v>
      </c>
    </row>
    <row r="97" spans="1:38" ht="15.6">
      <c r="A97" s="1">
        <v>44283</v>
      </c>
      <c r="B97" s="13">
        <f t="shared" si="58"/>
        <v>87</v>
      </c>
      <c r="C97" s="13">
        <f t="shared" si="40"/>
        <v>28.2</v>
      </c>
      <c r="D97" s="14">
        <v>36</v>
      </c>
      <c r="E97" s="14">
        <v>20.399999999999999</v>
      </c>
      <c r="F97" s="14">
        <v>45</v>
      </c>
      <c r="G97" s="14">
        <v>6</v>
      </c>
      <c r="H97" s="15">
        <v>7.5</v>
      </c>
      <c r="I97" s="16">
        <f>4098*(0.6108*EXP(17.27*Tomato!C97/(Tomato!C97+237.3)))/(Tomato!C97+237.3)^2</f>
        <v>0.22232091572927459</v>
      </c>
      <c r="J97" s="16">
        <f t="shared" si="41"/>
        <v>0.42709531572927462</v>
      </c>
      <c r="K97" s="16">
        <f t="shared" si="42"/>
        <v>5.9409977016273503</v>
      </c>
      <c r="L97" s="16">
        <f t="shared" si="43"/>
        <v>2.3968104104453793</v>
      </c>
      <c r="M97" s="16">
        <f t="shared" si="44"/>
        <v>4.1689040560363644</v>
      </c>
      <c r="N97" s="16">
        <f t="shared" si="45"/>
        <v>1.876006825216364</v>
      </c>
      <c r="O97" s="16">
        <f t="shared" si="46"/>
        <v>4.3629404084062746E-2</v>
      </c>
      <c r="P97" s="16">
        <f t="shared" si="47"/>
        <v>1.0024371264074905</v>
      </c>
      <c r="Q97" s="16">
        <f t="shared" si="48"/>
        <v>1.5889329838680872</v>
      </c>
      <c r="R97" s="16">
        <f t="shared" si="49"/>
        <v>35.775854618834792</v>
      </c>
      <c r="S97" s="16">
        <f t="shared" si="50"/>
        <v>12.144710704724234</v>
      </c>
      <c r="T97" s="16">
        <f t="shared" si="51"/>
        <v>19.990703102231571</v>
      </c>
      <c r="U97" s="16">
        <f t="shared" si="52"/>
        <v>26.869813370022058</v>
      </c>
      <c r="V97" s="16">
        <f t="shared" si="53"/>
        <v>15.39284138871831</v>
      </c>
      <c r="W97" s="16">
        <f t="shared" si="54"/>
        <v>3.9387396293482668</v>
      </c>
      <c r="X97" s="16">
        <f t="shared" si="55"/>
        <v>8.9160013660557791</v>
      </c>
      <c r="Y97" s="16">
        <f t="shared" si="56"/>
        <v>6.0995549339236375</v>
      </c>
      <c r="Z97">
        <v>0.8</v>
      </c>
      <c r="AB97">
        <f t="shared" si="57"/>
        <v>7.1328010928446233</v>
      </c>
      <c r="AD97" s="10">
        <v>0</v>
      </c>
      <c r="AE97">
        <v>0</v>
      </c>
      <c r="AF97">
        <v>0</v>
      </c>
      <c r="AG97">
        <f t="shared" si="60"/>
        <v>0</v>
      </c>
      <c r="AH97" s="71">
        <f t="shared" si="61"/>
        <v>0.7885851438050141</v>
      </c>
      <c r="AI97">
        <f t="shared" si="62"/>
        <v>5.6248209755334386</v>
      </c>
      <c r="AJ97">
        <f t="shared" si="63"/>
        <v>42.952023882855428</v>
      </c>
      <c r="AK97" s="2">
        <f t="shared" si="59"/>
        <v>34.047976117144572</v>
      </c>
    </row>
    <row r="98" spans="1:38" ht="15.6">
      <c r="A98" s="1">
        <v>44284</v>
      </c>
      <c r="B98" s="13">
        <f t="shared" si="58"/>
        <v>88</v>
      </c>
      <c r="C98" s="13">
        <f t="shared" si="40"/>
        <v>29.9</v>
      </c>
      <c r="D98" s="14">
        <v>37</v>
      </c>
      <c r="E98" s="14">
        <v>22.8</v>
      </c>
      <c r="F98" s="14">
        <v>53</v>
      </c>
      <c r="G98" s="14">
        <v>5</v>
      </c>
      <c r="H98" s="15">
        <v>7.5</v>
      </c>
      <c r="I98" s="16">
        <f>4098*(0.6108*EXP(17.27*Tomato!C98/(Tomato!C98+237.3)))/(Tomato!C98+237.3)^2</f>
        <v>0.24215129129346122</v>
      </c>
      <c r="J98" s="16">
        <f t="shared" si="41"/>
        <v>0.42402329129346128</v>
      </c>
      <c r="K98" s="16">
        <f t="shared" si="42"/>
        <v>6.2748150241265215</v>
      </c>
      <c r="L98" s="16">
        <f t="shared" si="43"/>
        <v>2.7756312335019815</v>
      </c>
      <c r="M98" s="16">
        <f t="shared" si="44"/>
        <v>4.5252231288142513</v>
      </c>
      <c r="N98" s="16">
        <f t="shared" si="45"/>
        <v>2.3983682582715531</v>
      </c>
      <c r="O98" s="16">
        <f t="shared" si="46"/>
        <v>5.0619489835570956E-2</v>
      </c>
      <c r="P98" s="16">
        <f t="shared" si="47"/>
        <v>1.0018705633033747</v>
      </c>
      <c r="Q98" s="16">
        <f t="shared" si="48"/>
        <v>1.5918437751099908</v>
      </c>
      <c r="R98" s="16">
        <f t="shared" si="49"/>
        <v>35.904678471850474</v>
      </c>
      <c r="S98" s="16">
        <f t="shared" si="50"/>
        <v>12.166958790649611</v>
      </c>
      <c r="T98" s="16">
        <f t="shared" si="51"/>
        <v>20.042414403217663</v>
      </c>
      <c r="U98" s="16">
        <f t="shared" si="52"/>
        <v>26.966567813068014</v>
      </c>
      <c r="V98" s="16">
        <f t="shared" si="53"/>
        <v>15.432659090477602</v>
      </c>
      <c r="W98" s="16">
        <f t="shared" si="54"/>
        <v>3.3398171409029165</v>
      </c>
      <c r="X98" s="16">
        <f t="shared" si="55"/>
        <v>7.8371754462725054</v>
      </c>
      <c r="Y98" s="16">
        <f t="shared" si="56"/>
        <v>6.0562192916774293</v>
      </c>
      <c r="Z98">
        <v>0.8</v>
      </c>
      <c r="AB98">
        <f t="shared" si="57"/>
        <v>6.269740357018005</v>
      </c>
      <c r="AD98" s="10">
        <v>0</v>
      </c>
      <c r="AE98">
        <v>0</v>
      </c>
      <c r="AF98">
        <v>0</v>
      </c>
      <c r="AG98">
        <f t="shared" si="60"/>
        <v>0</v>
      </c>
      <c r="AH98" s="71">
        <f t="shared" si="61"/>
        <v>0.69727311498141931</v>
      </c>
      <c r="AI98">
        <f t="shared" si="62"/>
        <v>4.3717213888626603</v>
      </c>
      <c r="AJ98">
        <f t="shared" si="63"/>
        <v>38.580302493992768</v>
      </c>
      <c r="AK98" s="2">
        <f t="shared" si="59"/>
        <v>38.419697506007232</v>
      </c>
    </row>
    <row r="99" spans="1:38" ht="15.6">
      <c r="A99" s="1">
        <v>44285</v>
      </c>
      <c r="B99" s="13">
        <f t="shared" si="58"/>
        <v>89</v>
      </c>
      <c r="C99" s="13">
        <f t="shared" si="40"/>
        <v>31.35</v>
      </c>
      <c r="D99" s="14">
        <v>40</v>
      </c>
      <c r="E99" s="14">
        <v>22.7</v>
      </c>
      <c r="F99" s="14">
        <v>41</v>
      </c>
      <c r="G99" s="14">
        <v>6</v>
      </c>
      <c r="H99" s="15">
        <v>6.2</v>
      </c>
      <c r="I99" s="16">
        <f>4098*(0.6108*EXP(17.27*Tomato!C99/(Tomato!C99+237.3)))/(Tomato!C99+237.3)^2</f>
        <v>0.26021820629367171</v>
      </c>
      <c r="J99" s="16">
        <f t="shared" si="41"/>
        <v>0.46499260629367173</v>
      </c>
      <c r="K99" s="16">
        <f t="shared" si="42"/>
        <v>7.3756135930620479</v>
      </c>
      <c r="L99" s="16">
        <f t="shared" si="43"/>
        <v>2.7588616266004506</v>
      </c>
      <c r="M99" s="16">
        <f t="shared" si="44"/>
        <v>5.067237609831249</v>
      </c>
      <c r="N99" s="16">
        <f t="shared" si="45"/>
        <v>2.0775674200308121</v>
      </c>
      <c r="O99" s="16">
        <f t="shared" si="46"/>
        <v>5.7594591143916796E-2</v>
      </c>
      <c r="P99" s="16">
        <f t="shared" si="47"/>
        <v>1.001303446472827</v>
      </c>
      <c r="Q99" s="16">
        <f t="shared" si="48"/>
        <v>1.5947505601150069</v>
      </c>
      <c r="R99" s="16">
        <f t="shared" si="49"/>
        <v>36.031540250254828</v>
      </c>
      <c r="S99" s="16">
        <f t="shared" si="50"/>
        <v>12.189176255656104</v>
      </c>
      <c r="T99" s="16">
        <f t="shared" si="51"/>
        <v>18.171570321767273</v>
      </c>
      <c r="U99" s="16">
        <f t="shared" si="52"/>
        <v>27.06184862035639</v>
      </c>
      <c r="V99" s="16">
        <f t="shared" si="53"/>
        <v>13.9921091477608</v>
      </c>
      <c r="W99" s="16">
        <f t="shared" si="54"/>
        <v>3.2580929851187292</v>
      </c>
      <c r="X99" s="16">
        <f t="shared" si="55"/>
        <v>10.135054376422348</v>
      </c>
      <c r="Y99" s="16">
        <f t="shared" si="56"/>
        <v>6.9122175805328503</v>
      </c>
      <c r="Z99">
        <v>0.8</v>
      </c>
      <c r="AB99">
        <f t="shared" si="57"/>
        <v>8.1080435011378782</v>
      </c>
      <c r="AD99" s="10">
        <v>0</v>
      </c>
      <c r="AE99">
        <v>0</v>
      </c>
      <c r="AF99">
        <v>0</v>
      </c>
      <c r="AG99">
        <f t="shared" si="60"/>
        <v>0</v>
      </c>
      <c r="AH99" s="71">
        <f t="shared" si="61"/>
        <v>0.62630361191546702</v>
      </c>
      <c r="AI99">
        <f t="shared" si="62"/>
        <v>5.078096930330382</v>
      </c>
      <c r="AJ99">
        <f t="shared" si="63"/>
        <v>33.502205563662386</v>
      </c>
      <c r="AK99" s="2">
        <f t="shared" si="59"/>
        <v>43.497794436337614</v>
      </c>
    </row>
    <row r="100" spans="1:38" ht="15.6">
      <c r="A100" s="1">
        <v>44286</v>
      </c>
      <c r="B100" s="13">
        <f t="shared" si="58"/>
        <v>90</v>
      </c>
      <c r="C100" s="13">
        <f t="shared" si="40"/>
        <v>31</v>
      </c>
      <c r="D100" s="14">
        <v>42</v>
      </c>
      <c r="E100" s="14">
        <v>20</v>
      </c>
      <c r="F100" s="14">
        <v>42</v>
      </c>
      <c r="G100" s="14">
        <v>6</v>
      </c>
      <c r="H100" s="15">
        <v>7</v>
      </c>
      <c r="I100" s="16">
        <f>4098*(0.6108*EXP(17.27*Tomato!C100/(Tomato!C100+237.3)))/(Tomato!C100+237.3)^2</f>
        <v>0.25575704908466146</v>
      </c>
      <c r="J100" s="16">
        <f t="shared" si="41"/>
        <v>0.46053144908466148</v>
      </c>
      <c r="K100" s="16">
        <f t="shared" si="42"/>
        <v>8.1989555611411973</v>
      </c>
      <c r="L100" s="16">
        <f t="shared" si="43"/>
        <v>2.3382812709274461</v>
      </c>
      <c r="M100" s="16">
        <f t="shared" si="44"/>
        <v>5.2686184160343217</v>
      </c>
      <c r="N100" s="16">
        <f t="shared" si="45"/>
        <v>2.2128197347344152</v>
      </c>
      <c r="O100" s="16">
        <f t="shared" si="46"/>
        <v>6.4552643231097467E-2</v>
      </c>
      <c r="P100" s="16">
        <f t="shared" si="47"/>
        <v>1.0007359437944634</v>
      </c>
      <c r="Q100" s="16">
        <f t="shared" si="48"/>
        <v>1.5976527722514988</v>
      </c>
      <c r="R100" s="16">
        <f t="shared" si="49"/>
        <v>36.15640846423333</v>
      </c>
      <c r="S100" s="16">
        <f t="shared" si="50"/>
        <v>12.211358768801265</v>
      </c>
      <c r="T100" s="16">
        <f t="shared" si="51"/>
        <v>19.402193727790518</v>
      </c>
      <c r="U100" s="16">
        <f t="shared" si="52"/>
        <v>27.155632141147084</v>
      </c>
      <c r="V100" s="16">
        <f t="shared" si="53"/>
        <v>14.939689170398699</v>
      </c>
      <c r="W100" s="16">
        <f t="shared" si="54"/>
        <v>3.424114325221018</v>
      </c>
      <c r="X100" s="16">
        <f t="shared" si="55"/>
        <v>10.548640792022992</v>
      </c>
      <c r="Y100" s="16">
        <f t="shared" si="56"/>
        <v>7.7661262354142755</v>
      </c>
      <c r="Z100">
        <v>0.8</v>
      </c>
      <c r="AB100">
        <f t="shared" si="57"/>
        <v>8.4389126336183935</v>
      </c>
      <c r="AD100" s="10">
        <v>0</v>
      </c>
      <c r="AE100">
        <v>0</v>
      </c>
      <c r="AF100">
        <v>0</v>
      </c>
      <c r="AG100">
        <f t="shared" si="60"/>
        <v>48.087440309475127</v>
      </c>
      <c r="AH100" s="71">
        <f t="shared" si="61"/>
        <v>0.54386697343607771</v>
      </c>
      <c r="AI100">
        <f t="shared" si="62"/>
        <v>4.5896458731375152</v>
      </c>
      <c r="AJ100">
        <f t="shared" si="63"/>
        <v>77</v>
      </c>
      <c r="AK100" s="2">
        <f t="shared" si="59"/>
        <v>0</v>
      </c>
      <c r="AL100" t="s">
        <v>2</v>
      </c>
    </row>
    <row r="101" spans="1:38" ht="15.6">
      <c r="A101" s="1">
        <v>44287</v>
      </c>
      <c r="B101" s="13">
        <f t="shared" si="58"/>
        <v>91</v>
      </c>
      <c r="C101" s="13">
        <f t="shared" si="40"/>
        <v>30.1</v>
      </c>
      <c r="D101" s="14">
        <v>41</v>
      </c>
      <c r="E101" s="14">
        <v>19.2</v>
      </c>
      <c r="F101" s="14">
        <v>41</v>
      </c>
      <c r="G101" s="14">
        <v>6</v>
      </c>
      <c r="H101" s="15">
        <v>8</v>
      </c>
      <c r="I101" s="16">
        <f>4098*(0.6108*EXP(17.27*Tomato!C101/(Tomato!C101+237.3)))/(Tomato!C101+237.3)^2</f>
        <v>0.24457886384257072</v>
      </c>
      <c r="J101" s="16">
        <f t="shared" si="41"/>
        <v>0.44935326384257074</v>
      </c>
      <c r="K101" s="16">
        <f t="shared" si="42"/>
        <v>7.7778742566753829</v>
      </c>
      <c r="L101" s="16">
        <f t="shared" si="43"/>
        <v>2.2249611183378328</v>
      </c>
      <c r="M101" s="16">
        <f t="shared" si="44"/>
        <v>5.0014176875066081</v>
      </c>
      <c r="N101" s="16">
        <f t="shared" si="45"/>
        <v>2.0505812518777091</v>
      </c>
      <c r="O101" s="16">
        <f t="shared" si="46"/>
        <v>7.1491586366042026E-2</v>
      </c>
      <c r="P101" s="16">
        <f t="shared" si="47"/>
        <v>1.0001682232611195</v>
      </c>
      <c r="Q101" s="16">
        <f t="shared" si="48"/>
        <v>1.6005498406115271</v>
      </c>
      <c r="R101" s="16">
        <f t="shared" si="49"/>
        <v>36.27925383823596</v>
      </c>
      <c r="S101" s="16">
        <f t="shared" si="50"/>
        <v>12.233501966457531</v>
      </c>
      <c r="T101" s="16">
        <f t="shared" si="51"/>
        <v>20.932076264668552</v>
      </c>
      <c r="U101" s="16">
        <f t="shared" si="52"/>
        <v>27.247896387745499</v>
      </c>
      <c r="V101" s="16">
        <f t="shared" si="53"/>
        <v>16.117698723794785</v>
      </c>
      <c r="W101" s="16">
        <f t="shared" si="54"/>
        <v>4.006157716864065</v>
      </c>
      <c r="X101" s="16">
        <f t="shared" si="55"/>
        <v>10.570360445803681</v>
      </c>
      <c r="Y101" s="16">
        <f t="shared" si="56"/>
        <v>7.6139514914554987</v>
      </c>
      <c r="Z101">
        <v>0.8</v>
      </c>
      <c r="AB101">
        <f t="shared" si="57"/>
        <v>8.4562883566429452</v>
      </c>
      <c r="AD101" s="12">
        <v>0</v>
      </c>
      <c r="AE101">
        <v>0</v>
      </c>
      <c r="AF101">
        <v>0</v>
      </c>
      <c r="AG101">
        <f t="shared" si="60"/>
        <v>0</v>
      </c>
      <c r="AH101" s="71">
        <f t="shared" si="61"/>
        <v>1</v>
      </c>
      <c r="AI101">
        <f t="shared" si="62"/>
        <v>8.4562883566429452</v>
      </c>
      <c r="AJ101">
        <f t="shared" si="63"/>
        <v>68.543711643357057</v>
      </c>
      <c r="AK101" s="2">
        <f t="shared" si="59"/>
        <v>8.4562883566429434</v>
      </c>
    </row>
    <row r="102" spans="1:38" ht="15.6">
      <c r="A102" s="1">
        <v>44288</v>
      </c>
      <c r="B102" s="13">
        <f t="shared" si="58"/>
        <v>92</v>
      </c>
      <c r="C102" s="13">
        <f t="shared" si="40"/>
        <v>28.2</v>
      </c>
      <c r="D102" s="14">
        <v>37.4</v>
      </c>
      <c r="E102" s="14">
        <v>19</v>
      </c>
      <c r="F102" s="14">
        <v>52</v>
      </c>
      <c r="G102" s="14">
        <v>8</v>
      </c>
      <c r="H102" s="15">
        <v>8.1999999999999993</v>
      </c>
      <c r="I102" s="16">
        <f>4098*(0.6108*EXP(17.27*Tomato!C102/(Tomato!C102+237.3)))/(Tomato!C102+237.3)^2</f>
        <v>0.22232091572927459</v>
      </c>
      <c r="J102" s="16">
        <f t="shared" si="41"/>
        <v>0.47290011572927459</v>
      </c>
      <c r="K102" s="16">
        <f t="shared" si="42"/>
        <v>6.4128214159504626</v>
      </c>
      <c r="L102" s="16">
        <f t="shared" si="43"/>
        <v>2.1973933238855259</v>
      </c>
      <c r="M102" s="16">
        <f t="shared" si="44"/>
        <v>4.3051073699179945</v>
      </c>
      <c r="N102" s="16">
        <f t="shared" si="45"/>
        <v>2.2386558323573573</v>
      </c>
      <c r="O102" s="16">
        <f t="shared" si="46"/>
        <v>7.8409366474334455E-2</v>
      </c>
      <c r="P102" s="16">
        <f t="shared" si="47"/>
        <v>0.99960045293012068</v>
      </c>
      <c r="Q102" s="16">
        <f t="shared" si="48"/>
        <v>1.6034411895201717</v>
      </c>
      <c r="R102" s="16">
        <f t="shared" si="49"/>
        <v>36.40004931301651</v>
      </c>
      <c r="S102" s="16">
        <f t="shared" si="50"/>
        <v>12.255601448561821</v>
      </c>
      <c r="T102" s="16">
        <f t="shared" si="51"/>
        <v>21.277317767709395</v>
      </c>
      <c r="U102" s="16">
        <f t="shared" si="52"/>
        <v>27.338621037034176</v>
      </c>
      <c r="V102" s="16">
        <f t="shared" si="53"/>
        <v>16.383534681136233</v>
      </c>
      <c r="W102" s="16">
        <f t="shared" si="54"/>
        <v>3.7193074360264893</v>
      </c>
      <c r="X102" s="16">
        <f t="shared" si="55"/>
        <v>9.465279644396114</v>
      </c>
      <c r="Y102" s="16">
        <f t="shared" si="56"/>
        <v>6.7399506137901657</v>
      </c>
      <c r="Z102">
        <v>0.8</v>
      </c>
      <c r="AB102">
        <f t="shared" si="57"/>
        <v>7.5722237155168912</v>
      </c>
      <c r="AD102" s="12">
        <v>0</v>
      </c>
      <c r="AE102">
        <v>0</v>
      </c>
      <c r="AF102">
        <v>0</v>
      </c>
      <c r="AG102">
        <f t="shared" si="60"/>
        <v>0</v>
      </c>
      <c r="AH102" s="71">
        <f t="shared" si="61"/>
        <v>1</v>
      </c>
      <c r="AI102">
        <f t="shared" si="62"/>
        <v>7.5722237155168912</v>
      </c>
      <c r="AJ102">
        <f t="shared" si="63"/>
        <v>60.971487927840165</v>
      </c>
      <c r="AK102" s="2">
        <f t="shared" si="59"/>
        <v>16.028512072159835</v>
      </c>
    </row>
    <row r="103" spans="1:38" ht="15.6">
      <c r="A103" s="1">
        <v>44289</v>
      </c>
      <c r="B103" s="13">
        <f t="shared" si="58"/>
        <v>93</v>
      </c>
      <c r="C103" s="13">
        <f t="shared" si="40"/>
        <v>29.599999999999998</v>
      </c>
      <c r="D103" s="14">
        <v>35.799999999999997</v>
      </c>
      <c r="E103" s="14">
        <v>23.4</v>
      </c>
      <c r="F103" s="14">
        <v>58</v>
      </c>
      <c r="G103" s="14">
        <v>8</v>
      </c>
      <c r="H103" s="15">
        <v>8</v>
      </c>
      <c r="I103" s="16">
        <f>4098*(0.6108*EXP(17.27*Tomato!C103/(Tomato!C103+237.3)))/(Tomato!C103+237.3)^2</f>
        <v>0.23854784709770824</v>
      </c>
      <c r="J103" s="16">
        <f t="shared" si="41"/>
        <v>0.48912704709770827</v>
      </c>
      <c r="K103" s="16">
        <f t="shared" si="42"/>
        <v>5.8761139848648147</v>
      </c>
      <c r="L103" s="16">
        <f t="shared" si="43"/>
        <v>2.878130284758361</v>
      </c>
      <c r="M103" s="16">
        <f t="shared" si="44"/>
        <v>4.3771221348115876</v>
      </c>
      <c r="N103" s="16">
        <f t="shared" si="45"/>
        <v>2.5387308381907205</v>
      </c>
      <c r="O103" s="16">
        <f t="shared" si="46"/>
        <v>8.5303935746264201E-2</v>
      </c>
      <c r="P103" s="16">
        <f t="shared" si="47"/>
        <v>0.99903280087353308</v>
      </c>
      <c r="Q103" s="16">
        <f t="shared" si="48"/>
        <v>1.6063262380553278</v>
      </c>
      <c r="R103" s="16">
        <f t="shared" si="49"/>
        <v>36.51877004438829</v>
      </c>
      <c r="S103" s="16">
        <f t="shared" si="50"/>
        <v>12.277652774945182</v>
      </c>
      <c r="T103" s="16">
        <f t="shared" si="51"/>
        <v>21.02733148616618</v>
      </c>
      <c r="U103" s="16">
        <f t="shared" si="52"/>
        <v>27.427787429538267</v>
      </c>
      <c r="V103" s="16">
        <f t="shared" si="53"/>
        <v>16.191045244347958</v>
      </c>
      <c r="W103" s="16">
        <f t="shared" si="54"/>
        <v>3.3079054036472408</v>
      </c>
      <c r="X103" s="16">
        <f t="shared" si="55"/>
        <v>8.5874719781102247</v>
      </c>
      <c r="Y103" s="16">
        <f t="shared" si="56"/>
        <v>5.7199643941955323</v>
      </c>
      <c r="Z103">
        <v>0.8</v>
      </c>
      <c r="AB103">
        <f t="shared" si="57"/>
        <v>6.8699775824881799</v>
      </c>
      <c r="AD103" s="12">
        <v>0</v>
      </c>
      <c r="AE103">
        <v>0</v>
      </c>
      <c r="AF103">
        <v>0</v>
      </c>
      <c r="AG103">
        <f t="shared" si="60"/>
        <v>0</v>
      </c>
      <c r="AH103" s="71">
        <f t="shared" si="61"/>
        <v>0.98979688194545723</v>
      </c>
      <c r="AI103">
        <f t="shared" si="62"/>
        <v>6.7998823901819909</v>
      </c>
      <c r="AJ103">
        <f t="shared" si="63"/>
        <v>54.171605537658174</v>
      </c>
      <c r="AK103" s="2">
        <f t="shared" si="59"/>
        <v>22.828394462341826</v>
      </c>
    </row>
    <row r="104" spans="1:38" ht="15.6">
      <c r="A104" s="1">
        <v>44290</v>
      </c>
      <c r="B104" s="13">
        <f t="shared" si="58"/>
        <v>94</v>
      </c>
      <c r="C104" s="13">
        <f t="shared" si="40"/>
        <v>29.7</v>
      </c>
      <c r="D104" s="14">
        <v>37</v>
      </c>
      <c r="E104" s="14">
        <v>22.4</v>
      </c>
      <c r="F104" s="14">
        <v>46</v>
      </c>
      <c r="G104" s="14">
        <v>6</v>
      </c>
      <c r="H104" s="15">
        <v>8.4</v>
      </c>
      <c r="I104" s="16">
        <f>4098*(0.6108*EXP(17.27*Tomato!C104/(Tomato!C104+237.3)))/(Tomato!C104+237.3)^2</f>
        <v>0.23974396206806198</v>
      </c>
      <c r="J104" s="16">
        <f t="shared" si="41"/>
        <v>0.444518362068062</v>
      </c>
      <c r="K104" s="16">
        <f t="shared" si="42"/>
        <v>6.2748150241265215</v>
      </c>
      <c r="L104" s="16">
        <f t="shared" si="43"/>
        <v>2.7090824052161175</v>
      </c>
      <c r="M104" s="16">
        <f t="shared" si="44"/>
        <v>4.4919487146713193</v>
      </c>
      <c r="N104" s="16">
        <f t="shared" si="45"/>
        <v>2.0662964087488072</v>
      </c>
      <c r="O104" s="16">
        <f t="shared" si="46"/>
        <v>9.2173253243020128E-2</v>
      </c>
      <c r="P104" s="16">
        <f t="shared" si="47"/>
        <v>0.99846543512841135</v>
      </c>
      <c r="Q104" s="16">
        <f t="shared" si="48"/>
        <v>1.6092043995791701</v>
      </c>
      <c r="R104" s="16">
        <f t="shared" si="49"/>
        <v>36.635393398711848</v>
      </c>
      <c r="S104" s="16">
        <f t="shared" si="50"/>
        <v>12.299651461751619</v>
      </c>
      <c r="T104" s="16">
        <f t="shared" si="51"/>
        <v>21.668849364997548</v>
      </c>
      <c r="U104" s="16">
        <f t="shared" si="52"/>
        <v>27.515378566036517</v>
      </c>
      <c r="V104" s="16">
        <f t="shared" si="53"/>
        <v>16.685014011048114</v>
      </c>
      <c r="W104" s="16">
        <f t="shared" si="54"/>
        <v>4.0961040345645223</v>
      </c>
      <c r="X104" s="16">
        <f t="shared" si="55"/>
        <v>9.3274268324172152</v>
      </c>
      <c r="Y104" s="16">
        <f t="shared" si="56"/>
        <v>6.2396308417589834</v>
      </c>
      <c r="Z104">
        <v>0.8</v>
      </c>
      <c r="AB104">
        <f t="shared" si="57"/>
        <v>7.4619414659337728</v>
      </c>
      <c r="AD104" s="12">
        <v>0</v>
      </c>
      <c r="AE104">
        <v>0</v>
      </c>
      <c r="AF104">
        <v>0</v>
      </c>
      <c r="AG104">
        <f t="shared" si="60"/>
        <v>0</v>
      </c>
      <c r="AH104" s="71">
        <f t="shared" si="61"/>
        <v>0.87940918080613917</v>
      </c>
      <c r="AI104">
        <f t="shared" si="62"/>
        <v>6.5620998317801806</v>
      </c>
      <c r="AJ104">
        <f t="shared" si="63"/>
        <v>47.609505705877993</v>
      </c>
      <c r="AK104" s="2">
        <f t="shared" si="59"/>
        <v>29.390494294122007</v>
      </c>
    </row>
    <row r="105" spans="1:38" ht="15.6">
      <c r="A105" s="1">
        <v>44291</v>
      </c>
      <c r="B105" s="13">
        <f t="shared" si="58"/>
        <v>95</v>
      </c>
      <c r="C105" s="13">
        <f t="shared" si="40"/>
        <v>27.55</v>
      </c>
      <c r="D105" s="14">
        <v>35.6</v>
      </c>
      <c r="E105" s="14">
        <v>19.5</v>
      </c>
      <c r="F105" s="14">
        <v>64</v>
      </c>
      <c r="G105" s="14">
        <v>8</v>
      </c>
      <c r="H105" s="15">
        <v>8.4</v>
      </c>
      <c r="I105" s="16">
        <f>4098*(0.6108*EXP(17.27*Tomato!C105/(Tomato!C105+237.3)))/(Tomato!C105+237.3)^2</f>
        <v>0.21510833905626109</v>
      </c>
      <c r="J105" s="16">
        <f t="shared" si="41"/>
        <v>0.46568753905626109</v>
      </c>
      <c r="K105" s="16">
        <f t="shared" si="42"/>
        <v>5.8118453382797011</v>
      </c>
      <c r="L105" s="16">
        <f t="shared" si="43"/>
        <v>2.2668801009804516</v>
      </c>
      <c r="M105" s="16">
        <f t="shared" si="44"/>
        <v>4.0393627196300761</v>
      </c>
      <c r="N105" s="16">
        <f t="shared" si="45"/>
        <v>2.5851921405632488</v>
      </c>
      <c r="O105" s="16">
        <f t="shared" si="46"/>
        <v>9.901528550085309E-2</v>
      </c>
      <c r="P105" s="16">
        <f t="shared" si="47"/>
        <v>0.99789852364705589</v>
      </c>
      <c r="Q105" s="16">
        <f t="shared" si="48"/>
        <v>1.6120750812824995</v>
      </c>
      <c r="R105" s="16">
        <f t="shared" si="49"/>
        <v>36.749898945136835</v>
      </c>
      <c r="S105" s="16">
        <f t="shared" si="50"/>
        <v>12.32159297795541</v>
      </c>
      <c r="T105" s="16">
        <f t="shared" si="51"/>
        <v>21.714229665271226</v>
      </c>
      <c r="U105" s="16">
        <f t="shared" si="52"/>
        <v>27.601379101734469</v>
      </c>
      <c r="V105" s="16">
        <f t="shared" si="53"/>
        <v>16.719956842258846</v>
      </c>
      <c r="W105" s="16">
        <f t="shared" si="54"/>
        <v>3.2942244982836728</v>
      </c>
      <c r="X105" s="16">
        <f t="shared" si="55"/>
        <v>7.5691674726044029</v>
      </c>
      <c r="Y105" s="16">
        <f t="shared" si="56"/>
        <v>6.2752983380135641</v>
      </c>
      <c r="Z105">
        <v>0.8</v>
      </c>
      <c r="AB105">
        <f t="shared" si="57"/>
        <v>6.0553339780835227</v>
      </c>
      <c r="AD105" s="12">
        <v>0</v>
      </c>
      <c r="AE105">
        <v>0</v>
      </c>
      <c r="AF105">
        <v>0</v>
      </c>
      <c r="AG105">
        <f t="shared" si="60"/>
        <v>0</v>
      </c>
      <c r="AH105" s="71">
        <f t="shared" si="61"/>
        <v>0.77288158613438296</v>
      </c>
      <c r="AI105">
        <f t="shared" si="62"/>
        <v>4.6800561295546164</v>
      </c>
      <c r="AJ105">
        <f t="shared" si="63"/>
        <v>42.929449576323378</v>
      </c>
      <c r="AK105" s="2">
        <f t="shared" si="59"/>
        <v>34.070550423676622</v>
      </c>
    </row>
    <row r="106" spans="1:38" ht="15.6">
      <c r="A106" s="1">
        <v>44292</v>
      </c>
      <c r="B106" s="13">
        <f t="shared" si="58"/>
        <v>96</v>
      </c>
      <c r="C106" s="13">
        <f t="shared" si="40"/>
        <v>28.549999999999997</v>
      </c>
      <c r="D106" s="14">
        <v>35.4</v>
      </c>
      <c r="E106" s="14">
        <v>21.7</v>
      </c>
      <c r="F106" s="14">
        <v>62</v>
      </c>
      <c r="G106" s="14">
        <v>8</v>
      </c>
      <c r="H106" s="15">
        <v>6.5</v>
      </c>
      <c r="I106" s="16">
        <f>4098*(0.6108*EXP(17.27*Tomato!C106/(Tomato!C106+237.3)))/(Tomato!C106+237.3)^2</f>
        <v>0.2262880308332702</v>
      </c>
      <c r="J106" s="16">
        <f t="shared" si="41"/>
        <v>0.47686723083327021</v>
      </c>
      <c r="K106" s="16">
        <f t="shared" si="42"/>
        <v>5.7481868887063436</v>
      </c>
      <c r="L106" s="16">
        <f t="shared" si="43"/>
        <v>2.5959699942202965</v>
      </c>
      <c r="M106" s="16">
        <f t="shared" si="44"/>
        <v>4.1720784414633201</v>
      </c>
      <c r="N106" s="16">
        <f t="shared" si="45"/>
        <v>2.5866886337072583</v>
      </c>
      <c r="O106" s="16">
        <f t="shared" si="46"/>
        <v>0.10582800713302319</v>
      </c>
      <c r="P106" s="16">
        <f t="shared" si="47"/>
        <v>0.99733223424729522</v>
      </c>
      <c r="Q106" s="16">
        <f t="shared" si="48"/>
        <v>1.6149376837432048</v>
      </c>
      <c r="R106" s="16">
        <f t="shared" si="49"/>
        <v>36.862268444627375</v>
      </c>
      <c r="S106" s="16">
        <f t="shared" si="50"/>
        <v>12.343472741986279</v>
      </c>
      <c r="T106" s="16">
        <f t="shared" si="51"/>
        <v>18.921293769225411</v>
      </c>
      <c r="U106" s="16">
        <f t="shared" si="52"/>
        <v>27.685775338021834</v>
      </c>
      <c r="V106" s="16">
        <f t="shared" si="53"/>
        <v>14.569396202303567</v>
      </c>
      <c r="W106" s="16">
        <f t="shared" si="54"/>
        <v>2.6798616081441793</v>
      </c>
      <c r="X106" s="16">
        <f t="shared" si="55"/>
        <v>7.6489589601741192</v>
      </c>
      <c r="Y106" s="16">
        <f t="shared" si="56"/>
        <v>5.9344445827942316</v>
      </c>
      <c r="Z106">
        <v>0.8</v>
      </c>
      <c r="AB106">
        <f t="shared" si="57"/>
        <v>6.1191671681392954</v>
      </c>
      <c r="AD106" s="12">
        <v>0</v>
      </c>
      <c r="AE106">
        <v>0</v>
      </c>
      <c r="AF106">
        <v>0</v>
      </c>
      <c r="AG106">
        <f t="shared" si="60"/>
        <v>0</v>
      </c>
      <c r="AH106" s="71">
        <f t="shared" si="61"/>
        <v>0.69690664896628862</v>
      </c>
      <c r="AI106">
        <f t="shared" si="62"/>
        <v>4.2644882856124902</v>
      </c>
      <c r="AJ106">
        <f t="shared" si="63"/>
        <v>38.664961290710892</v>
      </c>
      <c r="AK106" s="2">
        <f t="shared" si="59"/>
        <v>38.335038709289108</v>
      </c>
    </row>
    <row r="107" spans="1:38" ht="15.6">
      <c r="A107" s="1">
        <v>44293</v>
      </c>
      <c r="B107" s="13">
        <f t="shared" si="58"/>
        <v>97</v>
      </c>
      <c r="C107" s="13">
        <f t="shared" si="40"/>
        <v>29.049999999999997</v>
      </c>
      <c r="D107" s="14">
        <v>34.4</v>
      </c>
      <c r="E107" s="14">
        <v>23.7</v>
      </c>
      <c r="F107" s="14">
        <v>75</v>
      </c>
      <c r="G107" s="14">
        <v>10</v>
      </c>
      <c r="H107" s="15">
        <v>7.5</v>
      </c>
      <c r="I107" s="16">
        <f>4098*(0.6108*EXP(17.27*Tomato!C107/(Tomato!C107+237.3)))/(Tomato!C107+237.3)^2</f>
        <v>0.23205834344969087</v>
      </c>
      <c r="J107" s="16">
        <f t="shared" si="41"/>
        <v>0.52844234344969088</v>
      </c>
      <c r="K107" s="16">
        <f t="shared" si="42"/>
        <v>5.4388791379242765</v>
      </c>
      <c r="L107" s="16">
        <f t="shared" si="43"/>
        <v>2.9306073746865935</v>
      </c>
      <c r="M107" s="16">
        <f t="shared" si="44"/>
        <v>4.1847432563054348</v>
      </c>
      <c r="N107" s="16">
        <f t="shared" si="45"/>
        <v>3.1385574422290761</v>
      </c>
      <c r="O107" s="16">
        <f t="shared" si="46"/>
        <v>0.11260940142935798</v>
      </c>
      <c r="P107" s="16">
        <f t="shared" si="47"/>
        <v>0.99676673456280873</v>
      </c>
      <c r="Q107" s="16">
        <f t="shared" si="48"/>
        <v>1.6177916005000865</v>
      </c>
      <c r="R107" s="16">
        <f t="shared" si="49"/>
        <v>36.972485835806665</v>
      </c>
      <c r="S107" s="16">
        <f t="shared" si="50"/>
        <v>12.365286118472</v>
      </c>
      <c r="T107" s="16">
        <f t="shared" si="51"/>
        <v>20.455706477680522</v>
      </c>
      <c r="U107" s="16">
        <f t="shared" si="52"/>
        <v>27.768555211840951</v>
      </c>
      <c r="V107" s="16">
        <f t="shared" si="53"/>
        <v>15.750893987814003</v>
      </c>
      <c r="W107" s="16">
        <f t="shared" si="54"/>
        <v>2.4288299592981497</v>
      </c>
      <c r="X107" s="16">
        <f t="shared" si="55"/>
        <v>6.3604179814675392</v>
      </c>
      <c r="Y107" s="16">
        <f t="shared" si="56"/>
        <v>5.3170180471467097</v>
      </c>
      <c r="Z107">
        <v>0.8</v>
      </c>
      <c r="AB107">
        <f t="shared" si="57"/>
        <v>5.0883343851740319</v>
      </c>
      <c r="AD107" s="12">
        <v>0</v>
      </c>
      <c r="AE107">
        <v>0</v>
      </c>
      <c r="AF107">
        <v>0</v>
      </c>
      <c r="AG107">
        <f t="shared" si="60"/>
        <v>0</v>
      </c>
      <c r="AH107" s="71">
        <f t="shared" si="61"/>
        <v>0.62767794303102098</v>
      </c>
      <c r="AI107">
        <f t="shared" si="62"/>
        <v>3.1938352603400513</v>
      </c>
      <c r="AJ107">
        <f t="shared" si="63"/>
        <v>35.47112603037084</v>
      </c>
      <c r="AK107" s="2">
        <f t="shared" si="59"/>
        <v>41.52887396962916</v>
      </c>
    </row>
    <row r="108" spans="1:38" ht="15.6">
      <c r="A108" s="1">
        <v>44294</v>
      </c>
      <c r="B108" s="13">
        <f t="shared" si="58"/>
        <v>98</v>
      </c>
      <c r="C108" s="13">
        <f t="shared" si="40"/>
        <v>29.05</v>
      </c>
      <c r="D108" s="14">
        <v>34.6</v>
      </c>
      <c r="E108" s="14">
        <v>23.5</v>
      </c>
      <c r="F108" s="14">
        <v>78</v>
      </c>
      <c r="G108" s="14">
        <v>10</v>
      </c>
      <c r="H108" s="15">
        <v>5.4</v>
      </c>
      <c r="I108" s="16">
        <f>4098*(0.6108*EXP(17.27*Tomato!C108/(Tomato!C108+237.3)))/(Tomato!C108+237.3)^2</f>
        <v>0.23205834344969092</v>
      </c>
      <c r="J108" s="16">
        <f t="shared" si="41"/>
        <v>0.52844234344969099</v>
      </c>
      <c r="K108" s="16">
        <f t="shared" si="42"/>
        <v>5.4995586494348254</v>
      </c>
      <c r="L108" s="16">
        <f t="shared" si="43"/>
        <v>2.8955307729089892</v>
      </c>
      <c r="M108" s="16">
        <f t="shared" si="44"/>
        <v>4.1975447111719077</v>
      </c>
      <c r="N108" s="16">
        <f t="shared" si="45"/>
        <v>3.274084874714088</v>
      </c>
      <c r="O108" s="16">
        <f t="shared" si="46"/>
        <v>0.11935746095324133</v>
      </c>
      <c r="P108" s="16">
        <f t="shared" si="47"/>
        <v>0.99620219199350324</v>
      </c>
      <c r="Q108" s="16">
        <f t="shared" si="48"/>
        <v>1.6206362176433118</v>
      </c>
      <c r="R108" s="16">
        <f t="shared" si="49"/>
        <v>37.080537217663199</v>
      </c>
      <c r="S108" s="16">
        <f t="shared" si="50"/>
        <v>12.387028415108116</v>
      </c>
      <c r="T108" s="16">
        <f t="shared" si="51"/>
        <v>17.352577254621693</v>
      </c>
      <c r="U108" s="16">
        <f t="shared" si="52"/>
        <v>27.849708282698121</v>
      </c>
      <c r="V108" s="16">
        <f t="shared" si="53"/>
        <v>13.361484486058703</v>
      </c>
      <c r="W108" s="16">
        <f t="shared" si="54"/>
        <v>1.7446335543125921</v>
      </c>
      <c r="X108" s="16">
        <f t="shared" si="55"/>
        <v>5.5887714508899444</v>
      </c>
      <c r="Y108" s="16">
        <f t="shared" si="56"/>
        <v>5.4313163748995823</v>
      </c>
      <c r="Z108">
        <v>0.8</v>
      </c>
      <c r="AB108">
        <f t="shared" si="57"/>
        <v>4.4710171607119555</v>
      </c>
      <c r="AD108" s="12">
        <v>0</v>
      </c>
      <c r="AE108">
        <v>0</v>
      </c>
      <c r="AF108">
        <v>0</v>
      </c>
      <c r="AG108">
        <f t="shared" si="60"/>
        <v>44.103419638323388</v>
      </c>
      <c r="AH108" s="71">
        <f t="shared" si="61"/>
        <v>0.57582996802550068</v>
      </c>
      <c r="AI108">
        <f t="shared" si="62"/>
        <v>2.5745456686942303</v>
      </c>
      <c r="AJ108">
        <f t="shared" si="63"/>
        <v>77</v>
      </c>
      <c r="AK108" s="2">
        <f t="shared" si="59"/>
        <v>0</v>
      </c>
      <c r="AL108" t="s">
        <v>2</v>
      </c>
    </row>
    <row r="109" spans="1:38" ht="15.6">
      <c r="A109" s="1">
        <v>44295</v>
      </c>
      <c r="B109" s="13">
        <f t="shared" si="58"/>
        <v>99</v>
      </c>
      <c r="C109" s="13">
        <f t="shared" si="40"/>
        <v>28.1</v>
      </c>
      <c r="D109" s="14">
        <v>34.700000000000003</v>
      </c>
      <c r="E109" s="14">
        <v>21.5</v>
      </c>
      <c r="F109" s="14">
        <v>62</v>
      </c>
      <c r="G109" s="14">
        <v>8</v>
      </c>
      <c r="H109" s="15">
        <v>2</v>
      </c>
      <c r="I109" s="16">
        <f>4098*(0.6108*EXP(17.27*Tomato!C109/(Tomato!C109+237.3)))/(Tomato!C109+237.3)^2</f>
        <v>0.22119824570984212</v>
      </c>
      <c r="J109" s="16">
        <f t="shared" si="41"/>
        <v>0.47177744570984215</v>
      </c>
      <c r="K109" s="16">
        <f t="shared" si="42"/>
        <v>5.5301179659422894</v>
      </c>
      <c r="L109" s="16">
        <f t="shared" si="43"/>
        <v>2.5644197206554633</v>
      </c>
      <c r="M109" s="16">
        <f t="shared" si="44"/>
        <v>4.0472688432988768</v>
      </c>
      <c r="N109" s="16">
        <f t="shared" si="45"/>
        <v>2.5093066828453034</v>
      </c>
      <c r="O109" s="16">
        <f t="shared" si="46"/>
        <v>0.12607018813585655</v>
      </c>
      <c r="P109" s="16">
        <f t="shared" si="47"/>
        <v>0.99563877365595899</v>
      </c>
      <c r="Q109" s="16">
        <f t="shared" si="48"/>
        <v>1.6234709134227836</v>
      </c>
      <c r="R109" s="16">
        <f t="shared" si="49"/>
        <v>37.186410829167109</v>
      </c>
      <c r="S109" s="16">
        <f t="shared" si="50"/>
        <v>12.408694879664589</v>
      </c>
      <c r="T109" s="16">
        <f t="shared" si="51"/>
        <v>12.293405448417142</v>
      </c>
      <c r="U109" s="16">
        <f t="shared" si="52"/>
        <v>27.929225717354246</v>
      </c>
      <c r="V109" s="16">
        <f t="shared" si="53"/>
        <v>9.4659221952812</v>
      </c>
      <c r="W109" s="16">
        <f t="shared" si="54"/>
        <v>1.1694488954879658</v>
      </c>
      <c r="X109" s="16">
        <f t="shared" si="55"/>
        <v>6.8379601284614422</v>
      </c>
      <c r="Y109" s="16">
        <f t="shared" si="56"/>
        <v>5.8193156300293571</v>
      </c>
      <c r="Z109">
        <v>0.8</v>
      </c>
      <c r="AB109">
        <f t="shared" si="57"/>
        <v>5.4703681027691538</v>
      </c>
      <c r="AD109" s="12">
        <v>1.4</v>
      </c>
      <c r="AE109">
        <f>(1.4*30)*(125-0.2*1.4*30)/(125*30)</f>
        <v>1.30592</v>
      </c>
      <c r="AF109">
        <v>0</v>
      </c>
      <c r="AG109">
        <f t="shared" si="60"/>
        <v>0</v>
      </c>
      <c r="AH109" s="71">
        <f t="shared" si="61"/>
        <v>1</v>
      </c>
      <c r="AI109">
        <f t="shared" si="62"/>
        <v>5.4703681027691538</v>
      </c>
      <c r="AJ109">
        <f t="shared" si="63"/>
        <v>72.835551897230843</v>
      </c>
      <c r="AK109" s="2">
        <f t="shared" si="59"/>
        <v>4.1644481027691569</v>
      </c>
    </row>
    <row r="110" spans="1:38" ht="15.6">
      <c r="A110" s="1">
        <v>44296</v>
      </c>
      <c r="B110" s="13">
        <f t="shared" si="58"/>
        <v>100</v>
      </c>
      <c r="C110" s="13">
        <f t="shared" si="40"/>
        <v>29.55</v>
      </c>
      <c r="D110" s="14">
        <v>36.6</v>
      </c>
      <c r="E110" s="14">
        <v>22.5</v>
      </c>
      <c r="F110" s="14">
        <v>51</v>
      </c>
      <c r="G110" s="14">
        <v>8</v>
      </c>
      <c r="H110" s="15">
        <v>7.2</v>
      </c>
      <c r="I110" s="16">
        <f>4098*(0.6108*EXP(17.27*Tomato!C110/(Tomato!C110+237.3)))/(Tomato!C110+237.3)^2</f>
        <v>0.23795166976480819</v>
      </c>
      <c r="J110" s="16">
        <f t="shared" si="41"/>
        <v>0.4885308697648082</v>
      </c>
      <c r="K110" s="16">
        <f t="shared" si="42"/>
        <v>6.1393884592980328</v>
      </c>
      <c r="L110" s="16">
        <f t="shared" si="43"/>
        <v>2.7255876066054592</v>
      </c>
      <c r="M110" s="16">
        <f t="shared" si="44"/>
        <v>4.4324880329517455</v>
      </c>
      <c r="N110" s="16">
        <f t="shared" si="45"/>
        <v>2.2605688968053901</v>
      </c>
      <c r="O110" s="16">
        <f t="shared" si="46"/>
        <v>0.13274559586751039</v>
      </c>
      <c r="P110" s="16">
        <f t="shared" si="47"/>
        <v>0.99507664633396009</v>
      </c>
      <c r="Q110" s="16">
        <f t="shared" si="48"/>
        <v>1.6262950578757314</v>
      </c>
      <c r="R110" s="16">
        <f t="shared" si="49"/>
        <v>37.290097025851999</v>
      </c>
      <c r="S110" s="16">
        <f t="shared" si="50"/>
        <v>12.430280697139349</v>
      </c>
      <c r="T110" s="16">
        <f t="shared" si="51"/>
        <v>20.122308474043994</v>
      </c>
      <c r="U110" s="16">
        <f t="shared" si="52"/>
        <v>28.0071002722364</v>
      </c>
      <c r="V110" s="16">
        <f t="shared" si="53"/>
        <v>15.494177525013875</v>
      </c>
      <c r="W110" s="16">
        <f t="shared" si="54"/>
        <v>3.3160573996683831</v>
      </c>
      <c r="X110" s="16">
        <f t="shared" si="55"/>
        <v>9.5468309799929187</v>
      </c>
      <c r="Y110" s="16">
        <f t="shared" si="56"/>
        <v>6.2217284488382303</v>
      </c>
      <c r="Z110">
        <v>0.8</v>
      </c>
      <c r="AB110">
        <f t="shared" si="57"/>
        <v>7.6374647839943357</v>
      </c>
      <c r="AD110" s="12">
        <v>0</v>
      </c>
      <c r="AE110">
        <v>0</v>
      </c>
      <c r="AF110">
        <v>0</v>
      </c>
      <c r="AG110">
        <f t="shared" si="60"/>
        <v>0</v>
      </c>
      <c r="AH110" s="71">
        <f t="shared" si="61"/>
        <v>1</v>
      </c>
      <c r="AI110">
        <f t="shared" si="62"/>
        <v>7.6374647839943357</v>
      </c>
      <c r="AJ110">
        <f t="shared" si="63"/>
        <v>65.198087113236511</v>
      </c>
      <c r="AK110" s="2">
        <f t="shared" si="59"/>
        <v>11.801912886763489</v>
      </c>
    </row>
    <row r="111" spans="1:38" ht="15.6">
      <c r="A111" s="1">
        <v>44297</v>
      </c>
      <c r="B111" s="13">
        <f t="shared" si="58"/>
        <v>101</v>
      </c>
      <c r="C111" s="13">
        <f t="shared" si="40"/>
        <v>29.85</v>
      </c>
      <c r="D111" s="14">
        <v>36.9</v>
      </c>
      <c r="E111" s="14">
        <v>22.8</v>
      </c>
      <c r="F111" s="14">
        <v>59</v>
      </c>
      <c r="G111" s="14">
        <v>6</v>
      </c>
      <c r="H111" s="15">
        <v>7.1</v>
      </c>
      <c r="I111" s="16">
        <f>4098*(0.6108*EXP(17.27*Tomato!C111/(Tomato!C111+237.3)))/(Tomato!C111+237.3)^2</f>
        <v>0.24154756638329455</v>
      </c>
      <c r="J111" s="16">
        <f t="shared" si="41"/>
        <v>0.44632196638329458</v>
      </c>
      <c r="K111" s="16">
        <f t="shared" si="42"/>
        <v>6.24071810795619</v>
      </c>
      <c r="L111" s="16">
        <f t="shared" si="43"/>
        <v>2.7756312335019815</v>
      </c>
      <c r="M111" s="16">
        <f t="shared" si="44"/>
        <v>4.508174670729086</v>
      </c>
      <c r="N111" s="16">
        <f t="shared" si="45"/>
        <v>2.6598230557301608</v>
      </c>
      <c r="O111" s="16">
        <f t="shared" si="46"/>
        <v>0.13938170808585856</v>
      </c>
      <c r="P111" s="16">
        <f t="shared" si="47"/>
        <v>0.99451597642912237</v>
      </c>
      <c r="Q111" s="16">
        <f t="shared" si="48"/>
        <v>1.6291080124748372</v>
      </c>
      <c r="R111" s="16">
        <f t="shared" si="49"/>
        <v>37.391588253422739</v>
      </c>
      <c r="S111" s="16">
        <f t="shared" si="50"/>
        <v>12.451780987068819</v>
      </c>
      <c r="T111" s="16">
        <f t="shared" si="51"/>
        <v>20.008230588134303</v>
      </c>
      <c r="U111" s="16">
        <f t="shared" si="52"/>
        <v>28.083326273615679</v>
      </c>
      <c r="V111" s="16">
        <f t="shared" si="53"/>
        <v>15.406337552863414</v>
      </c>
      <c r="W111" s="16">
        <f t="shared" si="54"/>
        <v>2.8331921708738399</v>
      </c>
      <c r="X111" s="16">
        <f t="shared" si="55"/>
        <v>7.7502359317438225</v>
      </c>
      <c r="Y111" s="16">
        <f t="shared" si="56"/>
        <v>6.2781888190959032</v>
      </c>
      <c r="Z111">
        <v>0.8</v>
      </c>
      <c r="AB111">
        <f t="shared" si="57"/>
        <v>6.2001887453950584</v>
      </c>
      <c r="AD111" s="12">
        <v>0</v>
      </c>
      <c r="AE111">
        <v>0</v>
      </c>
      <c r="AF111">
        <v>0</v>
      </c>
      <c r="AG111">
        <f t="shared" si="60"/>
        <v>0</v>
      </c>
      <c r="AH111" s="71">
        <f t="shared" si="61"/>
        <v>1</v>
      </c>
      <c r="AI111">
        <f t="shared" si="62"/>
        <v>6.2001887453950584</v>
      </c>
      <c r="AJ111">
        <f t="shared" si="63"/>
        <v>58.997898367841451</v>
      </c>
      <c r="AK111" s="2">
        <f t="shared" si="59"/>
        <v>18.002101632158549</v>
      </c>
    </row>
    <row r="112" spans="1:38" ht="15.6">
      <c r="A112" s="1">
        <v>44298</v>
      </c>
      <c r="B112" s="13">
        <f t="shared" si="58"/>
        <v>102</v>
      </c>
      <c r="C112" s="13">
        <f t="shared" si="40"/>
        <v>29.5</v>
      </c>
      <c r="D112" s="14">
        <v>37.700000000000003</v>
      </c>
      <c r="E112" s="14">
        <v>21.3</v>
      </c>
      <c r="F112" s="14">
        <v>54</v>
      </c>
      <c r="G112" s="14">
        <v>5</v>
      </c>
      <c r="H112" s="15">
        <v>7.5</v>
      </c>
      <c r="I112" s="16">
        <f>4098*(0.6108*EXP(17.27*Tomato!C112/(Tomato!C112+237.3)))/(Tomato!C112+237.3)^2</f>
        <v>0.23735674310788871</v>
      </c>
      <c r="J112" s="16">
        <f t="shared" si="41"/>
        <v>0.41922874310788871</v>
      </c>
      <c r="K112" s="16">
        <f t="shared" si="42"/>
        <v>6.5180437616532609</v>
      </c>
      <c r="L112" s="16">
        <f t="shared" si="43"/>
        <v>2.5332049812438213</v>
      </c>
      <c r="M112" s="16">
        <f t="shared" si="44"/>
        <v>4.5256243714485409</v>
      </c>
      <c r="N112" s="16">
        <f t="shared" si="45"/>
        <v>2.4438371605822122</v>
      </c>
      <c r="O112" s="16">
        <f t="shared" si="46"/>
        <v>0.14597656036086304</v>
      </c>
      <c r="P112" s="16">
        <f t="shared" si="47"/>
        <v>0.99395692991163531</v>
      </c>
      <c r="Q112" s="16">
        <f t="shared" si="48"/>
        <v>1.631909129798238</v>
      </c>
      <c r="R112" s="16">
        <f t="shared" si="49"/>
        <v>37.490879018456482</v>
      </c>
      <c r="S112" s="16">
        <f t="shared" si="50"/>
        <v>12.473190801005641</v>
      </c>
      <c r="T112" s="16">
        <f t="shared" si="51"/>
        <v>20.644157718016139</v>
      </c>
      <c r="U112" s="16">
        <f t="shared" si="52"/>
        <v>28.157899595601922</v>
      </c>
      <c r="V112" s="16">
        <f t="shared" si="53"/>
        <v>15.896001442872427</v>
      </c>
      <c r="W112" s="16">
        <f t="shared" si="54"/>
        <v>3.2025849018567394</v>
      </c>
      <c r="X112" s="16">
        <f t="shared" si="55"/>
        <v>7.9081031933451484</v>
      </c>
      <c r="Y112" s="16">
        <f t="shared" si="56"/>
        <v>6.739019095262976</v>
      </c>
      <c r="Z112">
        <v>0.8</v>
      </c>
      <c r="AB112">
        <f t="shared" si="57"/>
        <v>6.3264825546761188</v>
      </c>
      <c r="AD112" s="11">
        <v>0</v>
      </c>
      <c r="AE112">
        <v>0</v>
      </c>
      <c r="AF112">
        <v>0</v>
      </c>
      <c r="AG112">
        <f t="shared" si="60"/>
        <v>0</v>
      </c>
      <c r="AH112" s="71">
        <f t="shared" si="61"/>
        <v>0.95775809038703652</v>
      </c>
      <c r="AI112">
        <f t="shared" si="62"/>
        <v>6.0592398504334994</v>
      </c>
      <c r="AJ112">
        <f t="shared" si="63"/>
        <v>52.938658517407951</v>
      </c>
      <c r="AK112" s="2">
        <f t="shared" si="59"/>
        <v>24.061341482592049</v>
      </c>
    </row>
    <row r="113" spans="1:38" ht="15.6">
      <c r="A113" s="1">
        <v>44299</v>
      </c>
      <c r="B113" s="13">
        <f t="shared" si="58"/>
        <v>103</v>
      </c>
      <c r="C113" s="13">
        <f t="shared" si="40"/>
        <v>30.8</v>
      </c>
      <c r="D113" s="14">
        <v>38.6</v>
      </c>
      <c r="E113" s="14">
        <v>23</v>
      </c>
      <c r="F113" s="14">
        <v>50</v>
      </c>
      <c r="G113" s="14">
        <v>6</v>
      </c>
      <c r="H113" s="15">
        <v>8.1</v>
      </c>
      <c r="I113" s="16">
        <f>4098*(0.6108*EXP(17.27*Tomato!C113/(Tomato!C113+237.3)))/(Tomato!C113+237.3)^2</f>
        <v>0.25323671897088917</v>
      </c>
      <c r="J113" s="16">
        <f t="shared" si="41"/>
        <v>0.4580111189708892</v>
      </c>
      <c r="K113" s="16">
        <f t="shared" si="42"/>
        <v>6.8427303135805682</v>
      </c>
      <c r="L113" s="16">
        <f t="shared" si="43"/>
        <v>2.809437622397069</v>
      </c>
      <c r="M113" s="16">
        <f t="shared" si="44"/>
        <v>4.8260839679888186</v>
      </c>
      <c r="N113" s="16">
        <f t="shared" si="45"/>
        <v>2.4130419839944093</v>
      </c>
      <c r="O113" s="16">
        <f t="shared" si="46"/>
        <v>0.15252820047630394</v>
      </c>
      <c r="P113" s="16">
        <f t="shared" si="47"/>
        <v>0.99339967227113157</v>
      </c>
      <c r="Q113" s="16">
        <f t="shared" si="48"/>
        <v>1.6346977532227518</v>
      </c>
      <c r="R113" s="16">
        <f t="shared" si="49"/>
        <v>37.587965856269001</v>
      </c>
      <c r="S113" s="16">
        <f t="shared" si="50"/>
        <v>12.494505120173899</v>
      </c>
      <c r="T113" s="16">
        <f t="shared" si="51"/>
        <v>21.580848307832397</v>
      </c>
      <c r="U113" s="16">
        <f t="shared" si="52"/>
        <v>28.230817636009395</v>
      </c>
      <c r="V113" s="16">
        <f t="shared" si="53"/>
        <v>16.617253197030948</v>
      </c>
      <c r="W113" s="16">
        <f t="shared" si="54"/>
        <v>3.5111233930955397</v>
      </c>
      <c r="X113" s="16">
        <f t="shared" si="55"/>
        <v>9.2646265095742617</v>
      </c>
      <c r="Y113" s="16">
        <f t="shared" si="56"/>
        <v>6.7707283736356958</v>
      </c>
      <c r="Z113">
        <v>0.8</v>
      </c>
      <c r="AB113">
        <f t="shared" si="57"/>
        <v>7.4117012076594095</v>
      </c>
      <c r="AD113" s="11">
        <v>0</v>
      </c>
      <c r="AE113">
        <v>0</v>
      </c>
      <c r="AF113">
        <v>0</v>
      </c>
      <c r="AG113">
        <f t="shared" si="60"/>
        <v>0</v>
      </c>
      <c r="AH113" s="71">
        <f t="shared" si="61"/>
        <v>0.8593938071007784</v>
      </c>
      <c r="AI113">
        <f t="shared" si="62"/>
        <v>6.3695701179438569</v>
      </c>
      <c r="AJ113">
        <f t="shared" si="63"/>
        <v>46.569088399464093</v>
      </c>
      <c r="AK113" s="2">
        <f t="shared" si="59"/>
        <v>30.430911600535907</v>
      </c>
    </row>
    <row r="114" spans="1:38" ht="15.6">
      <c r="A114" s="1">
        <v>44300</v>
      </c>
      <c r="B114" s="13">
        <f t="shared" si="58"/>
        <v>104</v>
      </c>
      <c r="C114" s="13">
        <f t="shared" si="40"/>
        <v>29.700000000000003</v>
      </c>
      <c r="D114" s="15">
        <v>39.6</v>
      </c>
      <c r="E114" s="14">
        <v>19.8</v>
      </c>
      <c r="F114" s="14">
        <v>50</v>
      </c>
      <c r="G114" s="14">
        <v>6</v>
      </c>
      <c r="H114" s="15">
        <v>7.3</v>
      </c>
      <c r="I114" s="16">
        <f>4098*(0.6108*EXP(17.27*Tomato!C114/(Tomato!C114+237.3)))/(Tomato!C114+237.3)^2</f>
        <v>0.23974396206806198</v>
      </c>
      <c r="J114" s="16">
        <f t="shared" si="41"/>
        <v>0.444518362068062</v>
      </c>
      <c r="K114" s="16">
        <f t="shared" si="42"/>
        <v>7.2198206534019427</v>
      </c>
      <c r="L114" s="16">
        <f t="shared" si="43"/>
        <v>2.3094882494907831</v>
      </c>
      <c r="M114" s="16">
        <f t="shared" si="44"/>
        <v>4.7646544514463631</v>
      </c>
      <c r="N114" s="16">
        <f t="shared" si="45"/>
        <v>2.3823272257231816</v>
      </c>
      <c r="O114" s="16">
        <f t="shared" si="46"/>
        <v>0.15903468900767828</v>
      </c>
      <c r="P114" s="16">
        <f t="shared" si="47"/>
        <v>0.99284436846769775</v>
      </c>
      <c r="Q114" s="16">
        <f t="shared" si="48"/>
        <v>1.6374732166416908</v>
      </c>
      <c r="R114" s="16">
        <f t="shared" si="49"/>
        <v>37.682847296024455</v>
      </c>
      <c r="S114" s="16">
        <f t="shared" si="50"/>
        <v>12.515718853312286</v>
      </c>
      <c r="T114" s="16">
        <f t="shared" si="51"/>
        <v>20.410283756911003</v>
      </c>
      <c r="U114" s="16">
        <f t="shared" si="52"/>
        <v>28.302079290152125</v>
      </c>
      <c r="V114" s="16">
        <f t="shared" si="53"/>
        <v>15.715918492821473</v>
      </c>
      <c r="W114" s="16">
        <f t="shared" si="54"/>
        <v>3.2077696664477129</v>
      </c>
      <c r="X114" s="16">
        <f t="shared" si="55"/>
        <v>9.1925349280848199</v>
      </c>
      <c r="Y114" s="16">
        <f t="shared" si="56"/>
        <v>7.4740829636311501</v>
      </c>
      <c r="Z114">
        <v>0.8</v>
      </c>
      <c r="AB114">
        <f t="shared" si="57"/>
        <v>7.3540279424678561</v>
      </c>
      <c r="AD114" s="11">
        <v>0</v>
      </c>
      <c r="AE114">
        <v>0</v>
      </c>
      <c r="AF114">
        <v>0</v>
      </c>
      <c r="AG114">
        <f t="shared" si="60"/>
        <v>0</v>
      </c>
      <c r="AH114" s="71">
        <f t="shared" si="61"/>
        <v>0.75599169479649497</v>
      </c>
      <c r="AI114">
        <f t="shared" si="62"/>
        <v>5.5595840478070553</v>
      </c>
      <c r="AJ114">
        <f t="shared" si="63"/>
        <v>41.009504351657036</v>
      </c>
      <c r="AK114" s="2">
        <f t="shared" si="59"/>
        <v>35.990495648342964</v>
      </c>
    </row>
    <row r="115" spans="1:38" ht="15.6">
      <c r="A115" s="1">
        <v>44301</v>
      </c>
      <c r="B115" s="13">
        <f t="shared" si="58"/>
        <v>105</v>
      </c>
      <c r="C115" s="13">
        <f t="shared" si="40"/>
        <v>28.4</v>
      </c>
      <c r="D115" s="14">
        <v>37</v>
      </c>
      <c r="E115" s="14">
        <v>19.8</v>
      </c>
      <c r="F115" s="14">
        <v>54</v>
      </c>
      <c r="G115" s="14">
        <v>8</v>
      </c>
      <c r="H115" s="15">
        <v>3.2</v>
      </c>
      <c r="I115" s="16">
        <f>4098*(0.6108*EXP(17.27*Tomato!C115/(Tomato!C115+237.3)))/(Tomato!C115+237.3)^2</f>
        <v>0.2245806202310468</v>
      </c>
      <c r="J115" s="16">
        <f t="shared" si="41"/>
        <v>0.4751598202310468</v>
      </c>
      <c r="K115" s="16">
        <f t="shared" si="42"/>
        <v>6.2748150241265215</v>
      </c>
      <c r="L115" s="16">
        <f t="shared" si="43"/>
        <v>2.3094882494907831</v>
      </c>
      <c r="M115" s="16">
        <f t="shared" si="44"/>
        <v>4.2921516368086525</v>
      </c>
      <c r="N115" s="16">
        <f t="shared" si="45"/>
        <v>2.3177618838766727</v>
      </c>
      <c r="O115" s="16">
        <f t="shared" si="46"/>
        <v>0.16549409989630962</v>
      </c>
      <c r="P115" s="16">
        <f t="shared" si="47"/>
        <v>0.99229118288304363</v>
      </c>
      <c r="Q115" s="16">
        <f t="shared" si="48"/>
        <v>1.6402348442086339</v>
      </c>
      <c r="R115" s="16">
        <f t="shared" si="49"/>
        <v>37.77552382317144</v>
      </c>
      <c r="S115" s="16">
        <f t="shared" si="50"/>
        <v>12.536826834715672</v>
      </c>
      <c r="T115" s="16">
        <f t="shared" si="51"/>
        <v>14.264944444498617</v>
      </c>
      <c r="U115" s="16">
        <f t="shared" si="52"/>
        <v>28.37168492263114</v>
      </c>
      <c r="V115" s="16">
        <f t="shared" si="53"/>
        <v>10.984007222263935</v>
      </c>
      <c r="W115" s="16">
        <f t="shared" si="54"/>
        <v>1.6993555886816092</v>
      </c>
      <c r="X115" s="16">
        <f t="shared" si="55"/>
        <v>8.4767132894685968</v>
      </c>
      <c r="Y115" s="16">
        <f t="shared" si="56"/>
        <v>6.7921097280446467</v>
      </c>
      <c r="Z115">
        <v>0.8</v>
      </c>
      <c r="AB115">
        <f t="shared" si="57"/>
        <v>6.7813706315748776</v>
      </c>
      <c r="AD115" s="11">
        <v>0</v>
      </c>
      <c r="AE115">
        <v>0</v>
      </c>
      <c r="AF115">
        <v>0</v>
      </c>
      <c r="AG115">
        <f t="shared" si="60"/>
        <v>0</v>
      </c>
      <c r="AH115" s="71">
        <f t="shared" si="61"/>
        <v>0.66573870700741944</v>
      </c>
      <c r="AI115">
        <f t="shared" si="62"/>
        <v>4.5146209160027464</v>
      </c>
      <c r="AJ115">
        <f t="shared" si="63"/>
        <v>36.494883435654287</v>
      </c>
      <c r="AK115" s="2">
        <f t="shared" si="59"/>
        <v>40.505116564345713</v>
      </c>
    </row>
    <row r="116" spans="1:38" ht="15.6">
      <c r="A116" s="1">
        <v>44302</v>
      </c>
      <c r="B116" s="13">
        <f t="shared" si="58"/>
        <v>106</v>
      </c>
      <c r="C116" s="13">
        <f t="shared" si="40"/>
        <v>28.400000000000002</v>
      </c>
      <c r="D116" s="14">
        <v>37.200000000000003</v>
      </c>
      <c r="E116" s="14">
        <v>19.600000000000001</v>
      </c>
      <c r="F116" s="14">
        <v>56</v>
      </c>
      <c r="G116" s="14">
        <v>6</v>
      </c>
      <c r="H116" s="15">
        <v>0.4</v>
      </c>
      <c r="I116" s="16">
        <f>4098*(0.6108*EXP(17.27*Tomato!C116/(Tomato!C116+237.3)))/(Tomato!C116+237.3)^2</f>
        <v>0.22458062023104683</v>
      </c>
      <c r="J116" s="16">
        <f t="shared" si="41"/>
        <v>0.42935502023104688</v>
      </c>
      <c r="K116" s="16">
        <f t="shared" si="42"/>
        <v>6.3434932017398573</v>
      </c>
      <c r="L116" s="16">
        <f t="shared" si="43"/>
        <v>2.2810057729824531</v>
      </c>
      <c r="M116" s="16">
        <f t="shared" si="44"/>
        <v>4.3122494873611554</v>
      </c>
      <c r="N116" s="16">
        <f t="shared" si="45"/>
        <v>2.4148597129222473</v>
      </c>
      <c r="O116" s="16">
        <f t="shared" si="46"/>
        <v>0.17190452101950315</v>
      </c>
      <c r="P116" s="16">
        <f t="shared" si="47"/>
        <v>0.99174027927184116</v>
      </c>
      <c r="Q116" s="16">
        <f t="shared" si="48"/>
        <v>1.6429819501085388</v>
      </c>
      <c r="R116" s="16">
        <f t="shared" si="49"/>
        <v>37.865997839293307</v>
      </c>
      <c r="S116" s="16">
        <f t="shared" si="50"/>
        <v>12.557823822485647</v>
      </c>
      <c r="T116" s="16">
        <f t="shared" si="51"/>
        <v>10.069565697645388</v>
      </c>
      <c r="U116" s="16">
        <f t="shared" si="52"/>
        <v>28.439636337179628</v>
      </c>
      <c r="V116" s="16">
        <f t="shared" si="53"/>
        <v>7.7535655871869489</v>
      </c>
      <c r="W116" s="16">
        <f t="shared" si="54"/>
        <v>0.63868251020989186</v>
      </c>
      <c r="X116" s="16">
        <f t="shared" si="55"/>
        <v>6.85164923436135</v>
      </c>
      <c r="Y116" s="16">
        <f t="shared" si="56"/>
        <v>6.8870893021758404</v>
      </c>
      <c r="Z116">
        <v>0.8</v>
      </c>
      <c r="AB116">
        <f t="shared" si="57"/>
        <v>5.48131938748908</v>
      </c>
      <c r="AD116" s="11">
        <v>0</v>
      </c>
      <c r="AE116">
        <v>0</v>
      </c>
      <c r="AF116">
        <v>0</v>
      </c>
      <c r="AG116">
        <f t="shared" si="60"/>
        <v>43.752520981878277</v>
      </c>
      <c r="AH116" s="71">
        <f t="shared" si="61"/>
        <v>0.59244940642295918</v>
      </c>
      <c r="AI116">
        <f t="shared" si="62"/>
        <v>3.2474044175325636</v>
      </c>
      <c r="AJ116">
        <f t="shared" si="63"/>
        <v>77</v>
      </c>
      <c r="AK116" s="2">
        <f t="shared" si="59"/>
        <v>0</v>
      </c>
      <c r="AL116" t="s">
        <v>2</v>
      </c>
    </row>
    <row r="117" spans="1:38" ht="15.6">
      <c r="A117" s="1">
        <v>44303</v>
      </c>
      <c r="B117" s="13">
        <f t="shared" si="58"/>
        <v>107</v>
      </c>
      <c r="C117" s="13">
        <f t="shared" si="40"/>
        <v>29.1</v>
      </c>
      <c r="D117" s="14">
        <v>36</v>
      </c>
      <c r="E117" s="14">
        <v>22.2</v>
      </c>
      <c r="F117" s="14">
        <v>56</v>
      </c>
      <c r="G117" s="14">
        <v>8</v>
      </c>
      <c r="H117" s="15">
        <v>9.5</v>
      </c>
      <c r="I117" s="16">
        <f>4098*(0.6108*EXP(17.27*Tomato!C117/(Tomato!C117+237.3)))/(Tomato!C117+237.3)^2</f>
        <v>0.23264210672547564</v>
      </c>
      <c r="J117" s="16">
        <f t="shared" si="41"/>
        <v>0.48322130672547564</v>
      </c>
      <c r="K117" s="16">
        <f t="shared" si="42"/>
        <v>5.9409977016273503</v>
      </c>
      <c r="L117" s="16">
        <f t="shared" si="43"/>
        <v>2.6763336594163714</v>
      </c>
      <c r="M117" s="16">
        <f t="shared" si="44"/>
        <v>4.3086656805218606</v>
      </c>
      <c r="N117" s="16">
        <f t="shared" si="45"/>
        <v>2.412852781092242</v>
      </c>
      <c r="O117" s="16">
        <f t="shared" si="46"/>
        <v>0.17826405475657373</v>
      </c>
      <c r="P117" s="16">
        <f t="shared" si="47"/>
        <v>0.99119182071324974</v>
      </c>
      <c r="Q117" s="16">
        <f t="shared" si="48"/>
        <v>1.6457138383575776</v>
      </c>
      <c r="R117" s="16">
        <f t="shared" si="49"/>
        <v>37.954273619465134</v>
      </c>
      <c r="S117" s="16">
        <f t="shared" si="50"/>
        <v>12.578704497000594</v>
      </c>
      <c r="T117" s="16">
        <f t="shared" si="51"/>
        <v>23.820950546083449</v>
      </c>
      <c r="U117" s="16">
        <f t="shared" si="52"/>
        <v>28.505936744635481</v>
      </c>
      <c r="V117" s="16">
        <f t="shared" si="53"/>
        <v>18.342131920484256</v>
      </c>
      <c r="W117" s="16">
        <f t="shared" si="54"/>
        <v>3.9142022397115839</v>
      </c>
      <c r="X117" s="16">
        <f t="shared" si="55"/>
        <v>9.1324865924195944</v>
      </c>
      <c r="Y117" s="16">
        <f t="shared" si="56"/>
        <v>6.205275518027606</v>
      </c>
      <c r="Z117">
        <v>0.8</v>
      </c>
      <c r="AB117">
        <f t="shared" si="57"/>
        <v>7.3059892739356762</v>
      </c>
      <c r="AD117" s="11">
        <v>0</v>
      </c>
      <c r="AE117">
        <v>0</v>
      </c>
      <c r="AF117">
        <v>0</v>
      </c>
      <c r="AG117">
        <f t="shared" si="60"/>
        <v>0</v>
      </c>
      <c r="AH117" s="71">
        <f t="shared" si="61"/>
        <v>1</v>
      </c>
      <c r="AI117">
        <f t="shared" si="62"/>
        <v>7.3059892739356762</v>
      </c>
      <c r="AJ117">
        <f t="shared" si="63"/>
        <v>69.69401072606432</v>
      </c>
      <c r="AK117" s="2">
        <f t="shared" si="59"/>
        <v>7.3059892739356798</v>
      </c>
    </row>
    <row r="118" spans="1:38" ht="15.6">
      <c r="A118" s="1">
        <v>44304</v>
      </c>
      <c r="B118" s="13">
        <f t="shared" si="58"/>
        <v>108</v>
      </c>
      <c r="C118" s="13">
        <f t="shared" si="40"/>
        <v>27.7</v>
      </c>
      <c r="D118" s="14">
        <v>36</v>
      </c>
      <c r="E118" s="14">
        <v>19.399999999999999</v>
      </c>
      <c r="F118" s="14">
        <v>53</v>
      </c>
      <c r="G118" s="14">
        <v>6</v>
      </c>
      <c r="H118" s="15">
        <v>5.5</v>
      </c>
      <c r="I118" s="16">
        <f>4098*(0.6108*EXP(17.27*Tomato!C118/(Tomato!C118+237.3)))/(Tomato!C118+237.3)^2</f>
        <v>0.2167550737640033</v>
      </c>
      <c r="J118" s="16">
        <f t="shared" si="41"/>
        <v>0.42152947376400329</v>
      </c>
      <c r="K118" s="16">
        <f t="shared" si="42"/>
        <v>5.9409977016273503</v>
      </c>
      <c r="L118" s="16">
        <f t="shared" si="43"/>
        <v>2.2528310020993629</v>
      </c>
      <c r="M118" s="16">
        <f t="shared" si="44"/>
        <v>4.0969143518633562</v>
      </c>
      <c r="N118" s="16">
        <f t="shared" si="45"/>
        <v>2.1713646064875789</v>
      </c>
      <c r="O118" s="16">
        <f t="shared" si="46"/>
        <v>0.18457081855058288</v>
      </c>
      <c r="P118" s="16">
        <f t="shared" si="47"/>
        <v>0.99064596956264117</v>
      </c>
      <c r="Q118" s="16">
        <f t="shared" si="48"/>
        <v>1.6484298026330819</v>
      </c>
      <c r="R118" s="16">
        <f t="shared" si="49"/>
        <v>38.040357267214489</v>
      </c>
      <c r="S118" s="16">
        <f t="shared" si="50"/>
        <v>12.599463459615913</v>
      </c>
      <c r="T118" s="16">
        <f t="shared" si="51"/>
        <v>17.812901799266971</v>
      </c>
      <c r="U118" s="16">
        <f t="shared" si="52"/>
        <v>28.570590729114112</v>
      </c>
      <c r="V118" s="16">
        <f t="shared" si="53"/>
        <v>13.715934385435569</v>
      </c>
      <c r="W118" s="16">
        <f t="shared" si="54"/>
        <v>2.6529177653550411</v>
      </c>
      <c r="X118" s="16">
        <f t="shared" si="55"/>
        <v>7.8467237634152225</v>
      </c>
      <c r="Y118" s="16">
        <f t="shared" si="56"/>
        <v>6.6175621214754141</v>
      </c>
      <c r="Z118">
        <v>0.8</v>
      </c>
      <c r="AB118">
        <f t="shared" si="57"/>
        <v>6.2773790107321785</v>
      </c>
      <c r="AD118" s="11">
        <v>15.8</v>
      </c>
      <c r="AE118">
        <f>(125+0.1*AD118*30)/30</f>
        <v>5.746666666666667</v>
      </c>
      <c r="AF118">
        <v>0</v>
      </c>
      <c r="AG118">
        <f t="shared" si="60"/>
        <v>0</v>
      </c>
      <c r="AH118" s="71">
        <f t="shared" si="61"/>
        <v>1</v>
      </c>
      <c r="AI118">
        <f t="shared" si="62"/>
        <v>6.2773790107321785</v>
      </c>
      <c r="AJ118">
        <f t="shared" si="63"/>
        <v>69.163298381998814</v>
      </c>
      <c r="AK118" s="2">
        <f t="shared" si="59"/>
        <v>7.8367016180011859</v>
      </c>
    </row>
    <row r="119" spans="1:38" ht="15.6">
      <c r="A119" s="1">
        <v>44305</v>
      </c>
      <c r="B119" s="13">
        <f t="shared" si="58"/>
        <v>109</v>
      </c>
      <c r="C119" s="13">
        <f t="shared" si="40"/>
        <v>29</v>
      </c>
      <c r="D119" s="14">
        <v>38.799999999999997</v>
      </c>
      <c r="E119" s="14">
        <v>19.2</v>
      </c>
      <c r="F119" s="14">
        <v>56</v>
      </c>
      <c r="G119" s="14">
        <v>6</v>
      </c>
      <c r="H119" s="15">
        <v>9.6999999999999993</v>
      </c>
      <c r="I119" s="16">
        <f>4098*(0.6108*EXP(17.27*Tomato!C119/(Tomato!C119+237.3)))/(Tomato!C119+237.3)^2</f>
        <v>0.23147581029180006</v>
      </c>
      <c r="J119" s="16">
        <f t="shared" si="41"/>
        <v>0.43625021029180011</v>
      </c>
      <c r="K119" s="16">
        <f t="shared" si="42"/>
        <v>6.916753867501046</v>
      </c>
      <c r="L119" s="16">
        <f t="shared" si="43"/>
        <v>2.2249611183378328</v>
      </c>
      <c r="M119" s="16">
        <f t="shared" si="44"/>
        <v>4.5708574929194397</v>
      </c>
      <c r="N119" s="16">
        <f t="shared" si="45"/>
        <v>2.5596801960348863</v>
      </c>
      <c r="O119" s="16">
        <f t="shared" si="46"/>
        <v>0.19082294546561471</v>
      </c>
      <c r="P119" s="16">
        <f t="shared" si="47"/>
        <v>0.99010288740353924</v>
      </c>
      <c r="Q119" s="16">
        <f t="shared" si="48"/>
        <v>1.6511291261349779</v>
      </c>
      <c r="R119" s="16">
        <f t="shared" si="49"/>
        <v>38.124256667186565</v>
      </c>
      <c r="S119" s="16">
        <f t="shared" si="50"/>
        <v>12.620095231604926</v>
      </c>
      <c r="T119" s="16">
        <f t="shared" si="51"/>
        <v>24.182510248819614</v>
      </c>
      <c r="U119" s="16">
        <f t="shared" si="52"/>
        <v>28.63360421245714</v>
      </c>
      <c r="V119" s="16">
        <f t="shared" si="53"/>
        <v>18.620532891591104</v>
      </c>
      <c r="W119" s="16">
        <f t="shared" si="54"/>
        <v>3.7701485454429116</v>
      </c>
      <c r="X119" s="16">
        <f t="shared" si="55"/>
        <v>8.7675948545492801</v>
      </c>
      <c r="Y119" s="16">
        <f t="shared" si="56"/>
        <v>7.4124755282376888</v>
      </c>
      <c r="Z119">
        <v>0.8</v>
      </c>
      <c r="AB119">
        <f t="shared" si="57"/>
        <v>7.0140758836394248</v>
      </c>
      <c r="AD119" s="11">
        <v>1.4</v>
      </c>
      <c r="AE119">
        <f>(1.4*30)*(125-0.2*1.4*30)/(125*30)</f>
        <v>1.30592</v>
      </c>
      <c r="AF119">
        <v>0</v>
      </c>
      <c r="AG119">
        <f t="shared" si="60"/>
        <v>0</v>
      </c>
      <c r="AH119" s="71">
        <f t="shared" si="61"/>
        <v>1</v>
      </c>
      <c r="AI119">
        <f t="shared" si="62"/>
        <v>7.0140758836394248</v>
      </c>
      <c r="AJ119">
        <f t="shared" si="63"/>
        <v>63.455142498359393</v>
      </c>
      <c r="AK119" s="2">
        <f t="shared" si="59"/>
        <v>13.544857501640607</v>
      </c>
    </row>
    <row r="120" spans="1:38" ht="15.6">
      <c r="A120" s="1">
        <v>44306</v>
      </c>
      <c r="B120" s="13">
        <f t="shared" si="58"/>
        <v>110</v>
      </c>
      <c r="C120" s="13">
        <f t="shared" si="40"/>
        <v>31.25</v>
      </c>
      <c r="D120" s="14">
        <v>39</v>
      </c>
      <c r="E120" s="14">
        <v>23.5</v>
      </c>
      <c r="F120" s="14">
        <v>57</v>
      </c>
      <c r="G120" s="14">
        <v>8</v>
      </c>
      <c r="H120" s="15">
        <v>9.6</v>
      </c>
      <c r="I120" s="16">
        <f>4098*(0.6108*EXP(17.27*Tomato!C120/(Tomato!C120+237.3)))/(Tomato!C120+237.3)^2</f>
        <v>0.2589369890830428</v>
      </c>
      <c r="J120" s="16">
        <f t="shared" si="41"/>
        <v>0.50951618908304286</v>
      </c>
      <c r="K120" s="16">
        <f t="shared" si="42"/>
        <v>6.991469290024015</v>
      </c>
      <c r="L120" s="16">
        <f t="shared" si="43"/>
        <v>2.8955307729089892</v>
      </c>
      <c r="M120" s="16">
        <f t="shared" si="44"/>
        <v>4.9435000314665025</v>
      </c>
      <c r="N120" s="16">
        <f t="shared" si="45"/>
        <v>2.8177950179359064</v>
      </c>
      <c r="O120" s="16">
        <f t="shared" si="46"/>
        <v>0.19701858473942932</v>
      </c>
      <c r="P120" s="16">
        <f t="shared" si="47"/>
        <v>0.98956273499978775</v>
      </c>
      <c r="Q120" s="16">
        <f t="shared" si="48"/>
        <v>1.6538110814800842</v>
      </c>
      <c r="R120" s="16">
        <f t="shared" si="49"/>
        <v>38.205981435618767</v>
      </c>
      <c r="S120" s="16">
        <f t="shared" si="50"/>
        <v>12.640594253350962</v>
      </c>
      <c r="T120" s="16">
        <f t="shared" si="51"/>
        <v>24.059413832939608</v>
      </c>
      <c r="U120" s="16">
        <f t="shared" si="52"/>
        <v>28.69498441703583</v>
      </c>
      <c r="V120" s="16">
        <f t="shared" si="53"/>
        <v>18.5257486513635</v>
      </c>
      <c r="W120" s="16">
        <f t="shared" si="54"/>
        <v>3.4697448473337271</v>
      </c>
      <c r="X120" s="16">
        <f t="shared" si="55"/>
        <v>9.7722253639543943</v>
      </c>
      <c r="Y120" s="16">
        <f t="shared" si="56"/>
        <v>6.9234764648163258</v>
      </c>
      <c r="Z120">
        <v>0.8</v>
      </c>
      <c r="AB120">
        <f t="shared" si="57"/>
        <v>7.8177802911635155</v>
      </c>
      <c r="AD120" s="11">
        <v>0</v>
      </c>
      <c r="AE120">
        <v>0</v>
      </c>
      <c r="AF120">
        <v>0</v>
      </c>
      <c r="AG120">
        <f t="shared" si="60"/>
        <v>0</v>
      </c>
      <c r="AH120" s="71">
        <f t="shared" si="61"/>
        <v>1</v>
      </c>
      <c r="AI120">
        <f t="shared" si="62"/>
        <v>7.8177802911635155</v>
      </c>
      <c r="AJ120">
        <f t="shared" si="63"/>
        <v>55.637362207195878</v>
      </c>
      <c r="AK120" s="2">
        <f t="shared" si="59"/>
        <v>21.362637792804122</v>
      </c>
    </row>
    <row r="121" spans="1:38" ht="15.6">
      <c r="A121" s="1">
        <v>44307</v>
      </c>
      <c r="B121" s="13">
        <f t="shared" si="58"/>
        <v>111</v>
      </c>
      <c r="C121" s="13">
        <f t="shared" si="40"/>
        <v>31.1</v>
      </c>
      <c r="D121" s="14">
        <v>37.6</v>
      </c>
      <c r="E121" s="14">
        <v>24.6</v>
      </c>
      <c r="F121" s="14">
        <v>59</v>
      </c>
      <c r="G121" s="14">
        <v>8</v>
      </c>
      <c r="H121" s="15">
        <v>8.8000000000000007</v>
      </c>
      <c r="I121" s="16">
        <f>4098*(0.6108*EXP(17.27*Tomato!C121/(Tomato!C121+237.3)))/(Tomato!C121+237.3)^2</f>
        <v>0.25702507528174307</v>
      </c>
      <c r="J121" s="16">
        <f t="shared" si="41"/>
        <v>0.50760427528174312</v>
      </c>
      <c r="K121" s="16">
        <f t="shared" si="42"/>
        <v>6.4828047854892876</v>
      </c>
      <c r="L121" s="16">
        <f t="shared" si="43"/>
        <v>3.0930813295225428</v>
      </c>
      <c r="M121" s="16">
        <f t="shared" si="44"/>
        <v>4.787943057505915</v>
      </c>
      <c r="N121" s="16">
        <f t="shared" si="45"/>
        <v>2.8248864039284896</v>
      </c>
      <c r="O121" s="16">
        <f t="shared" si="46"/>
        <v>0.20315590233132672</v>
      </c>
      <c r="P121" s="16">
        <f t="shared" si="47"/>
        <v>0.98902567224796023</v>
      </c>
      <c r="Q121" s="16">
        <f t="shared" si="48"/>
        <v>1.6564749306306354</v>
      </c>
      <c r="R121" s="16">
        <f t="shared" si="49"/>
        <v>38.285542868732406</v>
      </c>
      <c r="S121" s="16">
        <f t="shared" si="50"/>
        <v>12.660954883801036</v>
      </c>
      <c r="T121" s="16">
        <f t="shared" si="51"/>
        <v>22.876574004201871</v>
      </c>
      <c r="U121" s="16">
        <f t="shared" si="52"/>
        <v>28.754739826990161</v>
      </c>
      <c r="V121" s="16">
        <f t="shared" si="53"/>
        <v>17.614961983235442</v>
      </c>
      <c r="W121" s="16">
        <f t="shared" si="54"/>
        <v>3.1938595981233688</v>
      </c>
      <c r="X121" s="16">
        <f t="shared" si="55"/>
        <v>9.1469981867704355</v>
      </c>
      <c r="Y121" s="16">
        <f t="shared" si="56"/>
        <v>6.3343687800563249</v>
      </c>
      <c r="Z121">
        <v>0.6</v>
      </c>
      <c r="AB121">
        <f t="shared" si="57"/>
        <v>5.488198912062261</v>
      </c>
      <c r="AD121" s="11">
        <v>0</v>
      </c>
      <c r="AE121">
        <v>0</v>
      </c>
      <c r="AF121">
        <v>0</v>
      </c>
      <c r="AG121">
        <f t="shared" si="60"/>
        <v>0</v>
      </c>
      <c r="AH121" s="71">
        <f t="shared" si="61"/>
        <v>0.90320393193499804</v>
      </c>
      <c r="AI121">
        <f t="shared" si="62"/>
        <v>4.9569628366160128</v>
      </c>
      <c r="AJ121">
        <f t="shared" si="63"/>
        <v>50.680399370579863</v>
      </c>
      <c r="AK121" s="2">
        <f t="shared" si="59"/>
        <v>26.319600629420137</v>
      </c>
    </row>
    <row r="122" spans="1:38" ht="15.6">
      <c r="A122" s="1">
        <v>44308</v>
      </c>
      <c r="B122" s="13">
        <f t="shared" si="58"/>
        <v>112</v>
      </c>
      <c r="C122" s="13">
        <f t="shared" si="40"/>
        <v>27.700000000000003</v>
      </c>
      <c r="D122" s="14">
        <v>35.200000000000003</v>
      </c>
      <c r="E122" s="14">
        <v>20.2</v>
      </c>
      <c r="F122" s="14">
        <v>50</v>
      </c>
      <c r="G122" s="14">
        <v>8</v>
      </c>
      <c r="H122" s="15">
        <v>3</v>
      </c>
      <c r="I122" s="16">
        <f>4098*(0.6108*EXP(17.27*Tomato!C122/(Tomato!C122+237.3)))/(Tomato!C122+237.3)^2</f>
        <v>0.21675507376400333</v>
      </c>
      <c r="J122" s="16">
        <f t="shared" si="41"/>
        <v>0.46733427376400333</v>
      </c>
      <c r="K122" s="16">
        <f t="shared" si="42"/>
        <v>5.6851337931165737</v>
      </c>
      <c r="L122" s="16">
        <f t="shared" si="43"/>
        <v>2.3673876975032684</v>
      </c>
      <c r="M122" s="16">
        <f t="shared" si="44"/>
        <v>4.0262607453099211</v>
      </c>
      <c r="N122" s="16">
        <f t="shared" si="45"/>
        <v>2.0131303726549605</v>
      </c>
      <c r="O122" s="16">
        <f t="shared" si="46"/>
        <v>0.20923308146506286</v>
      </c>
      <c r="P122" s="16">
        <f t="shared" si="47"/>
        <v>0.98849185813002827</v>
      </c>
      <c r="Q122" s="16">
        <f t="shared" si="48"/>
        <v>1.659119924858371</v>
      </c>
      <c r="R122" s="16">
        <f t="shared" si="49"/>
        <v>38.362953889153374</v>
      </c>
      <c r="S122" s="16">
        <f t="shared" si="50"/>
        <v>12.681171400191371</v>
      </c>
      <c r="T122" s="16">
        <f t="shared" si="51"/>
        <v>14.12852358832752</v>
      </c>
      <c r="U122" s="16">
        <f t="shared" si="52"/>
        <v>28.812880147987531</v>
      </c>
      <c r="V122" s="16">
        <f t="shared" si="53"/>
        <v>10.878963163012191</v>
      </c>
      <c r="W122" s="16">
        <f t="shared" si="54"/>
        <v>1.7782432505456451</v>
      </c>
      <c r="X122" s="16">
        <f t="shared" si="55"/>
        <v>8.6699457863084088</v>
      </c>
      <c r="Y122" s="16">
        <f t="shared" si="56"/>
        <v>6.3439107596471347</v>
      </c>
      <c r="Z122">
        <v>0.6</v>
      </c>
      <c r="AB122">
        <f t="shared" si="57"/>
        <v>5.2019674717850455</v>
      </c>
      <c r="AD122" s="11">
        <v>14</v>
      </c>
      <c r="AE122">
        <f>(125+0.1*AD122*30)/30</f>
        <v>5.5666666666666664</v>
      </c>
      <c r="AF122">
        <v>0</v>
      </c>
      <c r="AG122">
        <f t="shared" si="60"/>
        <v>0</v>
      </c>
      <c r="AH122" s="71">
        <f t="shared" si="61"/>
        <v>0.82273375601590681</v>
      </c>
      <c r="AI122">
        <f t="shared" si="62"/>
        <v>4.2798342367342812</v>
      </c>
      <c r="AJ122">
        <f t="shared" si="63"/>
        <v>51.967231800512252</v>
      </c>
      <c r="AK122" s="2">
        <f t="shared" si="59"/>
        <v>25.032768199487748</v>
      </c>
    </row>
    <row r="123" spans="1:38" ht="15.6">
      <c r="A123" s="1">
        <v>44309</v>
      </c>
      <c r="B123" s="13">
        <f t="shared" si="58"/>
        <v>113</v>
      </c>
      <c r="C123" s="13">
        <f t="shared" si="40"/>
        <v>28.450000000000003</v>
      </c>
      <c r="D123" s="14">
        <v>36.700000000000003</v>
      </c>
      <c r="E123" s="14">
        <v>20.2</v>
      </c>
      <c r="F123" s="14">
        <v>49</v>
      </c>
      <c r="G123" s="14">
        <v>6</v>
      </c>
      <c r="H123" s="15">
        <v>8.5</v>
      </c>
      <c r="I123" s="16">
        <f>4098*(0.6108*EXP(17.27*Tomato!C123/(Tomato!C123+237.3)))/(Tomato!C123+237.3)^2</f>
        <v>0.2251485506723</v>
      </c>
      <c r="J123" s="16">
        <f t="shared" si="41"/>
        <v>0.42992295067230002</v>
      </c>
      <c r="K123" s="16">
        <f t="shared" si="42"/>
        <v>6.1730054556831266</v>
      </c>
      <c r="L123" s="16">
        <f t="shared" si="43"/>
        <v>2.3673876975032684</v>
      </c>
      <c r="M123" s="16">
        <f t="shared" si="44"/>
        <v>4.2701965765931975</v>
      </c>
      <c r="N123" s="16">
        <f t="shared" si="45"/>
        <v>2.0923963225306665</v>
      </c>
      <c r="O123" s="16">
        <f t="shared" si="46"/>
        <v>0.21524832316665346</v>
      </c>
      <c r="P123" s="16">
        <f t="shared" si="47"/>
        <v>0.98796145066629826</v>
      </c>
      <c r="Q123" s="16">
        <f t="shared" si="48"/>
        <v>1.6617453047455057</v>
      </c>
      <c r="R123" s="16">
        <f t="shared" si="49"/>
        <v>38.438228990475196</v>
      </c>
      <c r="S123" s="16">
        <f t="shared" si="50"/>
        <v>12.701237998054822</v>
      </c>
      <c r="T123" s="16">
        <f t="shared" si="51"/>
        <v>22.471490331192097</v>
      </c>
      <c r="U123" s="16">
        <f t="shared" si="52"/>
        <v>28.869416265586299</v>
      </c>
      <c r="V123" s="16">
        <f t="shared" si="53"/>
        <v>17.303047555017915</v>
      </c>
      <c r="W123" s="16">
        <f t="shared" si="54"/>
        <v>3.9270072875294457</v>
      </c>
      <c r="X123" s="16">
        <f t="shared" si="55"/>
        <v>8.9703730156061656</v>
      </c>
      <c r="Y123" s="16">
        <f t="shared" si="56"/>
        <v>6.7764943098126791</v>
      </c>
      <c r="Z123">
        <v>0.6</v>
      </c>
      <c r="AB123">
        <f t="shared" si="57"/>
        <v>5.3822238093636994</v>
      </c>
      <c r="AD123" s="11">
        <v>0.8</v>
      </c>
      <c r="AE123">
        <f>(AD123*30)*(125-0.2*AD123*30)/(125*30)</f>
        <v>0.76928000000000007</v>
      </c>
      <c r="AF123">
        <v>0</v>
      </c>
      <c r="AG123">
        <f t="shared" si="60"/>
        <v>0</v>
      </c>
      <c r="AH123" s="71">
        <f t="shared" si="61"/>
        <v>0.84362389286545858</v>
      </c>
      <c r="AI123">
        <f t="shared" si="62"/>
        <v>4.5405726023285622</v>
      </c>
      <c r="AJ123">
        <f t="shared" si="63"/>
        <v>48.195939198183694</v>
      </c>
      <c r="AK123" s="2">
        <f t="shared" si="59"/>
        <v>28.804060801816306</v>
      </c>
    </row>
    <row r="124" spans="1:38" ht="15.6">
      <c r="A124" s="1">
        <v>44310</v>
      </c>
      <c r="B124" s="13">
        <f t="shared" si="58"/>
        <v>114</v>
      </c>
      <c r="C124" s="13">
        <f t="shared" si="40"/>
        <v>30.3</v>
      </c>
      <c r="D124" s="14">
        <v>38.200000000000003</v>
      </c>
      <c r="E124" s="14">
        <v>22.4</v>
      </c>
      <c r="F124" s="14">
        <v>39</v>
      </c>
      <c r="G124" s="14">
        <v>6</v>
      </c>
      <c r="H124" s="15">
        <v>9</v>
      </c>
      <c r="I124" s="16">
        <f>4098*(0.6108*EXP(17.27*Tomato!C124/(Tomato!C124+237.3)))/(Tomato!C124+237.3)^2</f>
        <v>0.24702681337018534</v>
      </c>
      <c r="J124" s="16">
        <f t="shared" si="41"/>
        <v>0.45180121337018536</v>
      </c>
      <c r="K124" s="16">
        <f t="shared" si="42"/>
        <v>6.6967374829686319</v>
      </c>
      <c r="L124" s="16">
        <f t="shared" si="43"/>
        <v>2.7090824052161175</v>
      </c>
      <c r="M124" s="16">
        <f t="shared" si="44"/>
        <v>4.7029099440923749</v>
      </c>
      <c r="N124" s="16">
        <f t="shared" si="45"/>
        <v>1.8341348781960263</v>
      </c>
      <c r="O124" s="16">
        <f t="shared" si="46"/>
        <v>0.22119984679690832</v>
      </c>
      <c r="P124" s="16">
        <f t="shared" si="47"/>
        <v>0.98743460686863527</v>
      </c>
      <c r="Q124" s="16">
        <f t="shared" si="48"/>
        <v>1.6643503002238729</v>
      </c>
      <c r="R124" s="16">
        <f t="shared" si="49"/>
        <v>38.511384180081528</v>
      </c>
      <c r="S124" s="16">
        <f t="shared" si="50"/>
        <v>12.721148791520047</v>
      </c>
      <c r="T124" s="16">
        <f t="shared" si="51"/>
        <v>23.250926133973508</v>
      </c>
      <c r="U124" s="16">
        <f t="shared" si="52"/>
        <v>28.924360202292032</v>
      </c>
      <c r="V124" s="16">
        <f t="shared" si="53"/>
        <v>17.903213123159603</v>
      </c>
      <c r="W124" s="16">
        <f t="shared" si="54"/>
        <v>4.6161256495360634</v>
      </c>
      <c r="X124" s="16">
        <f t="shared" si="55"/>
        <v>10.579103772027207</v>
      </c>
      <c r="Y124" s="16">
        <f t="shared" si="56"/>
        <v>6.9095656462005408</v>
      </c>
      <c r="Z124">
        <v>0.6</v>
      </c>
      <c r="AB124">
        <f t="shared" si="57"/>
        <v>6.3474622632163236</v>
      </c>
      <c r="AD124" s="11">
        <v>0</v>
      </c>
      <c r="AE124">
        <f t="shared" ref="AE124:AE130" si="64">(AD124*30)*(125-0.2*AD124*30)/(125*30)</f>
        <v>0</v>
      </c>
      <c r="AF124">
        <v>0</v>
      </c>
      <c r="AG124">
        <f t="shared" si="60"/>
        <v>0</v>
      </c>
      <c r="AH124" s="71">
        <f t="shared" si="61"/>
        <v>0.7824016103601249</v>
      </c>
      <c r="AI124">
        <f t="shared" si="62"/>
        <v>4.9662646964405743</v>
      </c>
      <c r="AJ124">
        <f t="shared" si="63"/>
        <v>43.229674501743119</v>
      </c>
      <c r="AK124" s="2">
        <f t="shared" si="59"/>
        <v>33.770325498256881</v>
      </c>
    </row>
    <row r="125" spans="1:38" ht="15.6">
      <c r="A125" s="1">
        <v>44311</v>
      </c>
      <c r="B125" s="13">
        <f t="shared" si="58"/>
        <v>115</v>
      </c>
      <c r="C125" s="13">
        <f t="shared" si="40"/>
        <v>31.799999999999997</v>
      </c>
      <c r="D125" s="14">
        <v>39.799999999999997</v>
      </c>
      <c r="E125" s="14">
        <v>23.8</v>
      </c>
      <c r="F125" s="14">
        <v>55</v>
      </c>
      <c r="G125" s="14">
        <v>8</v>
      </c>
      <c r="H125" s="15">
        <v>9.5</v>
      </c>
      <c r="I125" s="16">
        <f>4098*(0.6108*EXP(17.27*Tomato!C125/(Tomato!C125+237.3)))/(Tomato!C125+237.3)^2</f>
        <v>0.26604960033055691</v>
      </c>
      <c r="J125" s="16">
        <f t="shared" si="41"/>
        <v>0.51662880033055691</v>
      </c>
      <c r="K125" s="16">
        <f t="shared" si="42"/>
        <v>7.2973575963193085</v>
      </c>
      <c r="L125" s="16">
        <f t="shared" si="43"/>
        <v>2.9482843050220851</v>
      </c>
      <c r="M125" s="16">
        <f t="shared" si="44"/>
        <v>5.1228209506706968</v>
      </c>
      <c r="N125" s="16">
        <f t="shared" si="45"/>
        <v>2.8175515228688837</v>
      </c>
      <c r="O125" s="16">
        <f t="shared" si="46"/>
        <v>0.22708589057853837</v>
      </c>
      <c r="P125" s="16">
        <f t="shared" si="47"/>
        <v>0.9869114826939831</v>
      </c>
      <c r="Q125" s="16">
        <f t="shared" si="48"/>
        <v>1.6669341306534815</v>
      </c>
      <c r="R125" s="16">
        <f t="shared" si="49"/>
        <v>38.582436920346503</v>
      </c>
      <c r="S125" s="16">
        <f t="shared" si="50"/>
        <v>12.74089781391196</v>
      </c>
      <c r="T125" s="16">
        <f t="shared" si="51"/>
        <v>24.029727056660402</v>
      </c>
      <c r="U125" s="16">
        <f t="shared" si="52"/>
        <v>28.977725073395444</v>
      </c>
      <c r="V125" s="16">
        <f t="shared" si="53"/>
        <v>18.502889833628512</v>
      </c>
      <c r="W125" s="16">
        <f t="shared" si="54"/>
        <v>3.4404983600050993</v>
      </c>
      <c r="X125" s="16">
        <f t="shared" si="55"/>
        <v>10.264811378039845</v>
      </c>
      <c r="Y125" s="16">
        <f t="shared" si="56"/>
        <v>7.1832225471209439</v>
      </c>
      <c r="Z125">
        <v>0.6</v>
      </c>
      <c r="AB125">
        <f t="shared" si="57"/>
        <v>6.158886826823907</v>
      </c>
      <c r="AD125" s="11">
        <v>0</v>
      </c>
      <c r="AE125">
        <f t="shared" si="64"/>
        <v>0</v>
      </c>
      <c r="AF125">
        <v>0</v>
      </c>
      <c r="AG125">
        <f t="shared" si="60"/>
        <v>0</v>
      </c>
      <c r="AH125" s="71">
        <f t="shared" si="61"/>
        <v>0.70178043022310255</v>
      </c>
      <c r="AI125">
        <f t="shared" si="62"/>
        <v>4.3221862470238799</v>
      </c>
      <c r="AJ125">
        <f t="shared" si="63"/>
        <v>38.90748825471924</v>
      </c>
      <c r="AK125" s="2">
        <f t="shared" si="59"/>
        <v>38.09251174528076</v>
      </c>
    </row>
    <row r="126" spans="1:38" ht="15.6">
      <c r="A126" s="1">
        <v>44312</v>
      </c>
      <c r="B126" s="13">
        <f t="shared" si="58"/>
        <v>116</v>
      </c>
      <c r="C126" s="13">
        <f t="shared" si="40"/>
        <v>31.35</v>
      </c>
      <c r="D126" s="14">
        <v>39.200000000000003</v>
      </c>
      <c r="E126" s="14">
        <v>23.5</v>
      </c>
      <c r="F126" s="14">
        <v>49</v>
      </c>
      <c r="G126" s="14">
        <v>8</v>
      </c>
      <c r="H126" s="15">
        <v>9.3000000000000007</v>
      </c>
      <c r="I126" s="16">
        <f>4098*(0.6108*EXP(17.27*Tomato!C126/(Tomato!C126+237.3)))/(Tomato!C126+237.3)^2</f>
        <v>0.26021820629367171</v>
      </c>
      <c r="J126" s="16">
        <f t="shared" si="41"/>
        <v>0.51079740629367176</v>
      </c>
      <c r="K126" s="16">
        <f t="shared" si="42"/>
        <v>7.0668819534275658</v>
      </c>
      <c r="L126" s="16">
        <f t="shared" si="43"/>
        <v>2.8955307729089892</v>
      </c>
      <c r="M126" s="16">
        <f t="shared" si="44"/>
        <v>4.9812063631682779</v>
      </c>
      <c r="N126" s="16">
        <f t="shared" si="45"/>
        <v>2.4407911179524562</v>
      </c>
      <c r="O126" s="16">
        <f t="shared" si="46"/>
        <v>0.23290471211767949</v>
      </c>
      <c r="P126" s="16">
        <f t="shared" si="47"/>
        <v>0.98639223299819856</v>
      </c>
      <c r="Q126" s="16">
        <f t="shared" si="48"/>
        <v>1.6694960049416978</v>
      </c>
      <c r="R126" s="16">
        <f t="shared" si="49"/>
        <v>38.65140606833365</v>
      </c>
      <c r="S126" s="16">
        <f t="shared" si="50"/>
        <v>12.760479018662659</v>
      </c>
      <c r="T126" s="16">
        <f t="shared" si="51"/>
        <v>23.747670586562801</v>
      </c>
      <c r="U126" s="16">
        <f t="shared" si="52"/>
        <v>29.029525041682668</v>
      </c>
      <c r="V126" s="16">
        <f t="shared" si="53"/>
        <v>18.285706351653356</v>
      </c>
      <c r="W126" s="16">
        <f t="shared" si="54"/>
        <v>3.8722358747141983</v>
      </c>
      <c r="X126" s="16">
        <f t="shared" si="55"/>
        <v>10.921162760812827</v>
      </c>
      <c r="Y126" s="16">
        <f t="shared" si="56"/>
        <v>7.0636088964488932</v>
      </c>
      <c r="Z126">
        <v>0.6</v>
      </c>
      <c r="AB126">
        <f t="shared" si="57"/>
        <v>6.5526976564876955</v>
      </c>
      <c r="AD126" s="12">
        <v>0</v>
      </c>
      <c r="AE126">
        <f t="shared" si="64"/>
        <v>0</v>
      </c>
      <c r="AF126">
        <v>0</v>
      </c>
      <c r="AG126">
        <f t="shared" si="60"/>
        <v>0</v>
      </c>
      <c r="AH126" s="71">
        <f t="shared" si="61"/>
        <v>0.63161506907011755</v>
      </c>
      <c r="AI126">
        <f t="shared" si="62"/>
        <v>4.1387825828980729</v>
      </c>
      <c r="AJ126">
        <f t="shared" si="63"/>
        <v>34.768705671821166</v>
      </c>
      <c r="AK126" s="2">
        <f t="shared" si="59"/>
        <v>42.231294328178834</v>
      </c>
    </row>
    <row r="127" spans="1:38" ht="15.6">
      <c r="A127" s="1">
        <v>44313</v>
      </c>
      <c r="B127" s="13">
        <f t="shared" si="58"/>
        <v>117</v>
      </c>
      <c r="C127" s="13">
        <f t="shared" si="40"/>
        <v>32.15</v>
      </c>
      <c r="D127" s="14">
        <v>40.6</v>
      </c>
      <c r="E127" s="14">
        <v>23.7</v>
      </c>
      <c r="F127" s="14">
        <v>32</v>
      </c>
      <c r="G127" s="14">
        <v>7</v>
      </c>
      <c r="H127" s="15">
        <v>10.3</v>
      </c>
      <c r="I127" s="16">
        <f>4098*(0.6108*EXP(17.27*Tomato!C127/(Tomato!C127+237.3)))/(Tomato!C127+237.3)^2</f>
        <v>0.27066042882010366</v>
      </c>
      <c r="J127" s="16">
        <f t="shared" si="41"/>
        <v>0.49833722882010367</v>
      </c>
      <c r="K127" s="16">
        <f t="shared" si="42"/>
        <v>7.6147514190390817</v>
      </c>
      <c r="L127" s="16">
        <f t="shared" si="43"/>
        <v>2.9306073746865935</v>
      </c>
      <c r="M127" s="16">
        <f t="shared" si="44"/>
        <v>5.2726793968628378</v>
      </c>
      <c r="N127" s="16">
        <f t="shared" si="45"/>
        <v>1.6872574069961082</v>
      </c>
      <c r="O127" s="16">
        <f t="shared" si="46"/>
        <v>0.23865458891967792</v>
      </c>
      <c r="P127" s="16">
        <f t="shared" si="47"/>
        <v>0.98587701149021012</v>
      </c>
      <c r="Q127" s="16">
        <f t="shared" si="48"/>
        <v>1.6720351217041947</v>
      </c>
      <c r="R127" s="16">
        <f t="shared" si="49"/>
        <v>38.718311814115033</v>
      </c>
      <c r="S127" s="16">
        <f t="shared" si="50"/>
        <v>12.779886280541616</v>
      </c>
      <c r="T127" s="16">
        <f t="shared" si="51"/>
        <v>25.282166385500453</v>
      </c>
      <c r="U127" s="16">
        <f t="shared" si="52"/>
        <v>29.079775271109234</v>
      </c>
      <c r="V127" s="16">
        <f t="shared" si="53"/>
        <v>19.467268116835349</v>
      </c>
      <c r="W127" s="16">
        <f t="shared" si="54"/>
        <v>5.5750611190487813</v>
      </c>
      <c r="X127" s="16">
        <f t="shared" si="55"/>
        <v>13.084125765901142</v>
      </c>
      <c r="Y127" s="16">
        <f t="shared" si="56"/>
        <v>7.4607632181821835</v>
      </c>
      <c r="Z127">
        <v>0.6</v>
      </c>
      <c r="AB127">
        <f t="shared" si="57"/>
        <v>7.8504754595406849</v>
      </c>
      <c r="AD127" s="12">
        <v>0</v>
      </c>
      <c r="AE127">
        <f t="shared" si="64"/>
        <v>0</v>
      </c>
      <c r="AF127">
        <v>0</v>
      </c>
      <c r="AG127">
        <f t="shared" si="60"/>
        <v>46.662314955396774</v>
      </c>
      <c r="AH127" s="71">
        <f t="shared" si="61"/>
        <v>0.56442704012696698</v>
      </c>
      <c r="AI127">
        <f t="shared" si="62"/>
        <v>4.43102062721794</v>
      </c>
      <c r="AJ127">
        <f t="shared" si="63"/>
        <v>77</v>
      </c>
      <c r="AK127" s="2">
        <f t="shared" si="59"/>
        <v>0</v>
      </c>
      <c r="AL127" t="s">
        <v>2</v>
      </c>
    </row>
    <row r="128" spans="1:38" ht="15.6">
      <c r="A128" s="1">
        <v>44314</v>
      </c>
      <c r="B128" s="13">
        <f t="shared" si="58"/>
        <v>118</v>
      </c>
      <c r="C128" s="13">
        <f t="shared" si="40"/>
        <v>30.9</v>
      </c>
      <c r="D128" s="14">
        <v>37</v>
      </c>
      <c r="E128" s="14">
        <v>24.8</v>
      </c>
      <c r="F128" s="14">
        <v>67</v>
      </c>
      <c r="G128" s="14">
        <v>8</v>
      </c>
      <c r="H128" s="15">
        <v>7.5</v>
      </c>
      <c r="I128" s="16">
        <f>4098*(0.6108*EXP(17.27*Tomato!C128/(Tomato!C128+237.3)))/(Tomato!C128+237.3)^2</f>
        <v>0.25449426933517388</v>
      </c>
      <c r="J128" s="16">
        <f t="shared" si="41"/>
        <v>0.50507346933517394</v>
      </c>
      <c r="K128" s="16">
        <f t="shared" si="42"/>
        <v>6.2748150241265215</v>
      </c>
      <c r="L128" s="16">
        <f t="shared" si="43"/>
        <v>3.1302352193130303</v>
      </c>
      <c r="M128" s="16">
        <f t="shared" si="44"/>
        <v>4.7025251217197761</v>
      </c>
      <c r="N128" s="16">
        <f t="shared" si="45"/>
        <v>3.1506918315522503</v>
      </c>
      <c r="O128" s="16">
        <f t="shared" si="46"/>
        <v>0.24433381889898489</v>
      </c>
      <c r="P128" s="16">
        <f t="shared" si="47"/>
        <v>0.98536597068651766</v>
      </c>
      <c r="Q128" s="16">
        <f t="shared" si="48"/>
        <v>1.6745506694687622</v>
      </c>
      <c r="R128" s="16">
        <f t="shared" si="49"/>
        <v>38.783175617834281</v>
      </c>
      <c r="S128" s="16">
        <f t="shared" si="50"/>
        <v>12.799113397213469</v>
      </c>
      <c r="T128" s="16">
        <f t="shared" si="51"/>
        <v>21.058839457171779</v>
      </c>
      <c r="U128" s="16">
        <f t="shared" si="52"/>
        <v>29.128491879530614</v>
      </c>
      <c r="V128" s="16">
        <f t="shared" si="53"/>
        <v>16.21530638202227</v>
      </c>
      <c r="W128" s="16">
        <f t="shared" si="54"/>
        <v>2.4061912472351938</v>
      </c>
      <c r="X128" s="16">
        <f t="shared" si="55"/>
        <v>7.7422626869729898</v>
      </c>
      <c r="Y128" s="16">
        <f t="shared" si="56"/>
        <v>6.1907068958309015</v>
      </c>
      <c r="Z128">
        <v>0.6</v>
      </c>
      <c r="AB128">
        <f t="shared" si="57"/>
        <v>4.6453576121837941</v>
      </c>
      <c r="AD128" s="12">
        <v>0</v>
      </c>
      <c r="AE128">
        <f t="shared" si="64"/>
        <v>0</v>
      </c>
      <c r="AF128">
        <v>0</v>
      </c>
      <c r="AG128">
        <f t="shared" si="60"/>
        <v>0</v>
      </c>
      <c r="AH128" s="71">
        <f t="shared" si="61"/>
        <v>1</v>
      </c>
      <c r="AI128">
        <f t="shared" si="62"/>
        <v>4.6453576121837941</v>
      </c>
      <c r="AJ128">
        <f t="shared" si="63"/>
        <v>72.354642387816199</v>
      </c>
      <c r="AK128" s="2">
        <f t="shared" si="59"/>
        <v>4.6453576121838012</v>
      </c>
    </row>
    <row r="129" spans="1:37" ht="15.6">
      <c r="A129" s="1">
        <v>44315</v>
      </c>
      <c r="B129" s="13">
        <f t="shared" si="58"/>
        <v>119</v>
      </c>
      <c r="C129" s="13">
        <f t="shared" si="40"/>
        <v>30.6</v>
      </c>
      <c r="D129" s="14">
        <v>36</v>
      </c>
      <c r="E129" s="14">
        <v>25.2</v>
      </c>
      <c r="F129" s="14">
        <v>63</v>
      </c>
      <c r="G129" s="14">
        <v>8</v>
      </c>
      <c r="H129" s="15">
        <v>9.1999999999999993</v>
      </c>
      <c r="I129" s="16">
        <f>4098*(0.6108*EXP(17.27*Tomato!C129/(Tomato!C129+237.3)))/(Tomato!C129+237.3)^2</f>
        <v>0.25073723833604161</v>
      </c>
      <c r="J129" s="16">
        <f t="shared" si="41"/>
        <v>0.50131643833604156</v>
      </c>
      <c r="K129" s="16">
        <f t="shared" si="42"/>
        <v>5.9409977016273503</v>
      </c>
      <c r="L129" s="16">
        <f t="shared" si="43"/>
        <v>3.2057122429156886</v>
      </c>
      <c r="M129" s="16">
        <f t="shared" si="44"/>
        <v>4.5733549722715194</v>
      </c>
      <c r="N129" s="16">
        <f t="shared" si="45"/>
        <v>2.8812136325310571</v>
      </c>
      <c r="O129" s="16">
        <f t="shared" si="46"/>
        <v>0.24994072088301023</v>
      </c>
      <c r="P129" s="16">
        <f t="shared" si="47"/>
        <v>0.98485926186604345</v>
      </c>
      <c r="Q129" s="16">
        <f t="shared" si="48"/>
        <v>1.677041826922997</v>
      </c>
      <c r="R129" s="16">
        <f t="shared" si="49"/>
        <v>38.846020145636885</v>
      </c>
      <c r="S129" s="16">
        <f t="shared" si="50"/>
        <v>12.818154091131188</v>
      </c>
      <c r="T129" s="16">
        <f t="shared" si="51"/>
        <v>23.652021853379416</v>
      </c>
      <c r="U129" s="16">
        <f t="shared" si="52"/>
        <v>29.175691890582037</v>
      </c>
      <c r="V129" s="16">
        <f t="shared" si="53"/>
        <v>18.212056827102153</v>
      </c>
      <c r="W129" s="16">
        <f t="shared" si="54"/>
        <v>3.186834031872873</v>
      </c>
      <c r="X129" s="16">
        <f t="shared" si="55"/>
        <v>8.4582062630802621</v>
      </c>
      <c r="Y129" s="16">
        <f t="shared" si="56"/>
        <v>5.7981810145048076</v>
      </c>
      <c r="Z129">
        <v>0.6</v>
      </c>
      <c r="AB129">
        <f t="shared" si="57"/>
        <v>5.0749237578481567</v>
      </c>
      <c r="AD129" s="12">
        <v>0</v>
      </c>
      <c r="AE129">
        <f t="shared" si="64"/>
        <v>0</v>
      </c>
      <c r="AF129">
        <v>0</v>
      </c>
      <c r="AG129">
        <f t="shared" si="60"/>
        <v>0</v>
      </c>
      <c r="AH129" s="71">
        <f t="shared" si="61"/>
        <v>1</v>
      </c>
      <c r="AI129">
        <f t="shared" si="62"/>
        <v>5.0749237578481567</v>
      </c>
      <c r="AJ129">
        <f t="shared" si="63"/>
        <v>67.279718629968045</v>
      </c>
      <c r="AK129" s="2">
        <f t="shared" si="59"/>
        <v>9.7202813700319552</v>
      </c>
    </row>
    <row r="130" spans="1:37" ht="15.6">
      <c r="A130" s="1">
        <v>44316</v>
      </c>
      <c r="B130" s="13">
        <f t="shared" si="58"/>
        <v>120</v>
      </c>
      <c r="C130" s="13">
        <f t="shared" si="40"/>
        <v>30.349999999999998</v>
      </c>
      <c r="D130" s="14">
        <v>35.799999999999997</v>
      </c>
      <c r="E130" s="14">
        <v>24.9</v>
      </c>
      <c r="F130" s="14">
        <v>52</v>
      </c>
      <c r="G130" s="14">
        <v>6</v>
      </c>
      <c r="H130" s="15">
        <v>6.5</v>
      </c>
      <c r="I130" s="16">
        <f>4098*(0.6108*EXP(17.27*Tomato!C130/(Tomato!C130+237.3)))/(Tomato!C130+237.3)^2</f>
        <v>0.24764200037450079</v>
      </c>
      <c r="J130" s="16">
        <f t="shared" si="41"/>
        <v>0.45241640037450082</v>
      </c>
      <c r="K130" s="16">
        <f t="shared" si="42"/>
        <v>5.8761139848648147</v>
      </c>
      <c r="L130" s="16">
        <f t="shared" si="43"/>
        <v>3.1489576792404375</v>
      </c>
      <c r="M130" s="16">
        <f t="shared" si="44"/>
        <v>4.5125358320526257</v>
      </c>
      <c r="N130" s="16">
        <f t="shared" si="45"/>
        <v>2.3465186326673653</v>
      </c>
      <c r="O130" s="16">
        <f t="shared" si="46"/>
        <v>0.25547363510978544</v>
      </c>
      <c r="P130" s="16">
        <f t="shared" si="47"/>
        <v>0.9843570350253511</v>
      </c>
      <c r="Q130" s="16">
        <f t="shared" si="48"/>
        <v>1.6795077632068089</v>
      </c>
      <c r="R130" s="16">
        <f t="shared" si="49"/>
        <v>38.906869204592645</v>
      </c>
      <c r="S130" s="16">
        <f t="shared" si="50"/>
        <v>12.837002011771789</v>
      </c>
      <c r="T130" s="16">
        <f t="shared" si="51"/>
        <v>19.576939712811832</v>
      </c>
      <c r="U130" s="16">
        <f t="shared" si="52"/>
        <v>29.22139318480135</v>
      </c>
      <c r="V130" s="16">
        <f t="shared" si="53"/>
        <v>15.074243578865111</v>
      </c>
      <c r="W130" s="16">
        <f t="shared" si="54"/>
        <v>2.9015982771949047</v>
      </c>
      <c r="X130" s="16">
        <f t="shared" si="55"/>
        <v>8.4593504248504878</v>
      </c>
      <c r="Y130" s="16">
        <f t="shared" si="56"/>
        <v>5.8039521664494762</v>
      </c>
      <c r="Z130">
        <v>0.6</v>
      </c>
      <c r="AB130">
        <f t="shared" si="57"/>
        <v>5.0756102549102922</v>
      </c>
      <c r="AD130" s="12">
        <v>0</v>
      </c>
      <c r="AE130">
        <f t="shared" si="64"/>
        <v>0</v>
      </c>
      <c r="AF130">
        <v>0</v>
      </c>
      <c r="AG130">
        <f t="shared" si="60"/>
        <v>0</v>
      </c>
      <c r="AH130" s="71">
        <f t="shared" si="61"/>
        <v>1</v>
      </c>
      <c r="AI130">
        <f t="shared" si="62"/>
        <v>5.0756102549102922</v>
      </c>
      <c r="AJ130">
        <f t="shared" si="63"/>
        <v>62.20410837505775</v>
      </c>
      <c r="AK130" s="2">
        <f t="shared" si="59"/>
        <v>14.79589162494225</v>
      </c>
    </row>
    <row r="131" spans="1:37">
      <c r="AI131">
        <f>SUM(AI11:AI130)</f>
        <v>622.24148970697024</v>
      </c>
    </row>
  </sheetData>
  <mergeCells count="3">
    <mergeCell ref="B8:H8"/>
    <mergeCell ref="I8:Y8"/>
    <mergeCell ref="AB8:AM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94"/>
  <sheetViews>
    <sheetView workbookViewId="0">
      <selection activeCell="F5" sqref="F5"/>
    </sheetView>
  </sheetViews>
  <sheetFormatPr defaultRowHeight="14.4"/>
  <cols>
    <col min="1" max="1" width="16" customWidth="1"/>
    <col min="8" max="8" width="15.109375" customWidth="1"/>
    <col min="10" max="10" width="23.77734375" customWidth="1"/>
    <col min="25" max="25" width="13.77734375" customWidth="1"/>
    <col min="32" max="32" width="18" customWidth="1"/>
    <col min="34" max="35" width="14.88671875" customWidth="1"/>
    <col min="38" max="38" width="21.21875" customWidth="1"/>
  </cols>
  <sheetData>
    <row r="1" spans="1:40">
      <c r="A1" t="s">
        <v>29</v>
      </c>
    </row>
    <row r="2" spans="1:40">
      <c r="A2" t="s">
        <v>49</v>
      </c>
    </row>
    <row r="3" spans="1:40" ht="57.6">
      <c r="A3" s="4" t="s">
        <v>31</v>
      </c>
      <c r="B3" s="4" t="s">
        <v>32</v>
      </c>
    </row>
    <row r="4" spans="1:40">
      <c r="A4" t="s">
        <v>38</v>
      </c>
    </row>
    <row r="5" spans="1:40">
      <c r="A5" t="s">
        <v>59</v>
      </c>
      <c r="B5">
        <v>25</v>
      </c>
      <c r="C5" t="s">
        <v>60</v>
      </c>
      <c r="D5">
        <v>14</v>
      </c>
      <c r="E5" t="s">
        <v>61</v>
      </c>
    </row>
    <row r="6" spans="1:40">
      <c r="A6" t="s">
        <v>45</v>
      </c>
      <c r="C6" t="s">
        <v>56</v>
      </c>
    </row>
    <row r="7" spans="1:40">
      <c r="A7" t="s">
        <v>51</v>
      </c>
    </row>
    <row r="8" spans="1:40">
      <c r="B8" s="72" t="s">
        <v>39</v>
      </c>
      <c r="C8" s="72"/>
      <c r="D8" s="72"/>
      <c r="E8" s="72"/>
      <c r="F8" s="72"/>
      <c r="G8" s="72"/>
      <c r="H8" s="72"/>
      <c r="I8" s="73" t="s">
        <v>40</v>
      </c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</row>
    <row r="9" spans="1:40">
      <c r="A9" t="s">
        <v>14</v>
      </c>
      <c r="B9" s="13" t="s">
        <v>0</v>
      </c>
      <c r="C9" s="13" t="s">
        <v>50</v>
      </c>
      <c r="D9" s="13" t="s">
        <v>25</v>
      </c>
      <c r="E9" s="13" t="s">
        <v>24</v>
      </c>
      <c r="F9" s="13" t="s">
        <v>27</v>
      </c>
      <c r="G9" s="13" t="s">
        <v>28</v>
      </c>
      <c r="H9" s="13" t="s">
        <v>18</v>
      </c>
      <c r="I9" s="16" t="s">
        <v>3</v>
      </c>
      <c r="J9" s="17" t="s">
        <v>4</v>
      </c>
      <c r="K9" s="17" t="s">
        <v>5</v>
      </c>
      <c r="L9" s="17" t="s">
        <v>6</v>
      </c>
      <c r="M9" s="17" t="s">
        <v>7</v>
      </c>
      <c r="N9" s="17" t="s">
        <v>8</v>
      </c>
      <c r="O9" s="17" t="s">
        <v>9</v>
      </c>
      <c r="P9" s="17" t="s">
        <v>11</v>
      </c>
      <c r="Q9" s="17" t="s">
        <v>10</v>
      </c>
      <c r="R9" s="17" t="s">
        <v>12</v>
      </c>
      <c r="S9" s="17" t="s">
        <v>13</v>
      </c>
      <c r="T9" s="17" t="s">
        <v>15</v>
      </c>
      <c r="U9" s="17" t="s">
        <v>33</v>
      </c>
      <c r="V9" s="17" t="s">
        <v>16</v>
      </c>
      <c r="W9" s="17" t="s">
        <v>17</v>
      </c>
      <c r="X9" s="17" t="s">
        <v>19</v>
      </c>
      <c r="Y9" s="17" t="s">
        <v>34</v>
      </c>
      <c r="Z9" s="53" t="s">
        <v>1</v>
      </c>
      <c r="AA9" s="53" t="s">
        <v>54</v>
      </c>
      <c r="AB9" s="17" t="s">
        <v>35</v>
      </c>
      <c r="AC9" s="17" t="s">
        <v>36</v>
      </c>
      <c r="AD9" s="17" t="s">
        <v>52</v>
      </c>
      <c r="AE9" t="s">
        <v>20</v>
      </c>
      <c r="AF9" s="2" t="s">
        <v>47</v>
      </c>
      <c r="AG9" s="2"/>
      <c r="AH9" t="s">
        <v>21</v>
      </c>
      <c r="AI9" t="s">
        <v>55</v>
      </c>
      <c r="AJ9" t="s">
        <v>22</v>
      </c>
      <c r="AK9" t="s">
        <v>23</v>
      </c>
      <c r="AL9" t="s">
        <v>48</v>
      </c>
    </row>
    <row r="10" spans="1:40">
      <c r="B10" s="13"/>
      <c r="C10" s="13"/>
      <c r="D10" s="13"/>
      <c r="E10" s="13"/>
      <c r="F10" s="13"/>
      <c r="G10" s="13"/>
      <c r="H10" s="13"/>
      <c r="I10" s="16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53"/>
      <c r="AA10" s="53"/>
      <c r="AB10" s="17"/>
      <c r="AC10" s="17"/>
      <c r="AD10" s="17"/>
      <c r="AF10" s="2"/>
      <c r="AG10" s="2"/>
      <c r="AH10">
        <v>132</v>
      </c>
      <c r="AI10">
        <v>132</v>
      </c>
      <c r="AN10">
        <v>0</v>
      </c>
    </row>
    <row r="11" spans="1:40" ht="15.6">
      <c r="A11" s="1">
        <v>44317</v>
      </c>
      <c r="B11">
        <v>121</v>
      </c>
      <c r="C11">
        <f>(D11+E11)/2</f>
        <v>28</v>
      </c>
      <c r="D11" s="19">
        <v>36</v>
      </c>
      <c r="E11" s="18">
        <v>20</v>
      </c>
      <c r="F11" s="21">
        <v>56</v>
      </c>
      <c r="G11" s="22">
        <v>8</v>
      </c>
      <c r="H11" s="23">
        <v>9.5</v>
      </c>
      <c r="I11" s="16">
        <f>4098*(0.6108*EXP(17.27*Tomato!C10/(Tomato!C10+237.3)))/(Tomato!C10+237.3)^2</f>
        <v>4.4450382862832649E-2</v>
      </c>
      <c r="J11" s="16">
        <f>I11+0.06736*(1+0.34*G11)</f>
        <v>0.29502958286283265</v>
      </c>
      <c r="K11" s="16">
        <f>0.6108*EXP(17.27*D11/(D11+237.3))</f>
        <v>5.9409977016273503</v>
      </c>
      <c r="L11" s="16">
        <f>0.6108*EXP(17.27*E11/(E11+237.3))</f>
        <v>2.3382812709274461</v>
      </c>
      <c r="M11" s="16">
        <f>(K11+L11)/2</f>
        <v>4.1396394862773978</v>
      </c>
      <c r="N11" s="16">
        <f>F11/100*((K11+L11)/2)</f>
        <v>2.318198112315343</v>
      </c>
      <c r="O11" s="16">
        <f>0.409*SIN(2*3.14*B11/365-1.39)</f>
        <v>0.26093092371928822</v>
      </c>
      <c r="P11" s="16">
        <f>1+0.033*COS(2*3.14*B11/365)</f>
        <v>0.98385943883424287</v>
      </c>
      <c r="Q11" s="16">
        <f>ACOS(-TAN(22.57*3.14/180)*TAN(O11))</f>
        <v>1.6819476382506013</v>
      </c>
      <c r="R11" s="16">
        <f>(Q11*SIN(3.14*22.57/180)*SIN(O11)+COS(3.14*22.57/180)*COS(O11)*SIN(Q11))*P11*0.082*24*60/3.14</f>
        <v>38.965747676734573</v>
      </c>
      <c r="S11" s="16">
        <f>24/3.14*Q11</f>
        <v>12.855650738221156</v>
      </c>
      <c r="T11" s="16">
        <f>(0.25+0.5*H11/S11)*R11</f>
        <v>24.138786787611998</v>
      </c>
      <c r="U11" s="16">
        <f>(0.75+2*10^-5*53)*R11</f>
        <v>29.265614450088265</v>
      </c>
      <c r="V11" s="16">
        <f>(1-0.23)*T11</f>
        <v>18.586865826461239</v>
      </c>
      <c r="W11" s="16">
        <f>4.903*(10^-9)*((D11+273.16)^4+(E11+273.16)^4)/2*(0.34-(0.14*SQRT(N11)))*(1.35*T11/U11-0.35)</f>
        <v>3.9224497424472844</v>
      </c>
      <c r="X11" s="16">
        <f>(0.408*I11*(V11-W11)+(0.06736*900/(C11+273)*G11*(M11-N11)))/J11</f>
        <v>10.849022164986689</v>
      </c>
      <c r="Y11" s="16">
        <f>((0.0023*R11)*(C11+17.8)*(D11-E11)^0.5)*0.408</f>
        <v>6.6987918359561025</v>
      </c>
      <c r="Z11">
        <v>0.35</v>
      </c>
      <c r="AB11">
        <f>X11*Z11</f>
        <v>3.797157757745341</v>
      </c>
      <c r="AC11" s="55">
        <v>0</v>
      </c>
      <c r="AD11" s="70">
        <v>0</v>
      </c>
      <c r="AE11">
        <v>0</v>
      </c>
      <c r="AF11">
        <v>0</v>
      </c>
      <c r="AH11">
        <f>AH10-AB11+AD11+AF11-AE11</f>
        <v>128.20284224225466</v>
      </c>
      <c r="AN11">
        <f>AN10+1</f>
        <v>1</v>
      </c>
    </row>
    <row r="12" spans="1:40" ht="15.6">
      <c r="A12" s="1">
        <v>44318</v>
      </c>
      <c r="B12">
        <f>1+B11</f>
        <v>122</v>
      </c>
      <c r="C12">
        <f t="shared" ref="C12:C75" si="0">(D12+E12)/2</f>
        <v>29</v>
      </c>
      <c r="D12" s="19">
        <v>36</v>
      </c>
      <c r="E12" s="18">
        <v>22</v>
      </c>
      <c r="F12" s="21">
        <v>61</v>
      </c>
      <c r="G12" s="22">
        <v>6</v>
      </c>
      <c r="H12" s="23">
        <v>9.1999999999999993</v>
      </c>
      <c r="I12" s="16">
        <f>4098*(0.6108*EXP(17.27*Tomato!C11/(Tomato!C11+237.3)))/(Tomato!C11+237.3)^2</f>
        <v>0.12977102815536121</v>
      </c>
      <c r="J12" s="16">
        <f t="shared" ref="J12:J75" si="1">I12+0.06736*(1+0.34*G12)</f>
        <v>0.33454542815536126</v>
      </c>
      <c r="K12" s="16">
        <f t="shared" ref="K12:K75" si="2">0.6108*EXP(17.27*D12/(D12+237.3))</f>
        <v>5.9409977016273503</v>
      </c>
      <c r="L12" s="16">
        <f t="shared" ref="L12:L75" si="3">0.6108*EXP(17.27*E12/(E12+237.3))</f>
        <v>2.6439311922105757</v>
      </c>
      <c r="M12" s="16">
        <f t="shared" ref="M12:M75" si="4">(K12+L12)/2</f>
        <v>4.292464446918963</v>
      </c>
      <c r="N12" s="16">
        <f t="shared" ref="N12:N75" si="5">F12/100*((K12+L12)/2)</f>
        <v>2.6184033126205675</v>
      </c>
      <c r="O12" s="16">
        <f t="shared" ref="O12:O75" si="6">0.409*SIN(2*3.14*B12/365-1.39)</f>
        <v>0.26631097123828384</v>
      </c>
      <c r="P12" s="16">
        <f t="shared" ref="P12:P75" si="7">1+0.033*COS(2*3.14*B12/365)</f>
        <v>0.98336662059175051</v>
      </c>
      <c r="Q12" s="16">
        <f t="shared" ref="Q12:Q75" si="8">ACOS(-TAN(22.57*3.14/180)*TAN(O12))</f>
        <v>1.6843606031598757</v>
      </c>
      <c r="R12" s="16">
        <f t="shared" ref="R12:R75" si="9">(Q12*SIN(3.14*22.57/180)*SIN(O12)+COS(3.14*22.57/180)*COS(O12)*SIN(Q12))*P12*0.082*24*60/3.14</f>
        <v>39.022681452338823</v>
      </c>
      <c r="S12" s="16">
        <f t="shared" ref="S12:S75" si="10">24/3.14*Q12</f>
        <v>12.8740937821137</v>
      </c>
      <c r="T12" s="16">
        <f t="shared" ref="T12:T75" si="11">(0.25+0.5*H12/S12)*R12</f>
        <v>23.69873600473386</v>
      </c>
      <c r="U12" s="16">
        <f t="shared" ref="U12:U75" si="12">(0.75+2*10^-5*53)*R12</f>
        <v>29.308375131593593</v>
      </c>
      <c r="V12" s="16">
        <f t="shared" ref="V12:V75" si="13">(1-0.23)*T12</f>
        <v>18.248026723645072</v>
      </c>
      <c r="W12" s="16">
        <f t="shared" ref="W12:W75" si="14">4.903*(10^-9)*((D12+273.16)^4+(E12+273.16)^4)/2*(0.34-(0.14*SQRT(N12)))*(1.35*T12/U12-0.35)</f>
        <v>3.4500171065417184</v>
      </c>
      <c r="X12" s="16">
        <f t="shared" ref="X12:X75" si="15">(0.408*I12*(V12-W12)+(0.06736*900/(C12+273)*G12*(M12-N12)))/J12</f>
        <v>8.3690501927213337</v>
      </c>
      <c r="Y12" s="16">
        <f t="shared" ref="Y12:Y75" si="16">((0.0023*R12)*(C12+17.8)*(D12-E12)^0.5)*0.408</f>
        <v>6.4123169218292437</v>
      </c>
      <c r="Z12">
        <v>0.35</v>
      </c>
      <c r="AB12">
        <f t="shared" ref="AB12:AB75" si="17">X12*Z12</f>
        <v>2.9291675674524664</v>
      </c>
      <c r="AC12" s="55">
        <v>0</v>
      </c>
      <c r="AD12" s="70">
        <v>0</v>
      </c>
      <c r="AE12">
        <v>0</v>
      </c>
      <c r="AF12">
        <v>0</v>
      </c>
      <c r="AH12">
        <f>AH11-AB12+AD12+AF12-AE12</f>
        <v>125.27367467480219</v>
      </c>
      <c r="AN12">
        <f t="shared" ref="AN12:AN75" si="18">AN11+1</f>
        <v>2</v>
      </c>
    </row>
    <row r="13" spans="1:40" ht="15.6">
      <c r="A13" s="1">
        <v>44319</v>
      </c>
      <c r="B13">
        <f t="shared" ref="B13:B76" si="19">1+B12</f>
        <v>123</v>
      </c>
      <c r="C13">
        <f t="shared" si="0"/>
        <v>27.2</v>
      </c>
      <c r="D13" s="19">
        <v>35.799999999999997</v>
      </c>
      <c r="E13" s="18">
        <v>18.600000000000001</v>
      </c>
      <c r="F13" s="21">
        <v>68</v>
      </c>
      <c r="G13" s="22">
        <v>8</v>
      </c>
      <c r="H13" s="23">
        <v>6.5</v>
      </c>
      <c r="I13" s="16">
        <f>4098*(0.6108*EXP(17.27*Tomato!C12/(Tomato!C12+237.3)))/(Tomato!C12+237.3)^2</f>
        <v>0.12764308725159401</v>
      </c>
      <c r="J13" s="16">
        <f t="shared" si="1"/>
        <v>0.37822228725159401</v>
      </c>
      <c r="K13" s="16">
        <f t="shared" si="2"/>
        <v>5.8761139848648147</v>
      </c>
      <c r="L13" s="16">
        <f t="shared" si="3"/>
        <v>2.143152914469288</v>
      </c>
      <c r="M13" s="16">
        <f t="shared" si="4"/>
        <v>4.0096334496670512</v>
      </c>
      <c r="N13" s="16">
        <f t="shared" si="5"/>
        <v>2.7265507457735949</v>
      </c>
      <c r="O13" s="16">
        <f t="shared" si="6"/>
        <v>0.27161218505853907</v>
      </c>
      <c r="P13" s="16">
        <f t="shared" si="7"/>
        <v>0.9828787261825318</v>
      </c>
      <c r="Q13" s="16">
        <f t="shared" si="8"/>
        <v>1.6867458006469147</v>
      </c>
      <c r="R13" s="16">
        <f t="shared" si="9"/>
        <v>39.077697362569587</v>
      </c>
      <c r="S13" s="16">
        <f t="shared" si="10"/>
        <v>12.892324590931832</v>
      </c>
      <c r="T13" s="16">
        <f t="shared" si="11"/>
        <v>19.620441938949053</v>
      </c>
      <c r="U13" s="16">
        <f t="shared" si="12"/>
        <v>29.349695381131511</v>
      </c>
      <c r="V13" s="16">
        <f t="shared" si="13"/>
        <v>15.107740292990771</v>
      </c>
      <c r="W13" s="16">
        <f t="shared" si="14"/>
        <v>2.4111368540065232</v>
      </c>
      <c r="X13" s="16">
        <f t="shared" si="15"/>
        <v>7.2288691443158237</v>
      </c>
      <c r="Y13" s="16">
        <f t="shared" si="16"/>
        <v>6.8437431449978536</v>
      </c>
      <c r="Z13">
        <v>0.35</v>
      </c>
      <c r="AB13">
        <f t="shared" si="17"/>
        <v>2.5301042005105381</v>
      </c>
      <c r="AC13" s="55">
        <v>33.4</v>
      </c>
      <c r="AD13">
        <f>(125+0.1*AC13*30)/30</f>
        <v>7.5066666666666659</v>
      </c>
      <c r="AE13">
        <v>0</v>
      </c>
      <c r="AF13">
        <v>0</v>
      </c>
      <c r="AH13">
        <f>AH12-AB13+AD13+AF13-AE13</f>
        <v>130.25023714095832</v>
      </c>
      <c r="AN13">
        <f t="shared" si="18"/>
        <v>3</v>
      </c>
    </row>
    <row r="14" spans="1:40" ht="15.6">
      <c r="A14" s="1">
        <v>44320</v>
      </c>
      <c r="B14">
        <f t="shared" si="19"/>
        <v>124</v>
      </c>
      <c r="C14">
        <f t="shared" si="0"/>
        <v>25.55</v>
      </c>
      <c r="D14" s="19">
        <v>31.5</v>
      </c>
      <c r="E14" s="18">
        <v>19.600000000000001</v>
      </c>
      <c r="F14" s="21">
        <v>67</v>
      </c>
      <c r="G14" s="22">
        <v>6</v>
      </c>
      <c r="H14" s="23">
        <v>3.1</v>
      </c>
      <c r="I14" s="16">
        <f>4098*(0.6108*EXP(17.27*Tomato!C13/(Tomato!C13+237.3)))/(Tomato!C13+237.3)^2</f>
        <v>0.13301927735292321</v>
      </c>
      <c r="J14" s="16">
        <f t="shared" si="1"/>
        <v>0.33779367735292321</v>
      </c>
      <c r="K14" s="16">
        <f t="shared" si="2"/>
        <v>4.6220689030255047</v>
      </c>
      <c r="L14" s="16">
        <f t="shared" si="3"/>
        <v>2.2810057729824531</v>
      </c>
      <c r="M14" s="16">
        <f t="shared" si="4"/>
        <v>3.4515373380039787</v>
      </c>
      <c r="N14" s="16">
        <f t="shared" si="5"/>
        <v>2.3125300164626656</v>
      </c>
      <c r="O14" s="16">
        <f t="shared" si="6"/>
        <v>0.27683299590826876</v>
      </c>
      <c r="P14" s="16">
        <f t="shared" si="7"/>
        <v>0.98239590003368515</v>
      </c>
      <c r="Q14" s="16">
        <f t="shared" si="8"/>
        <v>1.6891023655100703</v>
      </c>
      <c r="R14" s="16">
        <f t="shared" si="9"/>
        <v>39.13082311161191</v>
      </c>
      <c r="S14" s="16">
        <f t="shared" si="10"/>
        <v>12.910336551669328</v>
      </c>
      <c r="T14" s="16">
        <f t="shared" si="11"/>
        <v>14.4807069167777</v>
      </c>
      <c r="U14" s="16">
        <f t="shared" si="12"/>
        <v>29.389596006207238</v>
      </c>
      <c r="V14" s="16">
        <f t="shared" si="13"/>
        <v>11.150144325918829</v>
      </c>
      <c r="W14" s="16">
        <f t="shared" si="14"/>
        <v>1.5674182445860445</v>
      </c>
      <c r="X14" s="16">
        <f t="shared" si="15"/>
        <v>5.6478362657575829</v>
      </c>
      <c r="Y14" s="16">
        <f t="shared" si="16"/>
        <v>5.4912291204498702</v>
      </c>
      <c r="Z14">
        <v>0.35</v>
      </c>
      <c r="AB14">
        <f t="shared" si="17"/>
        <v>1.9767426930151539</v>
      </c>
      <c r="AC14" s="55">
        <v>15.6</v>
      </c>
      <c r="AD14">
        <f>(125+0.1*AC14*30)/30</f>
        <v>5.7266666666666675</v>
      </c>
      <c r="AE14">
        <v>0</v>
      </c>
      <c r="AF14">
        <v>0</v>
      </c>
      <c r="AH14">
        <f t="shared" ref="AH14:AH75" si="20">AH13-AB14+AD14+AF14-AE14</f>
        <v>134.00016111460982</v>
      </c>
      <c r="AN14">
        <f t="shared" si="18"/>
        <v>4</v>
      </c>
    </row>
    <row r="15" spans="1:40" ht="15.6">
      <c r="A15" s="1">
        <v>44321</v>
      </c>
      <c r="B15">
        <f t="shared" si="19"/>
        <v>125</v>
      </c>
      <c r="C15">
        <f t="shared" si="0"/>
        <v>27.25</v>
      </c>
      <c r="D15" s="19">
        <v>33.5</v>
      </c>
      <c r="E15" s="18">
        <v>21</v>
      </c>
      <c r="F15" s="21">
        <v>65</v>
      </c>
      <c r="G15" s="22">
        <v>6</v>
      </c>
      <c r="H15" s="23">
        <v>7.6</v>
      </c>
      <c r="I15" s="16">
        <f>4098*(0.6108*EXP(17.27*Tomato!C14/(Tomato!C14+237.3)))/(Tomato!C14+237.3)^2</f>
        <v>0.13670897580940022</v>
      </c>
      <c r="J15" s="16">
        <f t="shared" si="1"/>
        <v>0.34148337580940025</v>
      </c>
      <c r="K15" s="16">
        <f t="shared" si="2"/>
        <v>5.1729513859624818</v>
      </c>
      <c r="L15" s="16">
        <f t="shared" si="3"/>
        <v>2.4870053972720654</v>
      </c>
      <c r="M15" s="16">
        <f t="shared" si="4"/>
        <v>3.8299783916172734</v>
      </c>
      <c r="N15" s="16">
        <f t="shared" si="5"/>
        <v>2.4894859545512276</v>
      </c>
      <c r="O15" s="16">
        <f t="shared" si="6"/>
        <v>0.28197185831667343</v>
      </c>
      <c r="P15" s="16">
        <f t="shared" si="7"/>
        <v>0.98191828507199641</v>
      </c>
      <c r="Q15" s="16">
        <f t="shared" si="8"/>
        <v>1.6914294251610673</v>
      </c>
      <c r="R15" s="16">
        <f t="shared" si="9"/>
        <v>39.182087208414742</v>
      </c>
      <c r="S15" s="16">
        <f t="shared" si="10"/>
        <v>12.928122994861662</v>
      </c>
      <c r="T15" s="16">
        <f t="shared" si="11"/>
        <v>21.312424251991715</v>
      </c>
      <c r="U15" s="16">
        <f t="shared" si="12"/>
        <v>29.428098418751976</v>
      </c>
      <c r="V15" s="16">
        <f t="shared" si="13"/>
        <v>16.410566674033621</v>
      </c>
      <c r="W15" s="16">
        <f t="shared" si="14"/>
        <v>2.993172789410631</v>
      </c>
      <c r="X15" s="16">
        <f t="shared" si="15"/>
        <v>6.9471975157631993</v>
      </c>
      <c r="Y15" s="16">
        <f t="shared" si="16"/>
        <v>5.8563276659192551</v>
      </c>
      <c r="Z15">
        <v>0.35</v>
      </c>
      <c r="AB15">
        <f t="shared" si="17"/>
        <v>2.4315191305171195</v>
      </c>
      <c r="AC15" s="55">
        <v>0</v>
      </c>
      <c r="AD15">
        <v>0</v>
      </c>
      <c r="AE15">
        <v>0</v>
      </c>
      <c r="AF15">
        <v>0</v>
      </c>
      <c r="AH15">
        <f t="shared" si="20"/>
        <v>131.56864198409269</v>
      </c>
      <c r="AN15">
        <f t="shared" si="18"/>
        <v>5</v>
      </c>
    </row>
    <row r="16" spans="1:40" ht="15.6">
      <c r="A16" s="1">
        <v>44322</v>
      </c>
      <c r="B16">
        <f t="shared" si="19"/>
        <v>126</v>
      </c>
      <c r="C16">
        <f t="shared" si="0"/>
        <v>26.7</v>
      </c>
      <c r="D16" s="19">
        <v>33.799999999999997</v>
      </c>
      <c r="E16" s="18">
        <v>19.600000000000001</v>
      </c>
      <c r="F16" s="21">
        <v>80</v>
      </c>
      <c r="G16" s="22">
        <v>8</v>
      </c>
      <c r="H16" s="23">
        <v>6.5</v>
      </c>
      <c r="I16" s="16">
        <f>4098*(0.6108*EXP(17.27*Tomato!C15/(Tomato!C15+237.3)))/(Tomato!C15+237.3)^2</f>
        <v>0.15193839797273131</v>
      </c>
      <c r="J16" s="16">
        <f t="shared" si="1"/>
        <v>0.40251759797273134</v>
      </c>
      <c r="K16" s="16">
        <f t="shared" si="2"/>
        <v>5.2603114929926225</v>
      </c>
      <c r="L16" s="16">
        <f t="shared" si="3"/>
        <v>2.2810057729824531</v>
      </c>
      <c r="M16" s="16">
        <f t="shared" si="4"/>
        <v>3.770658632987538</v>
      </c>
      <c r="N16" s="16">
        <f t="shared" si="5"/>
        <v>3.0165269063900304</v>
      </c>
      <c r="O16" s="16">
        <f t="shared" si="6"/>
        <v>0.28702725107143057</v>
      </c>
      <c r="P16" s="16">
        <f t="shared" si="7"/>
        <v>0.9814460226816295</v>
      </c>
      <c r="Q16" s="16">
        <f t="shared" si="8"/>
        <v>1.6937261002005883</v>
      </c>
      <c r="R16" s="16">
        <f t="shared" si="9"/>
        <v>39.231518898164659</v>
      </c>
      <c r="S16" s="16">
        <f t="shared" si="10"/>
        <v>12.945677198985388</v>
      </c>
      <c r="T16" s="16">
        <f t="shared" si="11"/>
        <v>19.65691538789202</v>
      </c>
      <c r="U16" s="16">
        <f t="shared" si="12"/>
        <v>29.465224583655548</v>
      </c>
      <c r="V16" s="16">
        <f t="shared" si="13"/>
        <v>15.135824848676856</v>
      </c>
      <c r="W16" s="16">
        <f t="shared" si="14"/>
        <v>2.1209191738947011</v>
      </c>
      <c r="X16" s="16">
        <f t="shared" si="15"/>
        <v>5.0362647077589209</v>
      </c>
      <c r="Y16" s="16">
        <f t="shared" si="16"/>
        <v>6.1734410437781158</v>
      </c>
      <c r="Z16">
        <v>0.35</v>
      </c>
      <c r="AB16">
        <f t="shared" si="17"/>
        <v>1.7626926477156222</v>
      </c>
      <c r="AC16" s="55">
        <v>3.2</v>
      </c>
      <c r="AD16">
        <f>(AC16*30)*(125-0.2*AC16*30)/(125*30)</f>
        <v>2.7084799999999998</v>
      </c>
      <c r="AE16">
        <v>0</v>
      </c>
      <c r="AF16">
        <v>0</v>
      </c>
      <c r="AH16">
        <f t="shared" si="20"/>
        <v>132.51442933637708</v>
      </c>
      <c r="AN16">
        <f t="shared" si="18"/>
        <v>6</v>
      </c>
    </row>
    <row r="17" spans="1:40" ht="15.6">
      <c r="A17" s="1">
        <v>44323</v>
      </c>
      <c r="B17">
        <f t="shared" si="19"/>
        <v>127</v>
      </c>
      <c r="C17">
        <f t="shared" si="0"/>
        <v>28.200000000000003</v>
      </c>
      <c r="D17" s="19">
        <v>34.200000000000003</v>
      </c>
      <c r="E17" s="18">
        <v>22.2</v>
      </c>
      <c r="F17" s="21">
        <v>79</v>
      </c>
      <c r="G17" s="22">
        <v>8</v>
      </c>
      <c r="H17" s="23">
        <v>7</v>
      </c>
      <c r="I17" s="16">
        <f>4098*(0.6108*EXP(17.27*Tomato!C16/(Tomato!C16+237.3)))/(Tomato!C16+237.3)^2</f>
        <v>0.15901232510851224</v>
      </c>
      <c r="J17" s="16">
        <f t="shared" si="1"/>
        <v>0.40959152510851227</v>
      </c>
      <c r="K17" s="16">
        <f t="shared" si="2"/>
        <v>5.3787812129973753</v>
      </c>
      <c r="L17" s="16">
        <f t="shared" si="3"/>
        <v>2.6763336594163714</v>
      </c>
      <c r="M17" s="16">
        <f t="shared" si="4"/>
        <v>4.0275574362068731</v>
      </c>
      <c r="N17" s="16">
        <f t="shared" si="5"/>
        <v>3.1817703746034298</v>
      </c>
      <c r="O17" s="16">
        <f t="shared" si="6"/>
        <v>0.29199767766900686</v>
      </c>
      <c r="P17" s="16">
        <f t="shared" si="7"/>
        <v>0.9809792526622737</v>
      </c>
      <c r="Q17" s="16">
        <f t="shared" si="8"/>
        <v>1.695991505042268</v>
      </c>
      <c r="R17" s="16">
        <f t="shared" si="9"/>
        <v>39.279148093609244</v>
      </c>
      <c r="S17" s="16">
        <f t="shared" si="10"/>
        <v>12.962992395227527</v>
      </c>
      <c r="T17" s="16">
        <f t="shared" si="11"/>
        <v>20.42513292935579</v>
      </c>
      <c r="U17" s="16">
        <f t="shared" si="12"/>
        <v>29.500996967186158</v>
      </c>
      <c r="V17" s="16">
        <f t="shared" si="13"/>
        <v>15.727352355603959</v>
      </c>
      <c r="W17" s="16">
        <f t="shared" si="14"/>
        <v>2.139533332591788</v>
      </c>
      <c r="X17" s="16">
        <f t="shared" si="15"/>
        <v>5.4772202037988054</v>
      </c>
      <c r="Y17" s="16">
        <f t="shared" si="16"/>
        <v>5.87352083735182</v>
      </c>
      <c r="Z17">
        <v>0.35</v>
      </c>
      <c r="AB17">
        <f t="shared" si="17"/>
        <v>1.9170270713295818</v>
      </c>
      <c r="AC17" s="55">
        <v>0</v>
      </c>
      <c r="AD17">
        <f t="shared" ref="AD17:AD19" si="21">(AC17*30)*(125-0.2*AC17*30)/(125*30)</f>
        <v>0</v>
      </c>
      <c r="AE17">
        <v>0</v>
      </c>
      <c r="AF17">
        <v>0</v>
      </c>
      <c r="AH17">
        <f t="shared" si="20"/>
        <v>130.59740226504749</v>
      </c>
      <c r="AN17">
        <f t="shared" si="18"/>
        <v>7</v>
      </c>
    </row>
    <row r="18" spans="1:40" ht="15.6">
      <c r="A18" s="1">
        <v>44324</v>
      </c>
      <c r="B18">
        <f t="shared" si="19"/>
        <v>128</v>
      </c>
      <c r="C18">
        <f t="shared" si="0"/>
        <v>27.799999999999997</v>
      </c>
      <c r="D18" s="19">
        <v>34.4</v>
      </c>
      <c r="E18" s="18">
        <v>21.2</v>
      </c>
      <c r="F18" s="21">
        <v>63</v>
      </c>
      <c r="G18" s="22">
        <v>6</v>
      </c>
      <c r="H18" s="23">
        <v>10.5</v>
      </c>
      <c r="I18" s="16">
        <f>4098*(0.6108*EXP(17.27*Tomato!C17/(Tomato!C17+237.3)))/(Tomato!C17+237.3)^2</f>
        <v>0.17445562008621771</v>
      </c>
      <c r="J18" s="16">
        <f t="shared" si="1"/>
        <v>0.37923002008621776</v>
      </c>
      <c r="K18" s="16">
        <f t="shared" si="2"/>
        <v>5.4388791379242765</v>
      </c>
      <c r="L18" s="16">
        <f t="shared" si="3"/>
        <v>2.5177224920902961</v>
      </c>
      <c r="M18" s="16">
        <f t="shared" si="4"/>
        <v>3.9783008150072865</v>
      </c>
      <c r="N18" s="16">
        <f t="shared" si="5"/>
        <v>2.5063295134545904</v>
      </c>
      <c r="O18" s="16">
        <f t="shared" si="6"/>
        <v>0.29688166675765443</v>
      </c>
      <c r="P18" s="16">
        <f t="shared" si="7"/>
        <v>0.98051811318775972</v>
      </c>
      <c r="Q18" s="16">
        <f t="shared" si="8"/>
        <v>1.6982247485850632</v>
      </c>
      <c r="R18" s="16">
        <f t="shared" si="9"/>
        <v>39.325005306347329</v>
      </c>
      <c r="S18" s="16">
        <f t="shared" si="10"/>
        <v>12.980061772624687</v>
      </c>
      <c r="T18" s="16">
        <f t="shared" si="11"/>
        <v>25.736898115860637</v>
      </c>
      <c r="U18" s="16">
        <f t="shared" si="12"/>
        <v>29.535438485385225</v>
      </c>
      <c r="V18" s="16">
        <f t="shared" si="13"/>
        <v>19.817411549212689</v>
      </c>
      <c r="W18" s="16">
        <f t="shared" si="14"/>
        <v>3.94578652441297</v>
      </c>
      <c r="X18" s="16">
        <f t="shared" si="15"/>
        <v>7.6726466777351305</v>
      </c>
      <c r="Y18" s="16">
        <f t="shared" si="16"/>
        <v>6.1137629715578719</v>
      </c>
      <c r="Z18">
        <v>0.35</v>
      </c>
      <c r="AB18">
        <f t="shared" si="17"/>
        <v>2.6854263372072955</v>
      </c>
      <c r="AC18" s="55">
        <v>0</v>
      </c>
      <c r="AD18">
        <f t="shared" si="21"/>
        <v>0</v>
      </c>
      <c r="AE18">
        <v>0</v>
      </c>
      <c r="AF18">
        <v>0</v>
      </c>
      <c r="AH18">
        <f t="shared" si="20"/>
        <v>127.9119759278402</v>
      </c>
      <c r="AN18">
        <f t="shared" si="18"/>
        <v>8</v>
      </c>
    </row>
    <row r="19" spans="1:40" ht="15.6">
      <c r="A19" s="1">
        <v>44325</v>
      </c>
      <c r="B19">
        <f t="shared" si="19"/>
        <v>129</v>
      </c>
      <c r="C19">
        <f t="shared" si="0"/>
        <v>28</v>
      </c>
      <c r="D19" s="19">
        <v>34.5</v>
      </c>
      <c r="E19" s="18">
        <v>21.5</v>
      </c>
      <c r="F19" s="21">
        <v>73</v>
      </c>
      <c r="G19" s="22">
        <v>10</v>
      </c>
      <c r="H19" s="23">
        <v>5</v>
      </c>
      <c r="I19" s="16">
        <f>4098*(0.6108*EXP(17.27*Tomato!C18/(Tomato!C18+237.3)))/(Tomato!C18+237.3)^2</f>
        <v>0.17676175645051403</v>
      </c>
      <c r="J19" s="16">
        <f t="shared" si="1"/>
        <v>0.47314575645051404</v>
      </c>
      <c r="K19" s="16">
        <f t="shared" si="2"/>
        <v>5.4691459026600384</v>
      </c>
      <c r="L19" s="16">
        <f t="shared" si="3"/>
        <v>2.5644197206554633</v>
      </c>
      <c r="M19" s="16">
        <f t="shared" si="4"/>
        <v>4.0167828116577509</v>
      </c>
      <c r="N19" s="16">
        <f t="shared" si="5"/>
        <v>2.9322514525101582</v>
      </c>
      <c r="O19" s="16">
        <f t="shared" si="6"/>
        <v>0.30167777257296235</v>
      </c>
      <c r="P19" s="16">
        <f t="shared" si="7"/>
        <v>0.98006274076515765</v>
      </c>
      <c r="Q19" s="16">
        <f t="shared" si="8"/>
        <v>1.7004249349338034</v>
      </c>
      <c r="R19" s="16">
        <f t="shared" si="9"/>
        <v>39.369121578200698</v>
      </c>
      <c r="S19" s="16">
        <f t="shared" si="10"/>
        <v>12.996878483570471</v>
      </c>
      <c r="T19" s="16">
        <f t="shared" si="11"/>
        <v>17.415083669576507</v>
      </c>
      <c r="U19" s="16">
        <f t="shared" si="12"/>
        <v>29.568572452523416</v>
      </c>
      <c r="V19" s="16">
        <f t="shared" si="13"/>
        <v>13.409614425573912</v>
      </c>
      <c r="W19" s="16">
        <f t="shared" si="14"/>
        <v>1.8050525954938639</v>
      </c>
      <c r="X19" s="16">
        <f t="shared" si="15"/>
        <v>6.3854464109807001</v>
      </c>
      <c r="Y19" s="16">
        <f t="shared" si="16"/>
        <v>6.1007169799825203</v>
      </c>
      <c r="Z19">
        <v>0.35</v>
      </c>
      <c r="AB19">
        <f t="shared" si="17"/>
        <v>2.2349062438432448</v>
      </c>
      <c r="AC19" s="55">
        <v>0</v>
      </c>
      <c r="AD19">
        <f t="shared" si="21"/>
        <v>0</v>
      </c>
      <c r="AE19">
        <v>0</v>
      </c>
      <c r="AF19">
        <v>0</v>
      </c>
      <c r="AH19">
        <f t="shared" si="20"/>
        <v>125.67706968399696</v>
      </c>
      <c r="AN19">
        <f t="shared" si="18"/>
        <v>9</v>
      </c>
    </row>
    <row r="20" spans="1:40" ht="15.6">
      <c r="A20" s="1">
        <v>44326</v>
      </c>
      <c r="B20">
        <f t="shared" si="19"/>
        <v>130</v>
      </c>
      <c r="C20">
        <f t="shared" si="0"/>
        <v>27.6</v>
      </c>
      <c r="D20" s="19">
        <v>35.4</v>
      </c>
      <c r="E20" s="18">
        <v>19.8</v>
      </c>
      <c r="F20" s="21">
        <v>65</v>
      </c>
      <c r="G20" s="22">
        <v>8</v>
      </c>
      <c r="H20" s="23">
        <v>6.5</v>
      </c>
      <c r="I20" s="16">
        <f>4098*(0.6108*EXP(17.27*Tomato!C19/(Tomato!C19+237.3)))/(Tomato!C19+237.3)^2</f>
        <v>0.17629848389579808</v>
      </c>
      <c r="J20" s="16">
        <f t="shared" si="1"/>
        <v>0.42687768389579805</v>
      </c>
      <c r="K20" s="16">
        <f t="shared" si="2"/>
        <v>5.7481868887063436</v>
      </c>
      <c r="L20" s="16">
        <f t="shared" si="3"/>
        <v>2.3094882494907831</v>
      </c>
      <c r="M20" s="16">
        <f t="shared" si="4"/>
        <v>4.0288375690985632</v>
      </c>
      <c r="N20" s="16">
        <f t="shared" si="5"/>
        <v>2.6187444199140661</v>
      </c>
      <c r="O20" s="16">
        <f t="shared" si="6"/>
        <v>0.30638457536583358</v>
      </c>
      <c r="P20" s="16">
        <f t="shared" si="7"/>
        <v>0.97961327019436795</v>
      </c>
      <c r="Q20" s="16">
        <f t="shared" si="8"/>
        <v>1.7025911641675546</v>
      </c>
      <c r="R20" s="16">
        <f t="shared" si="9"/>
        <v>39.41152841277966</v>
      </c>
      <c r="S20" s="16">
        <f t="shared" si="10"/>
        <v>13.013435649688315</v>
      </c>
      <c r="T20" s="16">
        <f t="shared" si="11"/>
        <v>19.695591652736638</v>
      </c>
      <c r="U20" s="16">
        <f t="shared" si="12"/>
        <v>29.600422529702289</v>
      </c>
      <c r="V20" s="16">
        <f t="shared" si="13"/>
        <v>15.165605572607213</v>
      </c>
      <c r="W20" s="16">
        <f t="shared" si="14"/>
        <v>2.5053369813781434</v>
      </c>
      <c r="X20" s="16">
        <f t="shared" si="15"/>
        <v>7.462824447752137</v>
      </c>
      <c r="Y20" s="16">
        <f t="shared" si="16"/>
        <v>6.631769585317862</v>
      </c>
      <c r="Z20">
        <v>0.35</v>
      </c>
      <c r="AB20">
        <f t="shared" si="17"/>
        <v>2.6119885567132477</v>
      </c>
      <c r="AC20" s="55">
        <v>55</v>
      </c>
      <c r="AD20">
        <f>(125+0.1*AC20*30)/30</f>
        <v>9.6666666666666661</v>
      </c>
      <c r="AE20">
        <v>0</v>
      </c>
      <c r="AF20">
        <v>0</v>
      </c>
      <c r="AH20">
        <f t="shared" si="20"/>
        <v>132.73174779395038</v>
      </c>
      <c r="AN20">
        <f t="shared" si="18"/>
        <v>10</v>
      </c>
    </row>
    <row r="21" spans="1:40" ht="15.6">
      <c r="A21" s="1">
        <v>44327</v>
      </c>
      <c r="B21">
        <f t="shared" si="19"/>
        <v>131</v>
      </c>
      <c r="C21">
        <f t="shared" si="0"/>
        <v>27.05</v>
      </c>
      <c r="D21" s="19">
        <v>34.6</v>
      </c>
      <c r="E21" s="18">
        <v>19.5</v>
      </c>
      <c r="F21" s="21">
        <v>72</v>
      </c>
      <c r="G21" s="22">
        <v>6</v>
      </c>
      <c r="H21" s="23">
        <v>6.3</v>
      </c>
      <c r="I21" s="16">
        <f>4098*(0.6108*EXP(17.27*Tomato!C20/(Tomato!C20+237.3)))/(Tomato!C20+237.3)^2</f>
        <v>0.17722605524927612</v>
      </c>
      <c r="J21" s="16">
        <f t="shared" si="1"/>
        <v>0.38200045524927617</v>
      </c>
      <c r="K21" s="16">
        <f t="shared" si="2"/>
        <v>5.4995586494348254</v>
      </c>
      <c r="L21" s="16">
        <f t="shared" si="3"/>
        <v>2.2668801009804516</v>
      </c>
      <c r="M21" s="16">
        <f t="shared" si="4"/>
        <v>3.8832193752076387</v>
      </c>
      <c r="N21" s="16">
        <f t="shared" si="5"/>
        <v>2.7959179501494997</v>
      </c>
      <c r="O21" s="16">
        <f t="shared" si="6"/>
        <v>0.31100068182276064</v>
      </c>
      <c r="P21" s="16">
        <f t="shared" si="7"/>
        <v>0.97916983452821726</v>
      </c>
      <c r="Q21" s="16">
        <f t="shared" si="8"/>
        <v>1.7047225331552442</v>
      </c>
      <c r="R21" s="16">
        <f t="shared" si="9"/>
        <v>39.452257707352359</v>
      </c>
      <c r="S21" s="16">
        <f t="shared" si="10"/>
        <v>13.02972636806556</v>
      </c>
      <c r="T21" s="16">
        <f t="shared" si="11"/>
        <v>19.400840452798501</v>
      </c>
      <c r="U21" s="16">
        <f t="shared" si="12"/>
        <v>29.631012673684062</v>
      </c>
      <c r="V21" s="16">
        <f t="shared" si="13"/>
        <v>14.938647148654846</v>
      </c>
      <c r="W21" s="16">
        <f t="shared" si="14"/>
        <v>2.2604555372850905</v>
      </c>
      <c r="X21" s="16">
        <f t="shared" si="15"/>
        <v>5.8503834688500449</v>
      </c>
      <c r="Y21" s="16">
        <f t="shared" si="16"/>
        <v>6.4522439855238956</v>
      </c>
      <c r="Z21">
        <v>0.35</v>
      </c>
      <c r="AB21">
        <f t="shared" si="17"/>
        <v>2.0476342140975157</v>
      </c>
      <c r="AC21" s="55">
        <v>0</v>
      </c>
      <c r="AD21">
        <f>(AC21*30)*(125-0.2*AC21*30)/(125*30)</f>
        <v>0</v>
      </c>
      <c r="AE21">
        <v>0</v>
      </c>
      <c r="AF21">
        <v>0</v>
      </c>
      <c r="AH21">
        <f t="shared" si="20"/>
        <v>130.68411357985286</v>
      </c>
      <c r="AN21">
        <f t="shared" si="18"/>
        <v>11</v>
      </c>
    </row>
    <row r="22" spans="1:40" ht="15.6">
      <c r="A22" s="1">
        <v>44328</v>
      </c>
      <c r="B22">
        <f t="shared" si="19"/>
        <v>132</v>
      </c>
      <c r="C22">
        <f t="shared" si="0"/>
        <v>27.55</v>
      </c>
      <c r="D22" s="19">
        <v>34.6</v>
      </c>
      <c r="E22" s="18">
        <v>20.5</v>
      </c>
      <c r="F22" s="21">
        <v>59</v>
      </c>
      <c r="G22" s="22">
        <v>8</v>
      </c>
      <c r="H22" s="23">
        <v>10.3</v>
      </c>
      <c r="I22" s="16">
        <f>4098*(0.6108*EXP(17.27*Tomato!C21/(Tomato!C21+237.3)))/(Tomato!C21+237.3)^2</f>
        <v>0.16991941796793744</v>
      </c>
      <c r="J22" s="16">
        <f t="shared" si="1"/>
        <v>0.42049861796793742</v>
      </c>
      <c r="K22" s="16">
        <f t="shared" si="2"/>
        <v>5.4995586494348254</v>
      </c>
      <c r="L22" s="16">
        <f t="shared" si="3"/>
        <v>2.4116412804606884</v>
      </c>
      <c r="M22" s="16">
        <f t="shared" si="4"/>
        <v>3.9555999649477567</v>
      </c>
      <c r="N22" s="16">
        <f t="shared" si="5"/>
        <v>2.3338039793191765</v>
      </c>
      <c r="O22" s="16">
        <f t="shared" si="6"/>
        <v>0.31552472547827609</v>
      </c>
      <c r="P22" s="16">
        <f t="shared" si="7"/>
        <v>0.97873256503307304</v>
      </c>
      <c r="Q22" s="16">
        <f t="shared" si="8"/>
        <v>1.7068181364178072</v>
      </c>
      <c r="R22" s="16">
        <f t="shared" si="9"/>
        <v>39.491341685124318</v>
      </c>
      <c r="S22" s="16">
        <f t="shared" si="10"/>
        <v>13.045743717843113</v>
      </c>
      <c r="T22" s="16">
        <f t="shared" si="11"/>
        <v>25.462625783345292</v>
      </c>
      <c r="U22" s="16">
        <f t="shared" si="12"/>
        <v>29.660367086029467</v>
      </c>
      <c r="V22" s="16">
        <f t="shared" si="13"/>
        <v>19.606221853175875</v>
      </c>
      <c r="W22" s="16">
        <f t="shared" si="14"/>
        <v>4.1039286710390801</v>
      </c>
      <c r="X22" s="16">
        <f t="shared" si="15"/>
        <v>8.7795572585198869</v>
      </c>
      <c r="Y22" s="16">
        <f t="shared" si="16"/>
        <v>6.3106883835196381</v>
      </c>
      <c r="Z22">
        <v>0.35</v>
      </c>
      <c r="AB22">
        <f t="shared" si="17"/>
        <v>3.0728450404819601</v>
      </c>
      <c r="AC22" s="54">
        <v>2</v>
      </c>
      <c r="AD22">
        <f t="shared" ref="AD22:AD34" si="22">(AC22*30)*(125-0.2*AC22*30)/(125*30)</f>
        <v>1.8080000000000001</v>
      </c>
      <c r="AE22">
        <v>0</v>
      </c>
      <c r="AF22">
        <v>0</v>
      </c>
      <c r="AH22">
        <f t="shared" si="20"/>
        <v>129.4192685393709</v>
      </c>
      <c r="AN22">
        <f t="shared" si="18"/>
        <v>12</v>
      </c>
    </row>
    <row r="23" spans="1:40" ht="15.6">
      <c r="A23" s="1">
        <v>44329</v>
      </c>
      <c r="B23">
        <f t="shared" si="19"/>
        <v>133</v>
      </c>
      <c r="C23">
        <f t="shared" si="0"/>
        <v>25.8</v>
      </c>
      <c r="D23" s="19">
        <v>29.6</v>
      </c>
      <c r="E23" s="18">
        <v>22</v>
      </c>
      <c r="F23" s="21">
        <v>78</v>
      </c>
      <c r="G23" s="22">
        <v>6</v>
      </c>
      <c r="H23" s="23">
        <v>1.8</v>
      </c>
      <c r="I23" s="16">
        <f>4098*(0.6108*EXP(17.27*Tomato!C22/(Tomato!C22+237.3)))/(Tomato!C22+237.3)^2</f>
        <v>0.16071661258687947</v>
      </c>
      <c r="J23" s="16">
        <f t="shared" si="1"/>
        <v>0.36549101258687949</v>
      </c>
      <c r="K23" s="16">
        <f t="shared" si="2"/>
        <v>4.1466816501200547</v>
      </c>
      <c r="L23" s="16">
        <f t="shared" si="3"/>
        <v>2.6439311922105757</v>
      </c>
      <c r="M23" s="16">
        <f t="shared" si="4"/>
        <v>3.3953064211653152</v>
      </c>
      <c r="N23" s="16">
        <f t="shared" si="5"/>
        <v>2.648339008508946</v>
      </c>
      <c r="O23" s="16">
        <f t="shared" si="6"/>
        <v>0.31995536711945544</v>
      </c>
      <c r="P23" s="16">
        <f t="shared" si="7"/>
        <v>0.97830159114998472</v>
      </c>
      <c r="Q23" s="16">
        <f t="shared" si="8"/>
        <v>1.7088770670359181</v>
      </c>
      <c r="R23" s="16">
        <f t="shared" si="9"/>
        <v>39.528812828032017</v>
      </c>
      <c r="S23" s="16">
        <f t="shared" si="10"/>
        <v>13.061480767153515</v>
      </c>
      <c r="T23" s="16">
        <f t="shared" si="11"/>
        <v>12.605932023015891</v>
      </c>
      <c r="U23" s="16">
        <f t="shared" si="12"/>
        <v>29.688510162621725</v>
      </c>
      <c r="V23" s="16">
        <f t="shared" si="13"/>
        <v>9.7065676577222355</v>
      </c>
      <c r="W23" s="16">
        <f t="shared" si="14"/>
        <v>0.98159946979417778</v>
      </c>
      <c r="X23" s="16">
        <f t="shared" si="15"/>
        <v>4.0532795343586852</v>
      </c>
      <c r="Y23" s="16">
        <f t="shared" si="16"/>
        <v>4.458564521487598</v>
      </c>
      <c r="Z23">
        <v>0.35</v>
      </c>
      <c r="AB23">
        <f t="shared" si="17"/>
        <v>1.4186478370255398</v>
      </c>
      <c r="AC23" s="54">
        <v>0</v>
      </c>
      <c r="AD23">
        <f t="shared" si="22"/>
        <v>0</v>
      </c>
      <c r="AE23">
        <v>0</v>
      </c>
      <c r="AF23">
        <v>0</v>
      </c>
      <c r="AH23">
        <f t="shared" si="20"/>
        <v>128.00062070234537</v>
      </c>
      <c r="AN23">
        <f t="shared" si="18"/>
        <v>13</v>
      </c>
    </row>
    <row r="24" spans="1:40" ht="15.6">
      <c r="A24" s="1">
        <v>44330</v>
      </c>
      <c r="B24">
        <f t="shared" si="19"/>
        <v>134</v>
      </c>
      <c r="C24">
        <f t="shared" si="0"/>
        <v>28.55</v>
      </c>
      <c r="D24" s="20">
        <v>35.6</v>
      </c>
      <c r="E24" s="18">
        <v>21.5</v>
      </c>
      <c r="F24" s="21">
        <v>59</v>
      </c>
      <c r="G24" s="22">
        <v>8</v>
      </c>
      <c r="H24" s="23">
        <v>9.8000000000000007</v>
      </c>
      <c r="I24" s="16">
        <f>4098*(0.6108*EXP(17.27*Tomato!C23/(Tomato!C23+237.3)))/(Tomato!C23+237.3)^2</f>
        <v>0.13301927735292324</v>
      </c>
      <c r="J24" s="16">
        <f t="shared" si="1"/>
        <v>0.38359847735292324</v>
      </c>
      <c r="K24" s="16">
        <f t="shared" si="2"/>
        <v>5.8118453382797011</v>
      </c>
      <c r="L24" s="16">
        <f t="shared" si="3"/>
        <v>2.5644197206554633</v>
      </c>
      <c r="M24" s="16">
        <f t="shared" si="4"/>
        <v>4.1881325294675822</v>
      </c>
      <c r="N24" s="16">
        <f t="shared" si="5"/>
        <v>2.4709981923858733</v>
      </c>
      <c r="O24" s="16">
        <f t="shared" si="6"/>
        <v>0.32429129518235256</v>
      </c>
      <c r="P24" s="16">
        <f t="shared" si="7"/>
        <v>0.97787704045636725</v>
      </c>
      <c r="Q24" s="16">
        <f t="shared" si="8"/>
        <v>1.7108984176021667</v>
      </c>
      <c r="R24" s="16">
        <f t="shared" si="9"/>
        <v>39.564703810151023</v>
      </c>
      <c r="S24" s="16">
        <f t="shared" si="10"/>
        <v>13.076930580398725</v>
      </c>
      <c r="T24" s="16">
        <f t="shared" si="11"/>
        <v>24.716294697171243</v>
      </c>
      <c r="U24" s="16">
        <f t="shared" si="12"/>
        <v>29.715466443652026</v>
      </c>
      <c r="V24" s="16">
        <f t="shared" si="13"/>
        <v>19.031546916821856</v>
      </c>
      <c r="W24" s="16">
        <f t="shared" si="14"/>
        <v>3.7781285620876495</v>
      </c>
      <c r="X24" s="16">
        <f t="shared" si="15"/>
        <v>9.3575726923026732</v>
      </c>
      <c r="Y24" s="16">
        <f t="shared" si="16"/>
        <v>6.4618253057555144</v>
      </c>
      <c r="Z24">
        <v>0.35</v>
      </c>
      <c r="AB24">
        <f t="shared" si="17"/>
        <v>3.2751504423059354</v>
      </c>
      <c r="AC24" s="54">
        <v>0</v>
      </c>
      <c r="AD24">
        <f t="shared" si="22"/>
        <v>0</v>
      </c>
      <c r="AE24">
        <v>0</v>
      </c>
      <c r="AF24">
        <v>0</v>
      </c>
      <c r="AH24">
        <f t="shared" si="20"/>
        <v>124.72547026003944</v>
      </c>
      <c r="AN24">
        <f t="shared" si="18"/>
        <v>14</v>
      </c>
    </row>
    <row r="25" spans="1:40" ht="15.6">
      <c r="A25" s="1">
        <v>44331</v>
      </c>
      <c r="B25">
        <f t="shared" si="19"/>
        <v>135</v>
      </c>
      <c r="C25">
        <f t="shared" si="0"/>
        <v>30.65</v>
      </c>
      <c r="D25" s="19">
        <v>36.5</v>
      </c>
      <c r="E25" s="18">
        <v>24.8</v>
      </c>
      <c r="F25" s="21">
        <v>75</v>
      </c>
      <c r="G25" s="22">
        <v>6</v>
      </c>
      <c r="H25" s="23">
        <v>10</v>
      </c>
      <c r="I25" s="16">
        <f>4098*(0.6108*EXP(17.27*Tomato!C24/(Tomato!C24+237.3)))/(Tomato!C24+237.3)^2</f>
        <v>0.14163485098448397</v>
      </c>
      <c r="J25" s="16">
        <f t="shared" si="1"/>
        <v>0.346409250984484</v>
      </c>
      <c r="K25" s="16">
        <f t="shared" si="2"/>
        <v>6.1059301791053064</v>
      </c>
      <c r="L25" s="16">
        <f t="shared" si="3"/>
        <v>3.1302352193130303</v>
      </c>
      <c r="M25" s="16">
        <f t="shared" si="4"/>
        <v>4.6180826992091681</v>
      </c>
      <c r="N25" s="16">
        <f t="shared" si="5"/>
        <v>3.4635620244068761</v>
      </c>
      <c r="O25" s="16">
        <f t="shared" si="6"/>
        <v>0.32853122614025015</v>
      </c>
      <c r="P25" s="16">
        <f t="shared" si="7"/>
        <v>0.97745903862823502</v>
      </c>
      <c r="Q25" s="16">
        <f t="shared" si="8"/>
        <v>1.7128812812163272</v>
      </c>
      <c r="R25" s="16">
        <f t="shared" si="9"/>
        <v>39.599047431815194</v>
      </c>
      <c r="S25" s="16">
        <f t="shared" si="10"/>
        <v>13.092086225857278</v>
      </c>
      <c r="T25" s="16">
        <f t="shared" si="11"/>
        <v>25.023038144358726</v>
      </c>
      <c r="U25" s="16">
        <f t="shared" si="12"/>
        <v>29.741260564139118</v>
      </c>
      <c r="V25" s="16">
        <f t="shared" si="13"/>
        <v>19.267739371156217</v>
      </c>
      <c r="W25" s="16">
        <f t="shared" si="14"/>
        <v>2.6137526556438773</v>
      </c>
      <c r="X25" s="16">
        <f t="shared" si="15"/>
        <v>6.7705781250403563</v>
      </c>
      <c r="Y25" s="16">
        <f t="shared" si="16"/>
        <v>6.1582802713077562</v>
      </c>
      <c r="Z25">
        <v>0.35</v>
      </c>
      <c r="AB25">
        <f t="shared" si="17"/>
        <v>2.3697023437641245</v>
      </c>
      <c r="AC25" s="54">
        <v>0</v>
      </c>
      <c r="AD25">
        <f t="shared" si="22"/>
        <v>0</v>
      </c>
      <c r="AE25">
        <v>0</v>
      </c>
      <c r="AF25">
        <v>0</v>
      </c>
      <c r="AH25">
        <f t="shared" si="20"/>
        <v>122.35576791627533</v>
      </c>
      <c r="AN25">
        <f t="shared" si="18"/>
        <v>15</v>
      </c>
    </row>
    <row r="26" spans="1:40" ht="15.6">
      <c r="A26" s="1">
        <v>44332</v>
      </c>
      <c r="B26">
        <f t="shared" si="19"/>
        <v>136</v>
      </c>
      <c r="C26">
        <f t="shared" si="0"/>
        <v>31.2</v>
      </c>
      <c r="D26" s="19">
        <v>37.4</v>
      </c>
      <c r="E26" s="18">
        <v>25</v>
      </c>
      <c r="F26" s="21">
        <v>73</v>
      </c>
      <c r="G26" s="22">
        <v>6</v>
      </c>
      <c r="H26" s="23">
        <v>11.2</v>
      </c>
      <c r="I26" s="16">
        <f>4098*(0.6108*EXP(17.27*Tomato!C25/(Tomato!C25+237.3)))/(Tomato!C25+237.3)^2</f>
        <v>0.1308462240283553</v>
      </c>
      <c r="J26" s="16">
        <f t="shared" si="1"/>
        <v>0.33562062402835535</v>
      </c>
      <c r="K26" s="16">
        <f t="shared" si="2"/>
        <v>6.4128214159504626</v>
      </c>
      <c r="L26" s="16">
        <f t="shared" si="3"/>
        <v>3.1677777175068473</v>
      </c>
      <c r="M26" s="16">
        <f t="shared" si="4"/>
        <v>4.7902995667286552</v>
      </c>
      <c r="N26" s="16">
        <f t="shared" si="5"/>
        <v>3.4969186837119182</v>
      </c>
      <c r="O26" s="16">
        <f t="shared" si="6"/>
        <v>0.33267390488361104</v>
      </c>
      <c r="P26" s="16">
        <f t="shared" si="7"/>
        <v>0.97704770940299956</v>
      </c>
      <c r="Q26" s="16">
        <f t="shared" si="8"/>
        <v>1.7148247525221623</v>
      </c>
      <c r="R26" s="16">
        <f t="shared" si="9"/>
        <v>39.631876554540725</v>
      </c>
      <c r="S26" s="16">
        <f t="shared" si="10"/>
        <v>13.106940783608884</v>
      </c>
      <c r="T26" s="16">
        <f t="shared" si="11"/>
        <v>26.840868460418729</v>
      </c>
      <c r="U26" s="16">
        <f t="shared" si="12"/>
        <v>29.765917205053356</v>
      </c>
      <c r="V26" s="16">
        <f t="shared" si="13"/>
        <v>20.667468714522421</v>
      </c>
      <c r="W26" s="16">
        <f t="shared" si="14"/>
        <v>2.8607723505510312</v>
      </c>
      <c r="X26" s="16">
        <f t="shared" si="15"/>
        <v>7.4404304253071736</v>
      </c>
      <c r="Y26" s="16">
        <f t="shared" si="16"/>
        <v>6.4171110983050612</v>
      </c>
      <c r="Z26">
        <v>0.35</v>
      </c>
      <c r="AB26">
        <f t="shared" si="17"/>
        <v>2.6041506488575106</v>
      </c>
      <c r="AC26" s="54">
        <v>0</v>
      </c>
      <c r="AD26">
        <f t="shared" si="22"/>
        <v>0</v>
      </c>
      <c r="AE26">
        <v>0</v>
      </c>
      <c r="AF26">
        <v>0</v>
      </c>
      <c r="AH26">
        <f t="shared" si="20"/>
        <v>119.75161726741781</v>
      </c>
      <c r="AN26">
        <f t="shared" si="18"/>
        <v>16</v>
      </c>
    </row>
    <row r="27" spans="1:40" ht="15.6">
      <c r="A27" s="1">
        <v>44333</v>
      </c>
      <c r="B27">
        <f t="shared" si="19"/>
        <v>137</v>
      </c>
      <c r="C27">
        <f t="shared" si="0"/>
        <v>31.2</v>
      </c>
      <c r="D27" s="19">
        <v>37.4</v>
      </c>
      <c r="E27" s="18">
        <v>25</v>
      </c>
      <c r="F27" s="21">
        <v>67</v>
      </c>
      <c r="G27" s="22">
        <v>6</v>
      </c>
      <c r="H27" s="23">
        <v>10.8</v>
      </c>
      <c r="I27" s="16">
        <f>4098*(0.6108*EXP(17.27*Tomato!C26/(Tomato!C26+237.3)))/(Tomato!C26+237.3)^2</f>
        <v>0.12416225573867952</v>
      </c>
      <c r="J27" s="16">
        <f t="shared" si="1"/>
        <v>0.32893665573867953</v>
      </c>
      <c r="K27" s="16">
        <f t="shared" si="2"/>
        <v>6.4128214159504626</v>
      </c>
      <c r="L27" s="16">
        <f t="shared" si="3"/>
        <v>3.1677777175068473</v>
      </c>
      <c r="M27" s="16">
        <f t="shared" si="4"/>
        <v>4.7902995667286552</v>
      </c>
      <c r="N27" s="16">
        <f t="shared" si="5"/>
        <v>3.2095007097081991</v>
      </c>
      <c r="O27" s="16">
        <f t="shared" si="6"/>
        <v>0.33671810509161759</v>
      </c>
      <c r="P27" s="16">
        <f t="shared" si="7"/>
        <v>0.97664317454284</v>
      </c>
      <c r="Q27" s="16">
        <f t="shared" si="8"/>
        <v>1.7167279287839772</v>
      </c>
      <c r="R27" s="16">
        <f t="shared" si="9"/>
        <v>39.663224036844262</v>
      </c>
      <c r="S27" s="16">
        <f t="shared" si="10"/>
        <v>13.121487353762882</v>
      </c>
      <c r="T27" s="16">
        <f t="shared" si="11"/>
        <v>26.238758127709865</v>
      </c>
      <c r="U27" s="16">
        <f t="shared" si="12"/>
        <v>29.789461045112251</v>
      </c>
      <c r="V27" s="16">
        <f t="shared" si="13"/>
        <v>20.203843758336596</v>
      </c>
      <c r="W27" s="16">
        <f t="shared" si="14"/>
        <v>3.1565381980247786</v>
      </c>
      <c r="X27" s="16">
        <f t="shared" si="15"/>
        <v>8.3718540830731616</v>
      </c>
      <c r="Y27" s="16">
        <f t="shared" si="16"/>
        <v>6.4221868175008732</v>
      </c>
      <c r="Z27">
        <v>0.35</v>
      </c>
      <c r="AB27">
        <f t="shared" si="17"/>
        <v>2.9301489290756062</v>
      </c>
      <c r="AC27" s="54">
        <v>0</v>
      </c>
      <c r="AD27">
        <f t="shared" si="22"/>
        <v>0</v>
      </c>
      <c r="AE27">
        <v>0</v>
      </c>
      <c r="AF27">
        <v>0</v>
      </c>
      <c r="AH27">
        <f t="shared" si="20"/>
        <v>116.82146833834221</v>
      </c>
      <c r="AN27">
        <f t="shared" si="18"/>
        <v>17</v>
      </c>
    </row>
    <row r="28" spans="1:40" ht="15.6">
      <c r="A28" s="1">
        <v>44334</v>
      </c>
      <c r="B28">
        <f t="shared" si="19"/>
        <v>138</v>
      </c>
      <c r="C28">
        <f t="shared" si="0"/>
        <v>31.6</v>
      </c>
      <c r="D28" s="19">
        <v>38.4</v>
      </c>
      <c r="E28" s="18">
        <v>24.8</v>
      </c>
      <c r="F28" s="21">
        <v>67</v>
      </c>
      <c r="G28" s="22">
        <v>5</v>
      </c>
      <c r="H28" s="23">
        <v>10.199999999999999</v>
      </c>
      <c r="I28" s="16">
        <f>4098*(0.6108*EXP(17.27*Tomato!C27/(Tomato!C27+237.3)))/(Tomato!C27+237.3)^2</f>
        <v>0.1231338398112326</v>
      </c>
      <c r="J28" s="16">
        <f t="shared" si="1"/>
        <v>0.30500583981123264</v>
      </c>
      <c r="K28" s="16">
        <f t="shared" si="2"/>
        <v>6.7693932881163699</v>
      </c>
      <c r="L28" s="16">
        <f t="shared" si="3"/>
        <v>3.1302352193130303</v>
      </c>
      <c r="M28" s="16">
        <f t="shared" si="4"/>
        <v>4.9498142537146999</v>
      </c>
      <c r="N28" s="16">
        <f t="shared" si="5"/>
        <v>3.316375549988849</v>
      </c>
      <c r="O28" s="16">
        <f t="shared" si="6"/>
        <v>0.34066262959518828</v>
      </c>
      <c r="P28" s="16">
        <f t="shared" si="7"/>
        <v>0.9762455537986594</v>
      </c>
      <c r="Q28" s="16">
        <f t="shared" si="8"/>
        <v>1.7185899110009273</v>
      </c>
      <c r="R28" s="16">
        <f t="shared" si="9"/>
        <v>39.693122671040904</v>
      </c>
      <c r="S28" s="16">
        <f t="shared" si="10"/>
        <v>13.135719064975241</v>
      </c>
      <c r="T28" s="16">
        <f t="shared" si="11"/>
        <v>25.334308006345449</v>
      </c>
      <c r="U28" s="16">
        <f t="shared" si="12"/>
        <v>29.81191671331198</v>
      </c>
      <c r="V28" s="16">
        <f t="shared" si="13"/>
        <v>19.507417164885997</v>
      </c>
      <c r="W28" s="16">
        <f t="shared" si="14"/>
        <v>2.8763123587531529</v>
      </c>
      <c r="X28" s="16">
        <f t="shared" si="15"/>
        <v>8.0687820096073501</v>
      </c>
      <c r="Y28" s="16">
        <f t="shared" si="16"/>
        <v>6.7857783307671244</v>
      </c>
      <c r="Z28">
        <v>0.35</v>
      </c>
      <c r="AB28">
        <f t="shared" si="17"/>
        <v>2.8240737033625725</v>
      </c>
      <c r="AC28" s="54">
        <v>0</v>
      </c>
      <c r="AD28">
        <f t="shared" si="22"/>
        <v>0</v>
      </c>
      <c r="AE28">
        <v>0</v>
      </c>
      <c r="AF28">
        <v>0</v>
      </c>
      <c r="AH28">
        <f t="shared" si="20"/>
        <v>113.99739463497964</v>
      </c>
      <c r="AN28">
        <f t="shared" si="18"/>
        <v>18</v>
      </c>
    </row>
    <row r="29" spans="1:40" ht="15.6">
      <c r="A29" s="1">
        <v>44335</v>
      </c>
      <c r="B29">
        <f t="shared" si="19"/>
        <v>139</v>
      </c>
      <c r="C29">
        <f t="shared" si="0"/>
        <v>31.299999999999997</v>
      </c>
      <c r="D29" s="19">
        <v>38.4</v>
      </c>
      <c r="E29" s="18">
        <v>24.2</v>
      </c>
      <c r="F29" s="21">
        <v>66</v>
      </c>
      <c r="G29" s="22">
        <v>4</v>
      </c>
      <c r="H29" s="23">
        <v>8.3000000000000007</v>
      </c>
      <c r="I29" s="16">
        <f>4098*(0.6108*EXP(17.27*Tomato!C28/(Tomato!C28+237.3)))/(Tomato!C28+237.3)^2</f>
        <v>0.12694038018719841</v>
      </c>
      <c r="J29" s="16">
        <f t="shared" si="1"/>
        <v>0.28590998018719843</v>
      </c>
      <c r="K29" s="16">
        <f t="shared" si="2"/>
        <v>6.7693932881163699</v>
      </c>
      <c r="L29" s="16">
        <f t="shared" si="3"/>
        <v>3.0199258182559934</v>
      </c>
      <c r="M29" s="16">
        <f t="shared" si="4"/>
        <v>4.8946595531861821</v>
      </c>
      <c r="N29" s="16">
        <f t="shared" si="5"/>
        <v>3.2304753051028805</v>
      </c>
      <c r="O29" s="16">
        <f t="shared" si="6"/>
        <v>0.34450631073136534</v>
      </c>
      <c r="P29" s="16">
        <f t="shared" si="7"/>
        <v>0.97585496487463586</v>
      </c>
      <c r="Q29" s="16">
        <f t="shared" si="8"/>
        <v>1.720409805056859</v>
      </c>
      <c r="R29" s="16">
        <f t="shared" si="9"/>
        <v>39.721605121103821</v>
      </c>
      <c r="S29" s="16">
        <f t="shared" si="10"/>
        <v>13.149629083237139</v>
      </c>
      <c r="T29" s="16">
        <f t="shared" si="11"/>
        <v>22.466470564748874</v>
      </c>
      <c r="U29" s="16">
        <f t="shared" si="12"/>
        <v>29.833308742256232</v>
      </c>
      <c r="V29" s="16">
        <f t="shared" si="13"/>
        <v>17.299182334856635</v>
      </c>
      <c r="W29" s="16">
        <f t="shared" si="14"/>
        <v>2.489988359584121</v>
      </c>
      <c r="X29" s="16">
        <f t="shared" si="15"/>
        <v>7.321107590827209</v>
      </c>
      <c r="Y29" s="16">
        <f t="shared" si="16"/>
        <v>6.896685995665055</v>
      </c>
      <c r="Z29">
        <v>0.35</v>
      </c>
      <c r="AB29">
        <f t="shared" si="17"/>
        <v>2.562387656789523</v>
      </c>
      <c r="AC29" s="54">
        <v>0.8</v>
      </c>
      <c r="AD29">
        <f t="shared" si="22"/>
        <v>0.76928000000000007</v>
      </c>
      <c r="AE29">
        <v>0</v>
      </c>
      <c r="AF29">
        <v>0</v>
      </c>
      <c r="AH29">
        <f t="shared" si="20"/>
        <v>112.20428697819011</v>
      </c>
      <c r="AN29">
        <f t="shared" si="18"/>
        <v>19</v>
      </c>
    </row>
    <row r="30" spans="1:40" ht="15.6">
      <c r="A30" s="1">
        <v>44336</v>
      </c>
      <c r="B30">
        <f t="shared" si="19"/>
        <v>140</v>
      </c>
      <c r="C30">
        <f t="shared" si="0"/>
        <v>30.25</v>
      </c>
      <c r="D30" s="19">
        <v>36.5</v>
      </c>
      <c r="E30" s="18">
        <v>24</v>
      </c>
      <c r="F30" s="21">
        <v>71</v>
      </c>
      <c r="G30" s="22">
        <v>6</v>
      </c>
      <c r="H30" s="23">
        <v>11.3</v>
      </c>
      <c r="I30" s="16">
        <f>4098*(0.6108*EXP(17.27*Tomato!C29/(Tomato!C29+237.3)))/(Tomato!C29+237.3)^2</f>
        <v>0.13708266611218417</v>
      </c>
      <c r="J30" s="16">
        <f t="shared" si="1"/>
        <v>0.34185706611218419</v>
      </c>
      <c r="K30" s="16">
        <f t="shared" si="2"/>
        <v>6.1059301791053064</v>
      </c>
      <c r="L30" s="16">
        <f t="shared" si="3"/>
        <v>2.9839174771655594</v>
      </c>
      <c r="M30" s="16">
        <f t="shared" si="4"/>
        <v>4.5449238281354329</v>
      </c>
      <c r="N30" s="16">
        <f t="shared" si="5"/>
        <v>3.2268959179761572</v>
      </c>
      <c r="O30" s="16">
        <f t="shared" si="6"/>
        <v>0.34824801068896732</v>
      </c>
      <c r="P30" s="16">
        <f t="shared" si="7"/>
        <v>0.97547152339337928</v>
      </c>
      <c r="Q30" s="16">
        <f t="shared" si="8"/>
        <v>1.7221867229032397</v>
      </c>
      <c r="R30" s="16">
        <f t="shared" si="9"/>
        <v>39.748703861663294</v>
      </c>
      <c r="S30" s="16">
        <f t="shared" si="10"/>
        <v>13.163210620916482</v>
      </c>
      <c r="T30" s="16">
        <f t="shared" si="11"/>
        <v>26.998376555911378</v>
      </c>
      <c r="U30" s="16">
        <f t="shared" si="12"/>
        <v>29.853661522340833</v>
      </c>
      <c r="V30" s="16">
        <f t="shared" si="13"/>
        <v>20.788749948051763</v>
      </c>
      <c r="W30" s="16">
        <f t="shared" si="14"/>
        <v>3.2109847188193492</v>
      </c>
      <c r="X30" s="16">
        <f t="shared" si="15"/>
        <v>7.5004302713314335</v>
      </c>
      <c r="Y30" s="16">
        <f t="shared" si="16"/>
        <v>6.3366448839571632</v>
      </c>
      <c r="Z30">
        <v>0.35</v>
      </c>
      <c r="AB30">
        <f t="shared" si="17"/>
        <v>2.6251505949660014</v>
      </c>
      <c r="AC30" s="54">
        <v>3.2</v>
      </c>
      <c r="AD30">
        <f t="shared" si="22"/>
        <v>2.7084799999999998</v>
      </c>
      <c r="AE30">
        <v>0</v>
      </c>
      <c r="AF30">
        <v>0</v>
      </c>
      <c r="AH30">
        <f t="shared" si="20"/>
        <v>112.2876163832241</v>
      </c>
      <c r="AN30">
        <f t="shared" si="18"/>
        <v>20</v>
      </c>
    </row>
    <row r="31" spans="1:40" ht="15.6">
      <c r="A31" s="1">
        <v>44337</v>
      </c>
      <c r="B31">
        <f t="shared" si="19"/>
        <v>141</v>
      </c>
      <c r="C31">
        <f t="shared" si="0"/>
        <v>30.25</v>
      </c>
      <c r="D31" s="19">
        <v>36.5</v>
      </c>
      <c r="E31" s="18">
        <v>24</v>
      </c>
      <c r="F31" s="21">
        <v>67</v>
      </c>
      <c r="G31" s="22">
        <v>4</v>
      </c>
      <c r="H31" s="23">
        <v>9.3000000000000007</v>
      </c>
      <c r="I31" s="16">
        <f>4098*(0.6108*EXP(17.27*Tomato!C30/(Tomato!C30+237.3)))/(Tomato!C30+237.3)^2</f>
        <v>0.16548316037309999</v>
      </c>
      <c r="J31" s="16">
        <f t="shared" si="1"/>
        <v>0.3244527603731</v>
      </c>
      <c r="K31" s="16">
        <f t="shared" si="2"/>
        <v>6.1059301791053064</v>
      </c>
      <c r="L31" s="16">
        <f t="shared" si="3"/>
        <v>2.9839174771655594</v>
      </c>
      <c r="M31" s="16">
        <f t="shared" si="4"/>
        <v>4.5449238281354329</v>
      </c>
      <c r="N31" s="16">
        <f t="shared" si="5"/>
        <v>3.0450989648507401</v>
      </c>
      <c r="O31" s="16">
        <f t="shared" si="6"/>
        <v>0.3518866218454062</v>
      </c>
      <c r="P31" s="16">
        <f t="shared" si="7"/>
        <v>0.97509534286170496</v>
      </c>
      <c r="Q31" s="16">
        <f t="shared" si="8"/>
        <v>1.7239197837725253</v>
      </c>
      <c r="R31" s="16">
        <f t="shared" si="9"/>
        <v>39.774451118218593</v>
      </c>
      <c r="S31" s="16">
        <f t="shared" si="10"/>
        <v>13.17645694603204</v>
      </c>
      <c r="T31" s="16">
        <f t="shared" si="11"/>
        <v>23.980102137599623</v>
      </c>
      <c r="U31" s="16">
        <f t="shared" si="12"/>
        <v>29.872999256849255</v>
      </c>
      <c r="V31" s="16">
        <f t="shared" si="13"/>
        <v>18.464678645951711</v>
      </c>
      <c r="W31" s="16">
        <f t="shared" si="14"/>
        <v>2.9248138511729707</v>
      </c>
      <c r="X31" s="16">
        <f t="shared" si="15"/>
        <v>6.930292668101794</v>
      </c>
      <c r="Y31" s="16">
        <f t="shared" si="16"/>
        <v>6.3407494510417868</v>
      </c>
      <c r="Z31">
        <v>0.35</v>
      </c>
      <c r="AB31">
        <f t="shared" si="17"/>
        <v>2.4256024338356279</v>
      </c>
      <c r="AC31" s="54">
        <v>0.2</v>
      </c>
      <c r="AD31">
        <f t="shared" si="22"/>
        <v>0.19807999999999998</v>
      </c>
      <c r="AE31">
        <v>0</v>
      </c>
      <c r="AF31">
        <v>0</v>
      </c>
      <c r="AH31">
        <f t="shared" si="20"/>
        <v>110.06009394938849</v>
      </c>
      <c r="AN31">
        <f t="shared" si="18"/>
        <v>21</v>
      </c>
    </row>
    <row r="32" spans="1:40" ht="15.6">
      <c r="A32" s="1">
        <v>44338</v>
      </c>
      <c r="B32">
        <f t="shared" si="19"/>
        <v>142</v>
      </c>
      <c r="C32">
        <f t="shared" si="0"/>
        <v>30.400000000000002</v>
      </c>
      <c r="D32" s="19">
        <v>36.700000000000003</v>
      </c>
      <c r="E32" s="18">
        <v>24.1</v>
      </c>
      <c r="F32" s="21">
        <v>76</v>
      </c>
      <c r="G32" s="22">
        <v>6</v>
      </c>
      <c r="H32" s="23">
        <v>9.4</v>
      </c>
      <c r="I32" s="16">
        <f>4098*(0.6108*EXP(17.27*Tomato!C31/(Tomato!C31+237.3)))/(Tomato!C31+237.3)^2</f>
        <v>0.14790293740537153</v>
      </c>
      <c r="J32" s="16">
        <f t="shared" si="1"/>
        <v>0.35267733740537155</v>
      </c>
      <c r="K32" s="16">
        <f t="shared" si="2"/>
        <v>6.1730054556831266</v>
      </c>
      <c r="L32" s="16">
        <f t="shared" si="3"/>
        <v>3.0018745443431598</v>
      </c>
      <c r="M32" s="16">
        <f t="shared" si="4"/>
        <v>4.5874400000131432</v>
      </c>
      <c r="N32" s="16">
        <f t="shared" si="5"/>
        <v>3.4864544000099889</v>
      </c>
      <c r="O32" s="16">
        <f t="shared" si="6"/>
        <v>0.3554210670945665</v>
      </c>
      <c r="P32" s="16">
        <f t="shared" si="7"/>
        <v>0.97472653463703296</v>
      </c>
      <c r="Q32" s="16">
        <f t="shared" si="8"/>
        <v>1.7256081154190814</v>
      </c>
      <c r="R32" s="16">
        <f t="shared" si="9"/>
        <v>39.798878808632494</v>
      </c>
      <c r="S32" s="16">
        <f t="shared" si="10"/>
        <v>13.189361391738203</v>
      </c>
      <c r="T32" s="16">
        <f t="shared" si="11"/>
        <v>24.131962863509631</v>
      </c>
      <c r="U32" s="16">
        <f t="shared" si="12"/>
        <v>29.89134591801152</v>
      </c>
      <c r="V32" s="16">
        <f t="shared" si="13"/>
        <v>18.581611404902418</v>
      </c>
      <c r="W32" s="16">
        <f t="shared" si="14"/>
        <v>2.4271698469851888</v>
      </c>
      <c r="X32" s="16">
        <f t="shared" si="15"/>
        <v>6.5067790005262856</v>
      </c>
      <c r="Y32" s="16">
        <f t="shared" si="16"/>
        <v>6.3898571229676149</v>
      </c>
      <c r="Z32">
        <v>0.35</v>
      </c>
      <c r="AB32">
        <f t="shared" si="17"/>
        <v>2.2773726501842</v>
      </c>
      <c r="AC32" s="54">
        <v>0</v>
      </c>
      <c r="AD32">
        <f t="shared" si="22"/>
        <v>0</v>
      </c>
      <c r="AE32">
        <v>0</v>
      </c>
      <c r="AF32">
        <v>0</v>
      </c>
      <c r="AH32">
        <f t="shared" si="20"/>
        <v>107.78272129920428</v>
      </c>
      <c r="AN32">
        <f t="shared" si="18"/>
        <v>22</v>
      </c>
    </row>
    <row r="33" spans="1:40" ht="15.6">
      <c r="A33" s="1">
        <v>44339</v>
      </c>
      <c r="B33">
        <f t="shared" si="19"/>
        <v>143</v>
      </c>
      <c r="C33">
        <f t="shared" si="0"/>
        <v>30.3</v>
      </c>
      <c r="D33" s="19">
        <v>36.5</v>
      </c>
      <c r="E33" s="18">
        <v>24.1</v>
      </c>
      <c r="F33" s="21">
        <v>68</v>
      </c>
      <c r="G33" s="22">
        <v>5</v>
      </c>
      <c r="H33" s="23">
        <v>10.8</v>
      </c>
      <c r="I33" s="16">
        <f>4098*(0.6108*EXP(17.27*Tomato!C32/(Tomato!C32+237.3)))/(Tomato!C32+237.3)^2</f>
        <v>0.13708266611218417</v>
      </c>
      <c r="J33" s="16">
        <f t="shared" si="1"/>
        <v>0.3189546661121842</v>
      </c>
      <c r="K33" s="16">
        <f t="shared" si="2"/>
        <v>6.1059301791053064</v>
      </c>
      <c r="L33" s="16">
        <f t="shared" si="3"/>
        <v>3.0018745443431598</v>
      </c>
      <c r="M33" s="16">
        <f t="shared" si="4"/>
        <v>4.5539023617242336</v>
      </c>
      <c r="N33" s="16">
        <f t="shared" si="5"/>
        <v>3.0966536059724792</v>
      </c>
      <c r="O33" s="16">
        <f t="shared" si="6"/>
        <v>0.35885030016565167</v>
      </c>
      <c r="P33" s="16">
        <f t="shared" si="7"/>
        <v>0.97436520789442416</v>
      </c>
      <c r="Q33" s="16">
        <f t="shared" si="8"/>
        <v>1.7272508553845789</v>
      </c>
      <c r="R33" s="16">
        <f t="shared" si="9"/>
        <v>39.822018485973508</v>
      </c>
      <c r="S33" s="16">
        <f t="shared" si="10"/>
        <v>13.201917365996781</v>
      </c>
      <c r="T33" s="16">
        <f t="shared" si="11"/>
        <v>26.243964385536213</v>
      </c>
      <c r="U33" s="16">
        <f t="shared" si="12"/>
        <v>29.90872520407526</v>
      </c>
      <c r="V33" s="16">
        <f t="shared" si="13"/>
        <v>20.207852576862884</v>
      </c>
      <c r="W33" s="16">
        <f t="shared" si="14"/>
        <v>3.2574209130686884</v>
      </c>
      <c r="X33" s="16">
        <f t="shared" si="15"/>
        <v>7.5384285096276207</v>
      </c>
      <c r="Y33" s="16">
        <f t="shared" si="16"/>
        <v>6.3294676962404166</v>
      </c>
      <c r="Z33">
        <v>0.35</v>
      </c>
      <c r="AB33">
        <f t="shared" si="17"/>
        <v>2.6384499783696671</v>
      </c>
      <c r="AC33" s="54">
        <v>0</v>
      </c>
      <c r="AD33">
        <f t="shared" si="22"/>
        <v>0</v>
      </c>
      <c r="AE33">
        <v>0</v>
      </c>
      <c r="AF33">
        <v>0</v>
      </c>
      <c r="AH33">
        <f t="shared" si="20"/>
        <v>105.14427132083462</v>
      </c>
      <c r="AN33">
        <f t="shared" si="18"/>
        <v>23</v>
      </c>
    </row>
    <row r="34" spans="1:40" ht="15.6">
      <c r="A34" s="1">
        <v>44340</v>
      </c>
      <c r="B34">
        <f t="shared" si="19"/>
        <v>144</v>
      </c>
      <c r="C34">
        <f t="shared" si="0"/>
        <v>29.8</v>
      </c>
      <c r="D34" s="19">
        <v>35.5</v>
      </c>
      <c r="E34" s="18">
        <v>24.1</v>
      </c>
      <c r="F34" s="21">
        <v>58</v>
      </c>
      <c r="G34" s="22">
        <v>5</v>
      </c>
      <c r="H34" s="23">
        <v>8.1</v>
      </c>
      <c r="I34" s="16">
        <f>4098*(0.6108*EXP(17.27*Tomato!C33/(Tomato!C33+237.3)))/(Tomato!C33+237.3)^2</f>
        <v>0.13783264223942809</v>
      </c>
      <c r="J34" s="16">
        <f t="shared" si="1"/>
        <v>0.31970464223942813</v>
      </c>
      <c r="K34" s="16">
        <f t="shared" si="2"/>
        <v>5.7799401422607124</v>
      </c>
      <c r="L34" s="16">
        <f t="shared" si="3"/>
        <v>3.0018745443431598</v>
      </c>
      <c r="M34" s="16">
        <f t="shared" si="4"/>
        <v>4.3909073433019365</v>
      </c>
      <c r="N34" s="16">
        <f t="shared" si="5"/>
        <v>2.5467262591151232</v>
      </c>
      <c r="O34" s="16">
        <f t="shared" si="6"/>
        <v>0.3621733059329027</v>
      </c>
      <c r="P34" s="16">
        <f t="shared" si="7"/>
        <v>0.97401146959426188</v>
      </c>
      <c r="Q34" s="16">
        <f t="shared" si="8"/>
        <v>1.7288471522845728</v>
      </c>
      <c r="R34" s="16">
        <f t="shared" si="9"/>
        <v>39.843901282767277</v>
      </c>
      <c r="S34" s="16">
        <f t="shared" si="10"/>
        <v>13.214118361410748</v>
      </c>
      <c r="T34" s="16">
        <f t="shared" si="11"/>
        <v>22.172747289259217</v>
      </c>
      <c r="U34" s="16">
        <f t="shared" si="12"/>
        <v>29.92516049743519</v>
      </c>
      <c r="V34" s="16">
        <f t="shared" si="13"/>
        <v>17.073015412729596</v>
      </c>
      <c r="W34" s="16">
        <f t="shared" si="14"/>
        <v>3.1379578977427562</v>
      </c>
      <c r="X34" s="16">
        <f t="shared" si="15"/>
        <v>8.2256484215513694</v>
      </c>
      <c r="Y34" s="16">
        <f t="shared" si="16"/>
        <v>6.0090972543321408</v>
      </c>
      <c r="Z34">
        <v>0.35</v>
      </c>
      <c r="AB34">
        <f t="shared" si="17"/>
        <v>2.8789769475429789</v>
      </c>
      <c r="AC34" s="54">
        <v>0</v>
      </c>
      <c r="AD34">
        <f t="shared" si="22"/>
        <v>0</v>
      </c>
      <c r="AE34">
        <v>0</v>
      </c>
      <c r="AF34">
        <v>0</v>
      </c>
      <c r="AH34">
        <f t="shared" si="20"/>
        <v>102.26529437329164</v>
      </c>
      <c r="AN34">
        <f t="shared" si="18"/>
        <v>24</v>
      </c>
    </row>
    <row r="35" spans="1:40" ht="15.6">
      <c r="A35" s="1">
        <v>44341</v>
      </c>
      <c r="B35">
        <f t="shared" si="19"/>
        <v>145</v>
      </c>
      <c r="C35">
        <f t="shared" si="0"/>
        <v>26.65</v>
      </c>
      <c r="D35" s="19">
        <v>29.5</v>
      </c>
      <c r="E35" s="18">
        <v>23.8</v>
      </c>
      <c r="F35" s="21">
        <v>88</v>
      </c>
      <c r="G35" s="22">
        <v>15</v>
      </c>
      <c r="H35" s="23">
        <v>0</v>
      </c>
      <c r="I35" s="16">
        <f>4098*(0.6108*EXP(17.27*Tomato!C34/(Tomato!C34+237.3)))/(Tomato!C34+237.3)^2</f>
        <v>0.14240584875815754</v>
      </c>
      <c r="J35" s="16">
        <f t="shared" si="1"/>
        <v>0.55330184875815758</v>
      </c>
      <c r="K35" s="16">
        <f t="shared" si="2"/>
        <v>4.1228854693811812</v>
      </c>
      <c r="L35" s="16">
        <f t="shared" si="3"/>
        <v>2.9482843050220851</v>
      </c>
      <c r="M35" s="16">
        <f t="shared" si="4"/>
        <v>3.5355848872016331</v>
      </c>
      <c r="N35" s="16">
        <f t="shared" si="5"/>
        <v>3.1113147007374371</v>
      </c>
      <c r="O35" s="16">
        <f t="shared" si="6"/>
        <v>0.36538910071609648</v>
      </c>
      <c r="P35" s="16">
        <f t="shared" si="7"/>
        <v>0.97366542445058946</v>
      </c>
      <c r="Q35" s="16">
        <f t="shared" si="8"/>
        <v>1.730396167112777</v>
      </c>
      <c r="R35" s="16">
        <f t="shared" si="9"/>
        <v>39.864557856714129</v>
      </c>
      <c r="S35" s="16">
        <f t="shared" si="10"/>
        <v>13.225957965193199</v>
      </c>
      <c r="T35" s="16">
        <f t="shared" si="11"/>
        <v>9.9661394641785321</v>
      </c>
      <c r="U35" s="16">
        <f t="shared" si="12"/>
        <v>29.940674823863713</v>
      </c>
      <c r="V35" s="16">
        <f t="shared" si="13"/>
        <v>7.6739273874174696</v>
      </c>
      <c r="W35" s="16">
        <f t="shared" si="14"/>
        <v>0.36648404755425773</v>
      </c>
      <c r="X35" s="16">
        <f t="shared" si="15"/>
        <v>3.0943760344079756</v>
      </c>
      <c r="Y35" s="16">
        <f t="shared" si="16"/>
        <v>3.9699418356968104</v>
      </c>
      <c r="Z35">
        <v>0.35</v>
      </c>
      <c r="AB35">
        <f t="shared" si="17"/>
        <v>1.0830316120427914</v>
      </c>
      <c r="AC35" s="54">
        <v>18</v>
      </c>
      <c r="AD35">
        <f>(125+0.1*AC35*30)/30</f>
        <v>5.9666666666666668</v>
      </c>
      <c r="AE35">
        <v>0</v>
      </c>
      <c r="AF35">
        <v>0</v>
      </c>
      <c r="AH35">
        <f t="shared" si="20"/>
        <v>107.14892942791552</v>
      </c>
      <c r="AN35">
        <f t="shared" si="18"/>
        <v>25</v>
      </c>
    </row>
    <row r="36" spans="1:40" ht="15.6">
      <c r="A36" s="1">
        <v>44342</v>
      </c>
      <c r="B36">
        <f t="shared" si="19"/>
        <v>146</v>
      </c>
      <c r="C36">
        <f t="shared" si="0"/>
        <v>27</v>
      </c>
      <c r="D36" s="19">
        <v>30.6</v>
      </c>
      <c r="E36" s="18">
        <v>23.4</v>
      </c>
      <c r="F36" s="21">
        <v>100</v>
      </c>
      <c r="G36" s="22">
        <v>10</v>
      </c>
      <c r="H36" s="23">
        <v>0</v>
      </c>
      <c r="I36" s="16">
        <f>4098*(0.6108*EXP(17.27*Tomato!C35/(Tomato!C35+237.3)))/(Tomato!C35+237.3)^2</f>
        <v>0.13972279794531864</v>
      </c>
      <c r="J36" s="16">
        <f t="shared" si="1"/>
        <v>0.4361067979453187</v>
      </c>
      <c r="K36" s="16">
        <f t="shared" si="2"/>
        <v>4.3912919467167955</v>
      </c>
      <c r="L36" s="16">
        <f t="shared" si="3"/>
        <v>2.878130284758361</v>
      </c>
      <c r="M36" s="16">
        <f t="shared" si="4"/>
        <v>3.634711115737578</v>
      </c>
      <c r="N36" s="16">
        <f t="shared" si="5"/>
        <v>3.634711115737578</v>
      </c>
      <c r="O36" s="16">
        <f t="shared" si="6"/>
        <v>0.36849673257173648</v>
      </c>
      <c r="P36" s="16">
        <f t="shared" si="7"/>
        <v>0.97332717490011278</v>
      </c>
      <c r="Q36" s="16">
        <f t="shared" si="8"/>
        <v>1.7318970745593643</v>
      </c>
      <c r="R36" s="16">
        <f t="shared" si="9"/>
        <v>39.88401833792593</v>
      </c>
      <c r="S36" s="16">
        <f t="shared" si="10"/>
        <v>13.237429869243549</v>
      </c>
      <c r="T36" s="16">
        <f t="shared" si="11"/>
        <v>9.9710045844814825</v>
      </c>
      <c r="U36" s="16">
        <f t="shared" si="12"/>
        <v>29.955290812882648</v>
      </c>
      <c r="V36" s="16">
        <f t="shared" si="13"/>
        <v>7.6776735300507415</v>
      </c>
      <c r="W36" s="16">
        <f t="shared" si="14"/>
        <v>0.28929810009776213</v>
      </c>
      <c r="X36" s="16">
        <f t="shared" si="15"/>
        <v>0.96579184919962946</v>
      </c>
      <c r="Y36" s="16">
        <f t="shared" si="16"/>
        <v>4.4991572099353094</v>
      </c>
      <c r="Z36">
        <v>0.35</v>
      </c>
      <c r="AB36">
        <f t="shared" si="17"/>
        <v>0.33802714721987032</v>
      </c>
      <c r="AC36" s="55">
        <v>20</v>
      </c>
      <c r="AD36">
        <f t="shared" ref="AD36:AD37" si="23">(125+0.1*AC36*30)/30</f>
        <v>6.166666666666667</v>
      </c>
      <c r="AE36">
        <v>0</v>
      </c>
      <c r="AF36">
        <v>0</v>
      </c>
      <c r="AH36">
        <f t="shared" si="20"/>
        <v>112.97756894736231</v>
      </c>
      <c r="AN36">
        <f t="shared" si="18"/>
        <v>26</v>
      </c>
    </row>
    <row r="37" spans="1:40" ht="15.6">
      <c r="A37" s="1">
        <v>44343</v>
      </c>
      <c r="B37">
        <f t="shared" si="19"/>
        <v>147</v>
      </c>
      <c r="C37">
        <f t="shared" si="0"/>
        <v>27.4</v>
      </c>
      <c r="D37" s="19">
        <v>31.6</v>
      </c>
      <c r="E37" s="18">
        <v>23.2</v>
      </c>
      <c r="F37" s="21">
        <v>72</v>
      </c>
      <c r="G37" s="22">
        <v>4</v>
      </c>
      <c r="H37" s="23">
        <v>1.4</v>
      </c>
      <c r="I37" s="16">
        <f>4098*(0.6108*EXP(17.27*Tomato!C36/(Tomato!C36+237.3)))/(Tomato!C36+237.3)^2</f>
        <v>0.14671012498663891</v>
      </c>
      <c r="J37" s="16">
        <f t="shared" si="1"/>
        <v>0.30567972498663892</v>
      </c>
      <c r="K37" s="16">
        <f t="shared" si="2"/>
        <v>4.6483496796026218</v>
      </c>
      <c r="L37" s="16">
        <f t="shared" si="3"/>
        <v>2.8436029029276386</v>
      </c>
      <c r="M37" s="16">
        <f t="shared" si="4"/>
        <v>3.74597629126513</v>
      </c>
      <c r="N37" s="16">
        <f t="shared" si="5"/>
        <v>2.6971029297108933</v>
      </c>
      <c r="O37" s="16">
        <f t="shared" si="6"/>
        <v>0.37149528157484801</v>
      </c>
      <c r="P37" s="16">
        <f t="shared" si="7"/>
        <v>0.97299682107187646</v>
      </c>
      <c r="Q37" s="16">
        <f t="shared" si="8"/>
        <v>1.733349064339442</v>
      </c>
      <c r="R37" s="16">
        <f t="shared" si="9"/>
        <v>39.902312277731063</v>
      </c>
      <c r="S37" s="16">
        <f t="shared" si="10"/>
        <v>13.248527880301468</v>
      </c>
      <c r="T37" s="16">
        <f t="shared" si="11"/>
        <v>12.083858992926293</v>
      </c>
      <c r="U37" s="16">
        <f t="shared" si="12"/>
        <v>29.96903065931269</v>
      </c>
      <c r="V37" s="16">
        <f t="shared" si="13"/>
        <v>9.3045714245532469</v>
      </c>
      <c r="W37" s="16">
        <f t="shared" si="14"/>
        <v>0.85695065061881703</v>
      </c>
      <c r="X37" s="16">
        <f t="shared" si="15"/>
        <v>4.4240807890828622</v>
      </c>
      <c r="Y37" s="16">
        <f t="shared" si="16"/>
        <v>4.905283812295405</v>
      </c>
      <c r="Z37">
        <v>0.35</v>
      </c>
      <c r="AB37">
        <f t="shared" si="17"/>
        <v>1.5484282761790016</v>
      </c>
      <c r="AC37" s="55">
        <v>16</v>
      </c>
      <c r="AD37">
        <f t="shared" si="23"/>
        <v>5.7666666666666666</v>
      </c>
      <c r="AE37">
        <v>0</v>
      </c>
      <c r="AF37">
        <v>0</v>
      </c>
      <c r="AH37">
        <f t="shared" si="20"/>
        <v>117.19580733784998</v>
      </c>
      <c r="AN37">
        <f t="shared" si="18"/>
        <v>27</v>
      </c>
    </row>
    <row r="38" spans="1:40" ht="15.6">
      <c r="A38" s="1">
        <v>44344</v>
      </c>
      <c r="B38">
        <f t="shared" si="19"/>
        <v>148</v>
      </c>
      <c r="C38">
        <f t="shared" si="0"/>
        <v>28.95</v>
      </c>
      <c r="D38" s="19">
        <v>33</v>
      </c>
      <c r="E38" s="18">
        <v>24.9</v>
      </c>
      <c r="F38" s="21">
        <v>77</v>
      </c>
      <c r="G38" s="22">
        <v>4</v>
      </c>
      <c r="H38" s="23">
        <v>7</v>
      </c>
      <c r="I38" s="16">
        <f>4098*(0.6108*EXP(17.27*Tomato!C37/(Tomato!C37+237.3)))/(Tomato!C37+237.3)^2</f>
        <v>0.12977102815536121</v>
      </c>
      <c r="J38" s="16">
        <f t="shared" si="1"/>
        <v>0.28874062815536122</v>
      </c>
      <c r="K38" s="16">
        <f t="shared" si="2"/>
        <v>5.030147795606851</v>
      </c>
      <c r="L38" s="16">
        <f t="shared" si="3"/>
        <v>3.1489576792404375</v>
      </c>
      <c r="M38" s="16">
        <f t="shared" si="4"/>
        <v>4.0895527374236442</v>
      </c>
      <c r="N38" s="16">
        <f t="shared" si="5"/>
        <v>3.1489556078162062</v>
      </c>
      <c r="O38" s="16">
        <f t="shared" si="6"/>
        <v>0.37438386009129521</v>
      </c>
      <c r="P38" s="16">
        <f t="shared" si="7"/>
        <v>0.97267446075762398</v>
      </c>
      <c r="Q38" s="16">
        <f t="shared" si="8"/>
        <v>1.7347513425276981</v>
      </c>
      <c r="R38" s="16">
        <f t="shared" si="9"/>
        <v>39.919468599092923</v>
      </c>
      <c r="S38" s="16">
        <f t="shared" si="10"/>
        <v>13.259245930148012</v>
      </c>
      <c r="T38" s="16">
        <f t="shared" si="11"/>
        <v>20.51727937011249</v>
      </c>
      <c r="U38" s="16">
        <f t="shared" si="12"/>
        <v>29.98191608603473</v>
      </c>
      <c r="V38" s="16">
        <f t="shared" si="13"/>
        <v>15.798305114986618</v>
      </c>
      <c r="W38" s="16">
        <f t="shared" si="14"/>
        <v>2.1483768985741296</v>
      </c>
      <c r="X38" s="16">
        <f t="shared" si="15"/>
        <v>5.1191632897654422</v>
      </c>
      <c r="Y38" s="16">
        <f t="shared" si="16"/>
        <v>4.9842162314058465</v>
      </c>
      <c r="Z38">
        <v>0.35</v>
      </c>
      <c r="AB38">
        <f t="shared" si="17"/>
        <v>1.7917071514179046</v>
      </c>
      <c r="AC38" s="55">
        <v>0</v>
      </c>
      <c r="AD38">
        <f t="shared" ref="AD38:AD48" si="24">(AC38*30)*(125-0.2*AC38*30)/(125*30)</f>
        <v>0</v>
      </c>
      <c r="AE38">
        <v>0</v>
      </c>
      <c r="AF38">
        <v>0</v>
      </c>
      <c r="AH38">
        <f t="shared" si="20"/>
        <v>115.40410018643207</v>
      </c>
      <c r="AN38">
        <f t="shared" si="18"/>
        <v>28</v>
      </c>
    </row>
    <row r="39" spans="1:40" ht="15.6">
      <c r="A39" s="1">
        <v>44345</v>
      </c>
      <c r="B39">
        <f t="shared" si="19"/>
        <v>149</v>
      </c>
      <c r="C39">
        <f t="shared" si="0"/>
        <v>29.15</v>
      </c>
      <c r="D39" s="19">
        <v>33.299999999999997</v>
      </c>
      <c r="E39" s="18">
        <v>25</v>
      </c>
      <c r="F39" s="21">
        <v>80</v>
      </c>
      <c r="G39" s="22">
        <v>6</v>
      </c>
      <c r="H39" s="23">
        <v>4.5</v>
      </c>
      <c r="I39" s="16">
        <f>4098*(0.6108*EXP(17.27*Tomato!C38/(Tomato!C38+237.3)))/(Tomato!C38+237.3)^2</f>
        <v>0.13120629606747061</v>
      </c>
      <c r="J39" s="16">
        <f t="shared" si="1"/>
        <v>0.33598069606747061</v>
      </c>
      <c r="K39" s="16">
        <f t="shared" si="2"/>
        <v>5.1154132953859861</v>
      </c>
      <c r="L39" s="16">
        <f t="shared" si="3"/>
        <v>3.1677777175068473</v>
      </c>
      <c r="M39" s="16">
        <f t="shared" si="4"/>
        <v>4.1415955064464169</v>
      </c>
      <c r="N39" s="16">
        <f t="shared" si="5"/>
        <v>3.3132764051571337</v>
      </c>
      <c r="O39" s="16">
        <f t="shared" si="6"/>
        <v>0.37716161304054024</v>
      </c>
      <c r="P39" s="16">
        <f t="shared" si="7"/>
        <v>0.97236018938284907</v>
      </c>
      <c r="Q39" s="16">
        <f t="shared" si="8"/>
        <v>1.7361031328950574</v>
      </c>
      <c r="R39" s="16">
        <f t="shared" si="9"/>
        <v>39.935515548682794</v>
      </c>
      <c r="S39" s="16">
        <f t="shared" si="10"/>
        <v>13.269578085822095</v>
      </c>
      <c r="T39" s="16">
        <f t="shared" si="11"/>
        <v>16.755376021698428</v>
      </c>
      <c r="U39" s="16">
        <f t="shared" si="12"/>
        <v>29.993968307993697</v>
      </c>
      <c r="V39" s="16">
        <f t="shared" si="13"/>
        <v>12.901639536707791</v>
      </c>
      <c r="W39" s="16">
        <f t="shared" si="14"/>
        <v>1.4111271076817566</v>
      </c>
      <c r="X39" s="16">
        <f t="shared" si="15"/>
        <v>4.7987458819203637</v>
      </c>
      <c r="Y39" s="16">
        <f t="shared" si="16"/>
        <v>5.0689958683696528</v>
      </c>
      <c r="Z39">
        <v>0.35</v>
      </c>
      <c r="AB39">
        <f t="shared" si="17"/>
        <v>1.6795610586721272</v>
      </c>
      <c r="AC39" s="55">
        <v>0</v>
      </c>
      <c r="AD39">
        <f t="shared" si="24"/>
        <v>0</v>
      </c>
      <c r="AE39">
        <v>0</v>
      </c>
      <c r="AF39">
        <v>0</v>
      </c>
      <c r="AH39">
        <f t="shared" si="20"/>
        <v>113.72453912775995</v>
      </c>
      <c r="AN39">
        <f t="shared" si="18"/>
        <v>29</v>
      </c>
    </row>
    <row r="40" spans="1:40" ht="15.6">
      <c r="A40" s="1">
        <v>44346</v>
      </c>
      <c r="B40">
        <f t="shared" si="19"/>
        <v>150</v>
      </c>
      <c r="C40">
        <f t="shared" si="0"/>
        <v>29.25</v>
      </c>
      <c r="D40" s="19">
        <v>33.5</v>
      </c>
      <c r="E40" s="18">
        <v>25</v>
      </c>
      <c r="F40" s="21">
        <v>83</v>
      </c>
      <c r="G40" s="22">
        <v>5</v>
      </c>
      <c r="H40" s="23">
        <v>4.8</v>
      </c>
      <c r="I40" s="16">
        <f>4098*(0.6108*EXP(17.27*Tomato!C39/(Tomato!C39+237.3)))/(Tomato!C39+237.3)^2</f>
        <v>0.12729132261362514</v>
      </c>
      <c r="J40" s="16">
        <f t="shared" si="1"/>
        <v>0.30916332261362517</v>
      </c>
      <c r="K40" s="16">
        <f t="shared" si="2"/>
        <v>5.1729513859624818</v>
      </c>
      <c r="L40" s="16">
        <f t="shared" si="3"/>
        <v>3.1677777175068473</v>
      </c>
      <c r="M40" s="16">
        <f t="shared" si="4"/>
        <v>4.1703645517346644</v>
      </c>
      <c r="N40" s="16">
        <f t="shared" si="5"/>
        <v>3.4614025779397712</v>
      </c>
      <c r="O40" s="16">
        <f t="shared" si="6"/>
        <v>0.3798277181487647</v>
      </c>
      <c r="P40" s="16">
        <f t="shared" si="7"/>
        <v>0.97205409997854764</v>
      </c>
      <c r="Q40" s="16">
        <f t="shared" si="8"/>
        <v>1.7374036782430655</v>
      </c>
      <c r="R40" s="16">
        <f t="shared" si="9"/>
        <v>39.950480650644813</v>
      </c>
      <c r="S40" s="16">
        <f t="shared" si="10"/>
        <v>13.279518559819609</v>
      </c>
      <c r="T40" s="16">
        <f t="shared" si="11"/>
        <v>17.207848300423603</v>
      </c>
      <c r="U40" s="16">
        <f t="shared" si="12"/>
        <v>30.005207997473292</v>
      </c>
      <c r="V40" s="16">
        <f t="shared" si="13"/>
        <v>13.250043191326174</v>
      </c>
      <c r="W40" s="16">
        <f t="shared" si="14"/>
        <v>1.3851396782990655</v>
      </c>
      <c r="X40" s="16">
        <f t="shared" si="15"/>
        <v>4.2928920079970139</v>
      </c>
      <c r="Y40" s="16">
        <f t="shared" si="16"/>
        <v>5.1425568149351433</v>
      </c>
      <c r="Z40">
        <v>0.35</v>
      </c>
      <c r="AB40">
        <f t="shared" si="17"/>
        <v>1.5025122027989548</v>
      </c>
      <c r="AC40" s="55">
        <v>0</v>
      </c>
      <c r="AD40">
        <f t="shared" si="24"/>
        <v>0</v>
      </c>
      <c r="AE40">
        <v>0</v>
      </c>
      <c r="AF40">
        <v>0</v>
      </c>
      <c r="AH40">
        <f t="shared" si="20"/>
        <v>112.222026924961</v>
      </c>
      <c r="AN40">
        <f t="shared" si="18"/>
        <v>30</v>
      </c>
    </row>
    <row r="41" spans="1:40" ht="15.6">
      <c r="A41" s="1">
        <v>44347</v>
      </c>
      <c r="B41">
        <f t="shared" si="19"/>
        <v>151</v>
      </c>
      <c r="C41">
        <f t="shared" si="0"/>
        <v>28.75</v>
      </c>
      <c r="D41" s="19">
        <v>32.700000000000003</v>
      </c>
      <c r="E41" s="18">
        <v>24.8</v>
      </c>
      <c r="F41" s="21">
        <v>87</v>
      </c>
      <c r="G41" s="22">
        <v>5</v>
      </c>
      <c r="H41" s="23">
        <v>1.5</v>
      </c>
      <c r="I41" s="16">
        <f>4098*(0.6108*EXP(17.27*Tomato!C40/(Tomato!C40+237.3)))/(Tomato!C40+237.3)^2</f>
        <v>0.13934302147270944</v>
      </c>
      <c r="J41" s="16">
        <f t="shared" si="1"/>
        <v>0.32121502147270947</v>
      </c>
      <c r="K41" s="16">
        <f t="shared" si="2"/>
        <v>4.9461187754219553</v>
      </c>
      <c r="L41" s="16">
        <f t="shared" si="3"/>
        <v>3.1302352193130303</v>
      </c>
      <c r="M41" s="16">
        <f t="shared" si="4"/>
        <v>4.0381769973674926</v>
      </c>
      <c r="N41" s="16">
        <f t="shared" si="5"/>
        <v>3.5132139877097184</v>
      </c>
      <c r="O41" s="16">
        <f t="shared" si="6"/>
        <v>0.38238138619228068</v>
      </c>
      <c r="P41" s="16">
        <f t="shared" si="7"/>
        <v>0.97175628315367868</v>
      </c>
      <c r="Q41" s="16">
        <f t="shared" si="8"/>
        <v>1.738652241731601</v>
      </c>
      <c r="R41" s="16">
        <f t="shared" si="9"/>
        <v>39.964390662086934</v>
      </c>
      <c r="S41" s="16">
        <f t="shared" si="10"/>
        <v>13.289061720241536</v>
      </c>
      <c r="T41" s="16">
        <f t="shared" si="11"/>
        <v>12.24658369061188</v>
      </c>
      <c r="U41" s="16">
        <f t="shared" si="12"/>
        <v>30.01565525066701</v>
      </c>
      <c r="V41" s="16">
        <f t="shared" si="13"/>
        <v>9.4298694417711477</v>
      </c>
      <c r="W41" s="16">
        <f t="shared" si="14"/>
        <v>0.63534032273707464</v>
      </c>
      <c r="X41" s="16">
        <f t="shared" si="15"/>
        <v>3.1982706995642154</v>
      </c>
      <c r="Y41" s="16">
        <f t="shared" si="16"/>
        <v>4.9067555879253231</v>
      </c>
      <c r="Z41">
        <v>0.75</v>
      </c>
      <c r="AB41">
        <f t="shared" si="17"/>
        <v>2.3987030246731615</v>
      </c>
      <c r="AC41" s="55">
        <v>20.2</v>
      </c>
      <c r="AD41">
        <f t="shared" ref="AD41:AD43" si="25">(125+0.1*AC41*30)/30</f>
        <v>6.1866666666666665</v>
      </c>
      <c r="AE41">
        <v>0</v>
      </c>
      <c r="AF41">
        <v>0</v>
      </c>
      <c r="AH41">
        <f t="shared" si="20"/>
        <v>116.0099905669545</v>
      </c>
      <c r="AN41">
        <f t="shared" si="18"/>
        <v>31</v>
      </c>
    </row>
    <row r="42" spans="1:40" ht="15.6">
      <c r="A42" s="1">
        <v>44348</v>
      </c>
      <c r="B42">
        <f t="shared" si="19"/>
        <v>152</v>
      </c>
      <c r="C42">
        <f t="shared" si="0"/>
        <v>29.75</v>
      </c>
      <c r="D42" s="25">
        <v>34.5</v>
      </c>
      <c r="E42" s="24">
        <v>25</v>
      </c>
      <c r="F42" s="27">
        <v>81</v>
      </c>
      <c r="G42" s="28">
        <v>8</v>
      </c>
      <c r="H42" s="29">
        <v>3.3</v>
      </c>
      <c r="I42" s="16">
        <f>4098*(0.6108*EXP(17.27*Tomato!C41/(Tomato!C41+237.3)))/(Tomato!C41+237.3)^2</f>
        <v>0.12519794731708817</v>
      </c>
      <c r="J42" s="16">
        <f t="shared" si="1"/>
        <v>0.37577714731708817</v>
      </c>
      <c r="K42" s="16">
        <f t="shared" si="2"/>
        <v>5.4691459026600384</v>
      </c>
      <c r="L42" s="16">
        <f t="shared" si="3"/>
        <v>3.1677777175068473</v>
      </c>
      <c r="M42" s="16">
        <f t="shared" si="4"/>
        <v>4.3184618100834431</v>
      </c>
      <c r="N42" s="16">
        <f t="shared" si="5"/>
        <v>3.4979540661675892</v>
      </c>
      <c r="O42" s="16">
        <f t="shared" si="6"/>
        <v>0.38482186123115697</v>
      </c>
      <c r="P42" s="16">
        <f t="shared" si="7"/>
        <v>0.97146682706834231</v>
      </c>
      <c r="Q42" s="16">
        <f t="shared" si="8"/>
        <v>1.7398481081954242</v>
      </c>
      <c r="R42" s="16">
        <f t="shared" si="9"/>
        <v>39.97727153032799</v>
      </c>
      <c r="S42" s="16">
        <f t="shared" si="10"/>
        <v>13.298202100856745</v>
      </c>
      <c r="T42" s="16">
        <f t="shared" si="11"/>
        <v>14.954574729693045</v>
      </c>
      <c r="U42" s="16">
        <f t="shared" si="12"/>
        <v>30.025329555568138</v>
      </c>
      <c r="V42" s="16">
        <f t="shared" si="13"/>
        <v>11.515022541863644</v>
      </c>
      <c r="W42" s="16">
        <f t="shared" si="14"/>
        <v>1.0416535778289016</v>
      </c>
      <c r="X42" s="16">
        <f t="shared" si="15"/>
        <v>4.9215459326807638</v>
      </c>
      <c r="Y42" s="16">
        <f t="shared" si="16"/>
        <v>5.498110614303978</v>
      </c>
      <c r="Z42">
        <v>0.75</v>
      </c>
      <c r="AB42">
        <f t="shared" si="17"/>
        <v>3.6911594495105726</v>
      </c>
      <c r="AC42" s="57">
        <v>0</v>
      </c>
      <c r="AD42">
        <f t="shared" si="24"/>
        <v>0</v>
      </c>
      <c r="AE42">
        <v>0</v>
      </c>
      <c r="AF42">
        <v>0</v>
      </c>
      <c r="AH42">
        <f t="shared" si="20"/>
        <v>112.31883111744392</v>
      </c>
      <c r="AN42">
        <f t="shared" si="18"/>
        <v>32</v>
      </c>
    </row>
    <row r="43" spans="1:40" ht="15.6">
      <c r="A43" s="1">
        <v>44349</v>
      </c>
      <c r="B43">
        <f t="shared" si="19"/>
        <v>153</v>
      </c>
      <c r="C43">
        <f t="shared" si="0"/>
        <v>27.5</v>
      </c>
      <c r="D43" s="25">
        <v>34.5</v>
      </c>
      <c r="E43" s="24">
        <v>20.5</v>
      </c>
      <c r="F43" s="27">
        <v>67</v>
      </c>
      <c r="G43" s="28">
        <v>6</v>
      </c>
      <c r="H43" s="29">
        <v>0</v>
      </c>
      <c r="I43" s="16">
        <f>4098*(0.6108*EXP(17.27*Tomato!C42/(Tomato!C42+237.3)))/(Tomato!C42+237.3)^2</f>
        <v>0.12009183587666868</v>
      </c>
      <c r="J43" s="16">
        <f t="shared" si="1"/>
        <v>0.32486623587666869</v>
      </c>
      <c r="K43" s="16">
        <f t="shared" si="2"/>
        <v>5.4691459026600384</v>
      </c>
      <c r="L43" s="16">
        <f t="shared" si="3"/>
        <v>2.4116412804606884</v>
      </c>
      <c r="M43" s="16">
        <f t="shared" si="4"/>
        <v>3.9403935915603636</v>
      </c>
      <c r="N43" s="16">
        <f t="shared" si="5"/>
        <v>2.640063706345444</v>
      </c>
      <c r="O43" s="16">
        <f t="shared" si="6"/>
        <v>0.387148420832994</v>
      </c>
      <c r="P43" s="16">
        <f t="shared" si="7"/>
        <v>0.97118581740768195</v>
      </c>
      <c r="Q43" s="16">
        <f t="shared" si="8"/>
        <v>1.7409905854450014</v>
      </c>
      <c r="R43" s="16">
        <f t="shared" si="9"/>
        <v>39.989148351928151</v>
      </c>
      <c r="S43" s="16">
        <f t="shared" si="10"/>
        <v>13.306934411044598</v>
      </c>
      <c r="T43" s="16">
        <f t="shared" si="11"/>
        <v>9.9972870879820377</v>
      </c>
      <c r="U43" s="16">
        <f t="shared" si="12"/>
        <v>30.034249761199156</v>
      </c>
      <c r="V43" s="16">
        <f t="shared" si="13"/>
        <v>7.6979110577461691</v>
      </c>
      <c r="W43" s="16">
        <f t="shared" si="14"/>
        <v>0.44942130974449995</v>
      </c>
      <c r="X43" s="16">
        <f t="shared" si="15"/>
        <v>5.9383157859082534</v>
      </c>
      <c r="Y43" s="16">
        <f t="shared" si="16"/>
        <v>6.3605163602670176</v>
      </c>
      <c r="Z43">
        <v>0.75</v>
      </c>
      <c r="AB43">
        <f t="shared" si="17"/>
        <v>4.4537368394311905</v>
      </c>
      <c r="AC43" s="57">
        <v>33.6</v>
      </c>
      <c r="AD43">
        <f t="shared" si="25"/>
        <v>7.5266666666666673</v>
      </c>
      <c r="AE43">
        <v>0</v>
      </c>
      <c r="AF43">
        <v>0</v>
      </c>
      <c r="AH43">
        <f t="shared" si="20"/>
        <v>115.3917609446794</v>
      </c>
      <c r="AN43">
        <f t="shared" si="18"/>
        <v>33</v>
      </c>
    </row>
    <row r="44" spans="1:40" ht="15.6">
      <c r="A44" s="1">
        <v>44350</v>
      </c>
      <c r="B44">
        <f t="shared" si="19"/>
        <v>154</v>
      </c>
      <c r="C44">
        <f t="shared" si="0"/>
        <v>30.95</v>
      </c>
      <c r="D44" s="25">
        <v>36.5</v>
      </c>
      <c r="E44" s="24">
        <v>25.4</v>
      </c>
      <c r="F44" s="27">
        <v>71</v>
      </c>
      <c r="G44" s="28">
        <v>5</v>
      </c>
      <c r="H44" s="29">
        <v>0</v>
      </c>
      <c r="I44" s="16">
        <f>4098*(0.6108*EXP(17.27*Tomato!C43/(Tomato!C43+237.3)))/(Tomato!C43+237.3)^2</f>
        <v>0.12279264420686307</v>
      </c>
      <c r="J44" s="16">
        <f t="shared" si="1"/>
        <v>0.30466464420686312</v>
      </c>
      <c r="K44" s="16">
        <f t="shared" si="2"/>
        <v>6.1059301791053064</v>
      </c>
      <c r="L44" s="16">
        <f t="shared" si="3"/>
        <v>3.2440422381586771</v>
      </c>
      <c r="M44" s="16">
        <f t="shared" si="4"/>
        <v>4.6749862086319922</v>
      </c>
      <c r="N44" s="16">
        <f t="shared" si="5"/>
        <v>3.3192402081287145</v>
      </c>
      <c r="O44" s="16">
        <f t="shared" si="6"/>
        <v>0.38936037628677872</v>
      </c>
      <c r="P44" s="16">
        <f t="shared" si="7"/>
        <v>0.97091333735652052</v>
      </c>
      <c r="Q44" s="16">
        <f t="shared" si="8"/>
        <v>1.742079005546993</v>
      </c>
      <c r="R44" s="16">
        <f t="shared" si="9"/>
        <v>40.000045333526685</v>
      </c>
      <c r="S44" s="16">
        <f t="shared" si="10"/>
        <v>13.315253545582113</v>
      </c>
      <c r="T44" s="16">
        <f t="shared" si="11"/>
        <v>10.000011333381671</v>
      </c>
      <c r="U44" s="16">
        <f t="shared" si="12"/>
        <v>30.042434048198551</v>
      </c>
      <c r="V44" s="16">
        <f t="shared" si="13"/>
        <v>7.7000087267038868</v>
      </c>
      <c r="W44" s="16">
        <f t="shared" si="14"/>
        <v>0.35463527128282235</v>
      </c>
      <c r="X44" s="16">
        <f t="shared" si="15"/>
        <v>5.6456916655467886</v>
      </c>
      <c r="Y44" s="16">
        <f t="shared" si="16"/>
        <v>6.0965563466207016</v>
      </c>
      <c r="Z44">
        <v>0.75</v>
      </c>
      <c r="AB44">
        <f t="shared" si="17"/>
        <v>4.2342687491600914</v>
      </c>
      <c r="AC44" s="57">
        <v>0</v>
      </c>
      <c r="AD44">
        <f t="shared" si="24"/>
        <v>0</v>
      </c>
      <c r="AE44">
        <v>0</v>
      </c>
      <c r="AF44">
        <v>0</v>
      </c>
      <c r="AH44">
        <f t="shared" si="20"/>
        <v>111.15749219551931</v>
      </c>
      <c r="AN44">
        <f t="shared" si="18"/>
        <v>34</v>
      </c>
    </row>
    <row r="45" spans="1:40" ht="15.6">
      <c r="A45" s="1">
        <v>44351</v>
      </c>
      <c r="B45">
        <f t="shared" si="19"/>
        <v>155</v>
      </c>
      <c r="C45">
        <f t="shared" si="0"/>
        <v>31</v>
      </c>
      <c r="D45" s="25">
        <v>36.5</v>
      </c>
      <c r="E45" s="24">
        <v>25.5</v>
      </c>
      <c r="F45" s="27">
        <v>65</v>
      </c>
      <c r="G45" s="28">
        <v>5</v>
      </c>
      <c r="H45" s="29">
        <v>7.5</v>
      </c>
      <c r="I45" s="16">
        <f>4098*(0.6108*EXP(17.27*Tomato!C44/(Tomato!C44+237.3)))/(Tomato!C44+237.3)^2</f>
        <v>0.1341172196039836</v>
      </c>
      <c r="J45" s="16">
        <f t="shared" si="1"/>
        <v>0.31598921960398363</v>
      </c>
      <c r="K45" s="16">
        <f t="shared" si="2"/>
        <v>6.1059301791053064</v>
      </c>
      <c r="L45" s="16">
        <f t="shared" si="3"/>
        <v>3.263356619324485</v>
      </c>
      <c r="M45" s="16">
        <f t="shared" si="4"/>
        <v>4.6846433992148953</v>
      </c>
      <c r="N45" s="16">
        <f t="shared" si="5"/>
        <v>3.0450182094896818</v>
      </c>
      <c r="O45" s="16">
        <f t="shared" si="6"/>
        <v>0.39145707280675829</v>
      </c>
      <c r="P45" s="16">
        <f t="shared" si="7"/>
        <v>0.97064946757473536</v>
      </c>
      <c r="Q45" s="16">
        <f t="shared" si="8"/>
        <v>1.7431127260797667</v>
      </c>
      <c r="R45" s="16">
        <f t="shared" si="9"/>
        <v>40.009985754507611</v>
      </c>
      <c r="S45" s="16">
        <f t="shared" si="10"/>
        <v>13.323154594240256</v>
      </c>
      <c r="T45" s="16">
        <f t="shared" si="11"/>
        <v>21.263901950221459</v>
      </c>
      <c r="U45" s="16">
        <f t="shared" si="12"/>
        <v>30.049899900780485</v>
      </c>
      <c r="V45" s="16">
        <f t="shared" si="13"/>
        <v>16.373204501670525</v>
      </c>
      <c r="W45" s="16">
        <f t="shared" si="14"/>
        <v>2.4355429474400414</v>
      </c>
      <c r="X45" s="16">
        <f t="shared" si="15"/>
        <v>7.5874275672549434</v>
      </c>
      <c r="Y45" s="16">
        <f t="shared" si="16"/>
        <v>6.0767666616620772</v>
      </c>
      <c r="Z45">
        <v>0.75</v>
      </c>
      <c r="AB45">
        <f t="shared" si="17"/>
        <v>5.690570675441208</v>
      </c>
      <c r="AC45" s="57">
        <v>0</v>
      </c>
      <c r="AD45">
        <f t="shared" si="24"/>
        <v>0</v>
      </c>
      <c r="AE45">
        <v>0</v>
      </c>
      <c r="AF45">
        <v>0</v>
      </c>
      <c r="AH45">
        <f t="shared" si="20"/>
        <v>105.4669215200781</v>
      </c>
      <c r="AN45">
        <f t="shared" si="18"/>
        <v>35</v>
      </c>
    </row>
    <row r="46" spans="1:40" ht="15.6">
      <c r="A46" s="1">
        <v>44352</v>
      </c>
      <c r="B46">
        <f t="shared" si="19"/>
        <v>156</v>
      </c>
      <c r="C46">
        <f t="shared" si="0"/>
        <v>31.5</v>
      </c>
      <c r="D46" s="25">
        <v>37</v>
      </c>
      <c r="E46" s="24">
        <v>26</v>
      </c>
      <c r="F46" s="27">
        <v>66</v>
      </c>
      <c r="G46" s="28">
        <v>6</v>
      </c>
      <c r="H46" s="29">
        <v>8</v>
      </c>
      <c r="I46" s="16">
        <f>4098*(0.6108*EXP(17.27*Tomato!C45/(Tomato!C45+237.3)))/(Tomato!C45+237.3)^2</f>
        <v>0.1341172196039836</v>
      </c>
      <c r="J46" s="16">
        <f t="shared" si="1"/>
        <v>0.33889161960398362</v>
      </c>
      <c r="K46" s="16">
        <f t="shared" si="2"/>
        <v>6.2748150241265215</v>
      </c>
      <c r="L46" s="16">
        <f t="shared" si="3"/>
        <v>3.3614398286025637</v>
      </c>
      <c r="M46" s="16">
        <f t="shared" si="4"/>
        <v>4.8181274263645424</v>
      </c>
      <c r="N46" s="16">
        <f t="shared" si="5"/>
        <v>3.1799641014005982</v>
      </c>
      <c r="O46" s="16">
        <f t="shared" si="6"/>
        <v>0.39343788972626953</v>
      </c>
      <c r="P46" s="16">
        <f t="shared" si="7"/>
        <v>0.97039428617338108</v>
      </c>
      <c r="Q46" s="16">
        <f t="shared" si="8"/>
        <v>1.7440911313592995</v>
      </c>
      <c r="R46" s="16">
        <f t="shared" si="9"/>
        <v>40.018991931511529</v>
      </c>
      <c r="S46" s="16">
        <f t="shared" si="10"/>
        <v>13.330632851153881</v>
      </c>
      <c r="T46" s="16">
        <f t="shared" si="11"/>
        <v>22.012877642842987</v>
      </c>
      <c r="U46" s="16">
        <f t="shared" si="12"/>
        <v>30.056664080081045</v>
      </c>
      <c r="V46" s="16">
        <f t="shared" si="13"/>
        <v>16.949915784989102</v>
      </c>
      <c r="W46" s="16">
        <f t="shared" si="14"/>
        <v>2.4422179141540692</v>
      </c>
      <c r="X46" s="16">
        <f t="shared" si="15"/>
        <v>8.1168890052120872</v>
      </c>
      <c r="Y46" s="16">
        <f t="shared" si="16"/>
        <v>6.1404104996422415</v>
      </c>
      <c r="Z46">
        <v>0.75</v>
      </c>
      <c r="AB46">
        <f t="shared" si="17"/>
        <v>6.0876667539090654</v>
      </c>
      <c r="AC46" s="57">
        <v>0</v>
      </c>
      <c r="AD46">
        <f t="shared" si="24"/>
        <v>0</v>
      </c>
      <c r="AE46">
        <v>0</v>
      </c>
      <c r="AF46">
        <v>0</v>
      </c>
      <c r="AH46">
        <f t="shared" si="20"/>
        <v>99.379254766169041</v>
      </c>
      <c r="AN46">
        <f t="shared" si="18"/>
        <v>36</v>
      </c>
    </row>
    <row r="47" spans="1:40" ht="15.6">
      <c r="A47" s="1">
        <v>44353</v>
      </c>
      <c r="B47">
        <f t="shared" si="19"/>
        <v>157</v>
      </c>
      <c r="C47">
        <f t="shared" si="0"/>
        <v>30.8</v>
      </c>
      <c r="D47" s="25">
        <v>37</v>
      </c>
      <c r="E47" s="24">
        <v>24.6</v>
      </c>
      <c r="F47" s="27">
        <v>65</v>
      </c>
      <c r="G47" s="28">
        <v>5</v>
      </c>
      <c r="H47" s="29">
        <v>8</v>
      </c>
      <c r="I47" s="16">
        <f>4098*(0.6108*EXP(17.27*Tomato!C46/(Tomato!C46+237.3)))/(Tomato!C46+237.3)^2</f>
        <v>0.13708266611218417</v>
      </c>
      <c r="J47" s="16">
        <f t="shared" si="1"/>
        <v>0.3189546661121842</v>
      </c>
      <c r="K47" s="16">
        <f t="shared" si="2"/>
        <v>6.2748150241265215</v>
      </c>
      <c r="L47" s="16">
        <f t="shared" si="3"/>
        <v>3.0930813295225428</v>
      </c>
      <c r="M47" s="16">
        <f t="shared" si="4"/>
        <v>4.6839481768245319</v>
      </c>
      <c r="N47" s="16">
        <f t="shared" si="5"/>
        <v>3.0445663149359459</v>
      </c>
      <c r="O47" s="16">
        <f t="shared" si="6"/>
        <v>0.39530224068147052</v>
      </c>
      <c r="P47" s="16">
        <f t="shared" si="7"/>
        <v>0.97014786869156788</v>
      </c>
      <c r="Q47" s="16">
        <f t="shared" si="8"/>
        <v>1.7450136336308497</v>
      </c>
      <c r="R47" s="16">
        <f t="shared" si="9"/>
        <v>40.027085184809131</v>
      </c>
      <c r="S47" s="16">
        <f t="shared" si="10"/>
        <v>13.337683823930062</v>
      </c>
      <c r="T47" s="16">
        <f t="shared" si="11"/>
        <v>22.010980036851468</v>
      </c>
      <c r="U47" s="16">
        <f t="shared" si="12"/>
        <v>30.062742598902744</v>
      </c>
      <c r="V47" s="16">
        <f t="shared" si="13"/>
        <v>16.948454628375629</v>
      </c>
      <c r="W47" s="16">
        <f t="shared" si="14"/>
        <v>2.5639945869240512</v>
      </c>
      <c r="X47" s="16">
        <f t="shared" si="15"/>
        <v>7.6507152989340987</v>
      </c>
      <c r="Y47" s="16">
        <f t="shared" si="16"/>
        <v>6.4281954996460504</v>
      </c>
      <c r="Z47">
        <v>0.75</v>
      </c>
      <c r="AB47">
        <f t="shared" si="17"/>
        <v>5.7380364742005741</v>
      </c>
      <c r="AC47" s="57">
        <v>0</v>
      </c>
      <c r="AD47">
        <f t="shared" si="24"/>
        <v>0</v>
      </c>
      <c r="AE47">
        <v>0</v>
      </c>
      <c r="AF47">
        <v>0</v>
      </c>
      <c r="AH47">
        <f t="shared" si="20"/>
        <v>93.641218291968471</v>
      </c>
      <c r="AN47">
        <f t="shared" si="18"/>
        <v>37</v>
      </c>
    </row>
    <row r="48" spans="1:40" ht="15.6">
      <c r="A48" s="1">
        <v>44354</v>
      </c>
      <c r="B48">
        <f t="shared" si="19"/>
        <v>158</v>
      </c>
      <c r="C48">
        <f t="shared" si="0"/>
        <v>31.2</v>
      </c>
      <c r="D48" s="25">
        <v>37.799999999999997</v>
      </c>
      <c r="E48" s="24">
        <v>24.6</v>
      </c>
      <c r="F48" s="27">
        <v>84</v>
      </c>
      <c r="G48" s="28">
        <v>6</v>
      </c>
      <c r="H48" s="29">
        <v>8.6999999999999993</v>
      </c>
      <c r="I48" s="16">
        <f>4098*(0.6108*EXP(17.27*Tomato!C47/(Tomato!C47+237.3)))/(Tomato!C47+237.3)^2</f>
        <v>0.13934302147270944</v>
      </c>
      <c r="J48" s="16">
        <f t="shared" si="1"/>
        <v>0.34411742147270946</v>
      </c>
      <c r="K48" s="16">
        <f t="shared" si="2"/>
        <v>6.5534484603429339</v>
      </c>
      <c r="L48" s="16">
        <f t="shared" si="3"/>
        <v>3.0930813295225428</v>
      </c>
      <c r="M48" s="16">
        <f t="shared" si="4"/>
        <v>4.8232648949327386</v>
      </c>
      <c r="N48" s="16">
        <f t="shared" si="5"/>
        <v>4.0515425117435004</v>
      </c>
      <c r="O48" s="16">
        <f t="shared" si="6"/>
        <v>0.39704957378491601</v>
      </c>
      <c r="P48" s="16">
        <f t="shared" si="7"/>
        <v>0.96991028807409929</v>
      </c>
      <c r="Q48" s="16">
        <f t="shared" si="8"/>
        <v>1.7458796742218368</v>
      </c>
      <c r="R48" s="16">
        <f t="shared" si="9"/>
        <v>40.034285806548979</v>
      </c>
      <c r="S48" s="16">
        <f t="shared" si="10"/>
        <v>13.344303242459899</v>
      </c>
      <c r="T48" s="16">
        <f t="shared" si="11"/>
        <v>23.059020028402745</v>
      </c>
      <c r="U48" s="16">
        <f t="shared" si="12"/>
        <v>30.068150697866674</v>
      </c>
      <c r="V48" s="16">
        <f t="shared" si="13"/>
        <v>17.755445421870114</v>
      </c>
      <c r="W48" s="16">
        <f t="shared" si="14"/>
        <v>1.6828889939909419</v>
      </c>
      <c r="X48" s="16">
        <f t="shared" si="15"/>
        <v>5.3369435915647196</v>
      </c>
      <c r="Y48" s="16">
        <f t="shared" si="16"/>
        <v>6.6881057290060184</v>
      </c>
      <c r="Z48">
        <v>0.75</v>
      </c>
      <c r="AB48">
        <f t="shared" si="17"/>
        <v>4.00270769367354</v>
      </c>
      <c r="AC48" s="57">
        <v>0</v>
      </c>
      <c r="AD48">
        <f t="shared" si="24"/>
        <v>0</v>
      </c>
      <c r="AE48">
        <v>0</v>
      </c>
      <c r="AF48">
        <v>0</v>
      </c>
      <c r="AH48">
        <f t="shared" si="20"/>
        <v>89.638510598294928</v>
      </c>
      <c r="AN48">
        <f t="shared" si="18"/>
        <v>38</v>
      </c>
    </row>
    <row r="49" spans="1:40" ht="15.6">
      <c r="A49" s="1">
        <v>44355</v>
      </c>
      <c r="B49">
        <f t="shared" si="19"/>
        <v>159</v>
      </c>
      <c r="C49">
        <f t="shared" si="0"/>
        <v>27.950000000000003</v>
      </c>
      <c r="D49" s="25">
        <v>33.6</v>
      </c>
      <c r="E49" s="24">
        <v>22.3</v>
      </c>
      <c r="F49" s="27">
        <v>78</v>
      </c>
      <c r="G49" s="28">
        <v>6</v>
      </c>
      <c r="H49" s="29">
        <v>4.5</v>
      </c>
      <c r="I49" s="16">
        <f>4098*(0.6108*EXP(17.27*Tomato!C48/(Tomato!C48+237.3)))/(Tomato!C48+237.3)^2</f>
        <v>0.14434889847729784</v>
      </c>
      <c r="J49" s="16">
        <f t="shared" si="1"/>
        <v>0.34912329847729784</v>
      </c>
      <c r="K49" s="16">
        <f t="shared" si="2"/>
        <v>5.2019304560289008</v>
      </c>
      <c r="L49" s="16">
        <f t="shared" si="3"/>
        <v>2.6926645530366384</v>
      </c>
      <c r="M49" s="16">
        <f t="shared" si="4"/>
        <v>3.9472975045327696</v>
      </c>
      <c r="N49" s="16">
        <f t="shared" si="5"/>
        <v>3.0788920535355606</v>
      </c>
      <c r="O49" s="16">
        <f t="shared" si="6"/>
        <v>0.39867937178892804</v>
      </c>
      <c r="P49" s="16">
        <f t="shared" si="7"/>
        <v>0.96968161464987968</v>
      </c>
      <c r="Q49" s="16">
        <f t="shared" si="8"/>
        <v>1.7466887246514362</v>
      </c>
      <c r="R49" s="16">
        <f t="shared" si="9"/>
        <v>40.040613030890825</v>
      </c>
      <c r="S49" s="16">
        <f t="shared" si="10"/>
        <v>13.350487067399513</v>
      </c>
      <c r="T49" s="16">
        <f t="shared" si="11"/>
        <v>16.758324980947549</v>
      </c>
      <c r="U49" s="16">
        <f t="shared" si="12"/>
        <v>30.072902822980861</v>
      </c>
      <c r="V49" s="16">
        <f t="shared" si="13"/>
        <v>12.903910235329613</v>
      </c>
      <c r="W49" s="16">
        <f t="shared" si="14"/>
        <v>1.5330105579508158</v>
      </c>
      <c r="X49" s="16">
        <f t="shared" si="15"/>
        <v>4.9245703904104081</v>
      </c>
      <c r="Y49" s="16">
        <f t="shared" si="16"/>
        <v>5.7785521530119226</v>
      </c>
      <c r="Z49">
        <v>0.75</v>
      </c>
      <c r="AB49">
        <f t="shared" si="17"/>
        <v>3.6934277928078059</v>
      </c>
      <c r="AC49" s="57">
        <v>14.4</v>
      </c>
      <c r="AD49">
        <f t="shared" ref="AD49:AD50" si="26">(125+0.1*AC49*30)/30</f>
        <v>5.6066666666666665</v>
      </c>
      <c r="AE49">
        <v>0</v>
      </c>
      <c r="AF49">
        <v>0</v>
      </c>
      <c r="AH49">
        <f t="shared" si="20"/>
        <v>91.551749472153787</v>
      </c>
      <c r="AN49">
        <f t="shared" si="18"/>
        <v>39</v>
      </c>
    </row>
    <row r="50" spans="1:40" ht="15.6">
      <c r="A50" s="1">
        <v>44356</v>
      </c>
      <c r="B50">
        <f t="shared" si="19"/>
        <v>160</v>
      </c>
      <c r="C50">
        <f t="shared" si="0"/>
        <v>27.75</v>
      </c>
      <c r="D50" s="25">
        <v>33.5</v>
      </c>
      <c r="E50" s="24">
        <v>22</v>
      </c>
      <c r="F50" s="27">
        <v>86</v>
      </c>
      <c r="G50" s="28">
        <v>4</v>
      </c>
      <c r="H50" s="29">
        <v>0</v>
      </c>
      <c r="I50" s="16">
        <f>4098*(0.6108*EXP(17.27*Tomato!C49/(Tomato!C49+237.3)))/(Tomato!C49+237.3)^2</f>
        <v>0.14163485098448397</v>
      </c>
      <c r="J50" s="16">
        <f t="shared" si="1"/>
        <v>0.30060445098448396</v>
      </c>
      <c r="K50" s="16">
        <f t="shared" si="2"/>
        <v>5.1729513859624818</v>
      </c>
      <c r="L50" s="16">
        <f t="shared" si="3"/>
        <v>2.6439311922105757</v>
      </c>
      <c r="M50" s="16">
        <f t="shared" si="4"/>
        <v>3.9084412890865288</v>
      </c>
      <c r="N50" s="16">
        <f t="shared" si="5"/>
        <v>3.3612595086144146</v>
      </c>
      <c r="O50" s="16">
        <f t="shared" si="6"/>
        <v>0.40019115223871227</v>
      </c>
      <c r="P50" s="16">
        <f t="shared" si="7"/>
        <v>0.96946191611109511</v>
      </c>
      <c r="Q50" s="16">
        <f t="shared" si="8"/>
        <v>1.7474402876925055</v>
      </c>
      <c r="R50" s="16">
        <f t="shared" si="9"/>
        <v>40.046085006032648</v>
      </c>
      <c r="S50" s="16">
        <f t="shared" si="10"/>
        <v>13.356231498286666</v>
      </c>
      <c r="T50" s="16">
        <f t="shared" si="11"/>
        <v>10.011521251508162</v>
      </c>
      <c r="U50" s="16">
        <f t="shared" si="12"/>
        <v>30.077012604630877</v>
      </c>
      <c r="V50" s="16">
        <f t="shared" si="13"/>
        <v>7.7088713636612844</v>
      </c>
      <c r="W50" s="16">
        <f t="shared" si="14"/>
        <v>0.33356546691475913</v>
      </c>
      <c r="X50" s="16">
        <f t="shared" si="15"/>
        <v>2.8854926464018771</v>
      </c>
      <c r="Y50" s="16">
        <f t="shared" si="16"/>
        <v>5.8047746641050191</v>
      </c>
      <c r="Z50">
        <v>0.75</v>
      </c>
      <c r="AB50">
        <f t="shared" si="17"/>
        <v>2.1641194848014078</v>
      </c>
      <c r="AC50" s="57">
        <v>49.2</v>
      </c>
      <c r="AD50">
        <f t="shared" si="26"/>
        <v>9.0866666666666678</v>
      </c>
      <c r="AE50">
        <v>0</v>
      </c>
      <c r="AF50">
        <v>0</v>
      </c>
      <c r="AH50">
        <f t="shared" si="20"/>
        <v>98.474296654019057</v>
      </c>
      <c r="AN50">
        <f t="shared" si="18"/>
        <v>40</v>
      </c>
    </row>
    <row r="51" spans="1:40" ht="15.6">
      <c r="A51" s="1">
        <v>44357</v>
      </c>
      <c r="B51">
        <f t="shared" si="19"/>
        <v>161</v>
      </c>
      <c r="C51">
        <f t="shared" si="0"/>
        <v>27.7</v>
      </c>
      <c r="D51" s="25">
        <v>33.4</v>
      </c>
      <c r="E51" s="24">
        <v>22</v>
      </c>
      <c r="F51" s="27">
        <v>81</v>
      </c>
      <c r="G51" s="28">
        <v>5</v>
      </c>
      <c r="H51" s="29">
        <v>4.4000000000000004</v>
      </c>
      <c r="I51" s="16">
        <f>4098*(0.6108*EXP(17.27*Tomato!C50/(Tomato!C50+237.3)))/(Tomato!C50+237.3)^2</f>
        <v>0.1439585042553502</v>
      </c>
      <c r="J51" s="16">
        <f t="shared" si="1"/>
        <v>0.32583050425535021</v>
      </c>
      <c r="K51" s="16">
        <f t="shared" si="2"/>
        <v>5.1441125216319277</v>
      </c>
      <c r="L51" s="16">
        <f t="shared" si="3"/>
        <v>2.6439311922105757</v>
      </c>
      <c r="M51" s="16">
        <f t="shared" si="4"/>
        <v>3.8940218569212517</v>
      </c>
      <c r="N51" s="16">
        <f t="shared" si="5"/>
        <v>3.1541577041062139</v>
      </c>
      <c r="O51" s="16">
        <f t="shared" si="6"/>
        <v>0.40158446761517491</v>
      </c>
      <c r="P51" s="16">
        <f t="shared" si="7"/>
        <v>0.96925125749317542</v>
      </c>
      <c r="Q51" s="16">
        <f t="shared" si="8"/>
        <v>1.7481338983815782</v>
      </c>
      <c r="R51" s="16">
        <f t="shared" si="9"/>
        <v>40.050718768138609</v>
      </c>
      <c r="S51" s="16">
        <f t="shared" si="10"/>
        <v>13.361532981260471</v>
      </c>
      <c r="T51" s="16">
        <f t="shared" si="11"/>
        <v>16.607101261287319</v>
      </c>
      <c r="U51" s="16">
        <f t="shared" si="12"/>
        <v>30.080492837998182</v>
      </c>
      <c r="V51" s="16">
        <f t="shared" si="13"/>
        <v>12.787467971191235</v>
      </c>
      <c r="W51" s="16">
        <f t="shared" si="14"/>
        <v>1.4539924056559792</v>
      </c>
      <c r="X51" s="16">
        <f t="shared" si="15"/>
        <v>4.3319792226509142</v>
      </c>
      <c r="Y51" s="16">
        <f t="shared" si="16"/>
        <v>5.7738053150577402</v>
      </c>
      <c r="Z51">
        <v>0.75</v>
      </c>
      <c r="AB51">
        <f t="shared" si="17"/>
        <v>3.2489844169881854</v>
      </c>
      <c r="AC51" s="57">
        <v>0</v>
      </c>
      <c r="AD51">
        <f t="shared" ref="AD51" si="27">(AC51*30)*(125-0.2*AC51*30)/(125*30)</f>
        <v>0</v>
      </c>
      <c r="AE51">
        <v>0</v>
      </c>
      <c r="AF51">
        <v>0</v>
      </c>
      <c r="AH51">
        <f t="shared" si="20"/>
        <v>95.225312237030877</v>
      </c>
      <c r="AN51">
        <f t="shared" si="18"/>
        <v>41</v>
      </c>
    </row>
    <row r="52" spans="1:40" ht="15.6">
      <c r="A52" s="1">
        <v>44358</v>
      </c>
      <c r="B52">
        <f t="shared" si="19"/>
        <v>162</v>
      </c>
      <c r="C52">
        <f t="shared" si="0"/>
        <v>27.5</v>
      </c>
      <c r="D52" s="25">
        <v>32</v>
      </c>
      <c r="E52" s="24">
        <v>23</v>
      </c>
      <c r="F52" s="27">
        <v>78</v>
      </c>
      <c r="G52" s="28">
        <v>4</v>
      </c>
      <c r="H52" s="29">
        <v>0</v>
      </c>
      <c r="I52" s="16">
        <f>4098*(0.6108*EXP(17.27*Tomato!C51/(Tomato!C51+237.3)))/(Tomato!C51+237.3)^2</f>
        <v>0.14870269420801632</v>
      </c>
      <c r="J52" s="16">
        <f t="shared" si="1"/>
        <v>0.30767229420801634</v>
      </c>
      <c r="K52" s="16">
        <f t="shared" si="2"/>
        <v>4.7547753962618131</v>
      </c>
      <c r="L52" s="16">
        <f t="shared" si="3"/>
        <v>2.809437622397069</v>
      </c>
      <c r="M52" s="16">
        <f t="shared" si="4"/>
        <v>3.782106509329441</v>
      </c>
      <c r="N52" s="16">
        <f t="shared" si="5"/>
        <v>2.9500430772769639</v>
      </c>
      <c r="O52" s="16">
        <f t="shared" si="6"/>
        <v>0.40285890546739761</v>
      </c>
      <c r="P52" s="16">
        <f t="shared" si="7"/>
        <v>0.96904970115554157</v>
      </c>
      <c r="Q52" s="16">
        <f t="shared" si="8"/>
        <v>1.7487691249728268</v>
      </c>
      <c r="R52" s="16">
        <f t="shared" si="9"/>
        <v>40.054530217172832</v>
      </c>
      <c r="S52" s="16">
        <f t="shared" si="10"/>
        <v>13.366388216352815</v>
      </c>
      <c r="T52" s="16">
        <f t="shared" si="11"/>
        <v>10.013632554293208</v>
      </c>
      <c r="U52" s="16">
        <f t="shared" si="12"/>
        <v>30.083355464909825</v>
      </c>
      <c r="V52" s="16">
        <f t="shared" si="13"/>
        <v>7.7104970668057708</v>
      </c>
      <c r="W52" s="16">
        <f t="shared" si="14"/>
        <v>0.39680762173547407</v>
      </c>
      <c r="X52" s="16">
        <f t="shared" si="15"/>
        <v>3.6245742509786605</v>
      </c>
      <c r="Y52" s="16">
        <f t="shared" si="16"/>
        <v>5.1080965600725374</v>
      </c>
      <c r="Z52">
        <v>0.75</v>
      </c>
      <c r="AB52">
        <f t="shared" si="17"/>
        <v>2.7184306882339953</v>
      </c>
      <c r="AC52" s="57">
        <v>20.399999999999999</v>
      </c>
      <c r="AD52">
        <f t="shared" ref="AD52" si="28">(125+0.1*AC52*30)/30</f>
        <v>6.2066666666666661</v>
      </c>
      <c r="AE52">
        <v>0</v>
      </c>
      <c r="AF52">
        <v>0</v>
      </c>
      <c r="AH52">
        <f t="shared" si="20"/>
        <v>98.713548215463547</v>
      </c>
      <c r="AN52">
        <f t="shared" si="18"/>
        <v>42</v>
      </c>
    </row>
    <row r="53" spans="1:40" ht="15.6">
      <c r="A53" s="1">
        <v>44359</v>
      </c>
      <c r="B53">
        <f t="shared" si="19"/>
        <v>163</v>
      </c>
      <c r="C53">
        <f t="shared" si="0"/>
        <v>29</v>
      </c>
      <c r="D53" s="25">
        <v>33</v>
      </c>
      <c r="E53" s="24">
        <v>25</v>
      </c>
      <c r="F53" s="27">
        <v>85</v>
      </c>
      <c r="G53" s="28">
        <v>6</v>
      </c>
      <c r="H53" s="29">
        <v>4.9000000000000004</v>
      </c>
      <c r="I53" s="16">
        <f>4098*(0.6108*EXP(17.27*Tomato!C52/(Tomato!C52+237.3)))/(Tomato!C52+237.3)^2</f>
        <v>0.15193839797273131</v>
      </c>
      <c r="J53" s="16">
        <f t="shared" si="1"/>
        <v>0.35671279797273137</v>
      </c>
      <c r="K53" s="16">
        <f t="shared" si="2"/>
        <v>5.030147795606851</v>
      </c>
      <c r="L53" s="16">
        <f t="shared" si="3"/>
        <v>3.1677777175068473</v>
      </c>
      <c r="M53" s="16">
        <f t="shared" si="4"/>
        <v>4.0989627565568494</v>
      </c>
      <c r="N53" s="16">
        <f t="shared" si="5"/>
        <v>3.4841183430733218</v>
      </c>
      <c r="O53" s="16">
        <f t="shared" si="6"/>
        <v>0.40401408853473186</v>
      </c>
      <c r="P53" s="16">
        <f t="shared" si="7"/>
        <v>0.96885730676314663</v>
      </c>
      <c r="Q53" s="16">
        <f t="shared" si="8"/>
        <v>1.7493455698320666</v>
      </c>
      <c r="R53" s="16">
        <f t="shared" si="9"/>
        <v>40.057534094643003</v>
      </c>
      <c r="S53" s="16">
        <f t="shared" si="10"/>
        <v>13.370794164321529</v>
      </c>
      <c r="T53" s="16">
        <f t="shared" si="11"/>
        <v>17.354333367010636</v>
      </c>
      <c r="U53" s="16">
        <f t="shared" si="12"/>
        <v>30.085611557122572</v>
      </c>
      <c r="V53" s="16">
        <f t="shared" si="13"/>
        <v>13.36283669259819</v>
      </c>
      <c r="W53" s="16">
        <f t="shared" si="14"/>
        <v>1.3800695819095765</v>
      </c>
      <c r="X53" s="16">
        <f t="shared" si="15"/>
        <v>4.1584481425319293</v>
      </c>
      <c r="Y53" s="16">
        <f t="shared" si="16"/>
        <v>4.9758016145355457</v>
      </c>
      <c r="Z53">
        <v>0.75</v>
      </c>
      <c r="AB53">
        <f t="shared" si="17"/>
        <v>3.118836106898947</v>
      </c>
      <c r="AC53" s="56">
        <v>1.8</v>
      </c>
      <c r="AD53">
        <f t="shared" ref="AD53" si="29">(AC53*30)*(125-0.2*AC53*30)/(125*30)</f>
        <v>1.6444799999999999</v>
      </c>
      <c r="AE53">
        <v>0</v>
      </c>
      <c r="AF53">
        <v>0</v>
      </c>
      <c r="AH53">
        <f t="shared" si="20"/>
        <v>97.239192108564595</v>
      </c>
      <c r="AN53">
        <f t="shared" si="18"/>
        <v>43</v>
      </c>
    </row>
    <row r="54" spans="1:40" ht="15.6">
      <c r="A54" s="1">
        <v>44360</v>
      </c>
      <c r="B54">
        <f t="shared" si="19"/>
        <v>164</v>
      </c>
      <c r="C54">
        <f t="shared" si="0"/>
        <v>28.35</v>
      </c>
      <c r="D54" s="25">
        <v>32.5</v>
      </c>
      <c r="E54" s="24">
        <v>24.2</v>
      </c>
      <c r="F54" s="27">
        <v>83</v>
      </c>
      <c r="G54" s="28">
        <v>6</v>
      </c>
      <c r="H54" s="29">
        <v>3</v>
      </c>
      <c r="I54" s="16">
        <f>4098*(0.6108*EXP(17.27*Tomato!C53/(Tomato!C53+237.3)))/(Tomato!C53+237.3)^2</f>
        <v>0.15690345906391898</v>
      </c>
      <c r="J54" s="16">
        <f t="shared" si="1"/>
        <v>0.36167785906391903</v>
      </c>
      <c r="K54" s="16">
        <f t="shared" si="2"/>
        <v>4.8907789302521092</v>
      </c>
      <c r="L54" s="16">
        <f t="shared" si="3"/>
        <v>3.0199258182559934</v>
      </c>
      <c r="M54" s="16">
        <f t="shared" si="4"/>
        <v>3.9553523742540513</v>
      </c>
      <c r="N54" s="16">
        <f t="shared" si="5"/>
        <v>3.2829424706308625</v>
      </c>
      <c r="O54" s="16">
        <f t="shared" si="6"/>
        <v>0.40504967485847626</v>
      </c>
      <c r="P54" s="16">
        <f t="shared" si="7"/>
        <v>0.96867413126881363</v>
      </c>
      <c r="Q54" s="16">
        <f t="shared" si="8"/>
        <v>1.7498628702670891</v>
      </c>
      <c r="R54" s="16">
        <f t="shared" si="9"/>
        <v>40.05974396325599</v>
      </c>
      <c r="S54" s="16">
        <f t="shared" si="10"/>
        <v>13.374748052996859</v>
      </c>
      <c r="T54" s="16">
        <f t="shared" si="11"/>
        <v>14.507702187738344</v>
      </c>
      <c r="U54" s="16">
        <f t="shared" si="12"/>
        <v>30.087271301043042</v>
      </c>
      <c r="V54" s="16">
        <f t="shared" si="13"/>
        <v>11.170930684558526</v>
      </c>
      <c r="W54" s="16">
        <f t="shared" si="14"/>
        <v>1.0540233766692582</v>
      </c>
      <c r="X54" s="16">
        <f t="shared" si="15"/>
        <v>4.0347544245649525</v>
      </c>
      <c r="Y54" s="16">
        <f t="shared" si="16"/>
        <v>4.9981227733695777</v>
      </c>
      <c r="Z54">
        <v>0.75</v>
      </c>
      <c r="AB54">
        <f t="shared" si="17"/>
        <v>3.0260658184237146</v>
      </c>
      <c r="AC54" s="56">
        <v>50.2</v>
      </c>
      <c r="AD54">
        <f t="shared" ref="AD54:AD55" si="30">(125+0.1*AC54*30)/30</f>
        <v>9.1866666666666674</v>
      </c>
      <c r="AE54">
        <v>0</v>
      </c>
      <c r="AF54">
        <v>0</v>
      </c>
      <c r="AH54">
        <f t="shared" si="20"/>
        <v>103.39979295680754</v>
      </c>
      <c r="AN54">
        <f t="shared" si="18"/>
        <v>44</v>
      </c>
    </row>
    <row r="55" spans="1:40" ht="15.6">
      <c r="A55" s="1">
        <v>44361</v>
      </c>
      <c r="B55">
        <f t="shared" si="19"/>
        <v>165</v>
      </c>
      <c r="C55">
        <f t="shared" si="0"/>
        <v>28.25</v>
      </c>
      <c r="D55" s="26">
        <v>32.4</v>
      </c>
      <c r="E55" s="24">
        <v>24.1</v>
      </c>
      <c r="F55" s="27">
        <v>80</v>
      </c>
      <c r="G55" s="28">
        <v>4</v>
      </c>
      <c r="H55" s="29">
        <v>2.2000000000000002</v>
      </c>
      <c r="I55" s="16">
        <f>4098*(0.6108*EXP(17.27*Tomato!C54/(Tomato!C54+237.3)))/(Tomato!C54+237.3)^2</f>
        <v>0.16460774689933025</v>
      </c>
      <c r="J55" s="16">
        <f t="shared" si="1"/>
        <v>0.32357734689933026</v>
      </c>
      <c r="K55" s="16">
        <f t="shared" si="2"/>
        <v>4.8633111980528723</v>
      </c>
      <c r="L55" s="16">
        <f t="shared" si="3"/>
        <v>3.0018745443431598</v>
      </c>
      <c r="M55" s="16">
        <f t="shared" si="4"/>
        <v>3.932592871198016</v>
      </c>
      <c r="N55" s="16">
        <f t="shared" si="5"/>
        <v>3.146074296958413</v>
      </c>
      <c r="O55" s="16">
        <f t="shared" si="6"/>
        <v>0.40596535788310323</v>
      </c>
      <c r="P55" s="16">
        <f t="shared" si="7"/>
        <v>0.96850022889637588</v>
      </c>
      <c r="Q55" s="16">
        <f t="shared" si="8"/>
        <v>1.7503206992908322</v>
      </c>
      <c r="R55" s="16">
        <f t="shared" si="9"/>
        <v>40.061172188486815</v>
      </c>
      <c r="S55" s="16">
        <f t="shared" si="10"/>
        <v>13.378247383114642</v>
      </c>
      <c r="T55" s="16">
        <f t="shared" si="11"/>
        <v>13.309243902220633</v>
      </c>
      <c r="U55" s="16">
        <f t="shared" si="12"/>
        <v>30.088343983884904</v>
      </c>
      <c r="V55" s="16">
        <f t="shared" si="13"/>
        <v>10.248117804709887</v>
      </c>
      <c r="W55" s="16">
        <f t="shared" si="14"/>
        <v>0.91797816976442959</v>
      </c>
      <c r="X55" s="16">
        <f t="shared" si="15"/>
        <v>3.8931418242211597</v>
      </c>
      <c r="Y55" s="16">
        <f t="shared" si="16"/>
        <v>4.987470413699719</v>
      </c>
      <c r="Z55">
        <v>0.75</v>
      </c>
      <c r="AB55">
        <f t="shared" si="17"/>
        <v>2.9198563681658696</v>
      </c>
      <c r="AC55" s="56">
        <v>52</v>
      </c>
      <c r="AD55">
        <f t="shared" si="30"/>
        <v>9.3666666666666671</v>
      </c>
      <c r="AE55">
        <v>0</v>
      </c>
      <c r="AF55">
        <v>0</v>
      </c>
      <c r="AH55">
        <f t="shared" si="20"/>
        <v>109.84660325530834</v>
      </c>
      <c r="AN55">
        <f t="shared" si="18"/>
        <v>45</v>
      </c>
    </row>
    <row r="56" spans="1:40" ht="15.6">
      <c r="A56" s="1">
        <v>44362</v>
      </c>
      <c r="B56">
        <f t="shared" si="19"/>
        <v>166</v>
      </c>
      <c r="C56">
        <f t="shared" si="0"/>
        <v>26.75</v>
      </c>
      <c r="D56" s="25">
        <v>29.5</v>
      </c>
      <c r="E56" s="24">
        <v>24</v>
      </c>
      <c r="F56" s="27">
        <v>91</v>
      </c>
      <c r="G56" s="28">
        <v>4</v>
      </c>
      <c r="H56" s="29">
        <v>0</v>
      </c>
      <c r="I56" s="16">
        <f>4098*(0.6108*EXP(17.27*Tomato!C55/(Tomato!C55+237.3)))/(Tomato!C55+237.3)^2</f>
        <v>0.16330195980137907</v>
      </c>
      <c r="J56" s="16">
        <f t="shared" si="1"/>
        <v>0.32227155980137911</v>
      </c>
      <c r="K56" s="16">
        <f t="shared" si="2"/>
        <v>4.1228854693811812</v>
      </c>
      <c r="L56" s="16">
        <f t="shared" si="3"/>
        <v>2.9839174771655594</v>
      </c>
      <c r="M56" s="16">
        <f t="shared" si="4"/>
        <v>3.5534014732733703</v>
      </c>
      <c r="N56" s="16">
        <f t="shared" si="5"/>
        <v>3.2335953406787672</v>
      </c>
      <c r="O56" s="16">
        <f t="shared" si="6"/>
        <v>0.40676086654700622</v>
      </c>
      <c r="P56" s="16">
        <f t="shared" si="7"/>
        <v>0.96833565112462583</v>
      </c>
      <c r="Q56" s="16">
        <f t="shared" si="8"/>
        <v>1.7507187663141566</v>
      </c>
      <c r="R56" s="16">
        <f t="shared" si="9"/>
        <v>40.061829922061612</v>
      </c>
      <c r="S56" s="16">
        <f t="shared" si="10"/>
        <v>13.381289933611388</v>
      </c>
      <c r="T56" s="16">
        <f t="shared" si="11"/>
        <v>10.015457480515403</v>
      </c>
      <c r="U56" s="16">
        <f t="shared" si="12"/>
        <v>30.088837981263591</v>
      </c>
      <c r="V56" s="16">
        <f t="shared" si="13"/>
        <v>7.7119022599968607</v>
      </c>
      <c r="W56" s="16">
        <f t="shared" si="14"/>
        <v>0.348007376945557</v>
      </c>
      <c r="X56" s="16">
        <f t="shared" si="15"/>
        <v>2.3252346215037711</v>
      </c>
      <c r="Y56" s="16">
        <f t="shared" si="16"/>
        <v>3.9277861562524161</v>
      </c>
      <c r="Z56">
        <v>0.75</v>
      </c>
      <c r="AB56">
        <f t="shared" si="17"/>
        <v>1.7439259661278284</v>
      </c>
      <c r="AC56" s="56">
        <v>6.8</v>
      </c>
      <c r="AD56">
        <f t="shared" ref="AD56" si="31">(AC56*30)*(125-0.2*AC56*30)/(125*30)</f>
        <v>4.5804799999999997</v>
      </c>
      <c r="AE56">
        <v>0</v>
      </c>
      <c r="AF56">
        <v>0</v>
      </c>
      <c r="AH56">
        <f t="shared" si="20"/>
        <v>112.6831572891805</v>
      </c>
      <c r="AN56">
        <f t="shared" si="18"/>
        <v>46</v>
      </c>
    </row>
    <row r="57" spans="1:40" ht="15.6">
      <c r="A57" s="1">
        <v>44363</v>
      </c>
      <c r="B57">
        <f t="shared" si="19"/>
        <v>167</v>
      </c>
      <c r="C57">
        <f t="shared" si="0"/>
        <v>26.25</v>
      </c>
      <c r="D57" s="25">
        <v>29.5</v>
      </c>
      <c r="E57" s="24">
        <v>23</v>
      </c>
      <c r="F57" s="27">
        <v>91</v>
      </c>
      <c r="G57" s="28">
        <v>4</v>
      </c>
      <c r="H57" s="29">
        <v>0</v>
      </c>
      <c r="I57" s="16">
        <f>4098*(0.6108*EXP(17.27*Tomato!C56/(Tomato!C56+237.3)))/(Tomato!C56+237.3)^2</f>
        <v>0.18145122404479402</v>
      </c>
      <c r="J57" s="16">
        <f t="shared" si="1"/>
        <v>0.34042082404479401</v>
      </c>
      <c r="K57" s="16">
        <f t="shared" si="2"/>
        <v>4.1228854693811812</v>
      </c>
      <c r="L57" s="16">
        <f t="shared" si="3"/>
        <v>2.809437622397069</v>
      </c>
      <c r="M57" s="16">
        <f t="shared" si="4"/>
        <v>3.4661615458891251</v>
      </c>
      <c r="N57" s="16">
        <f t="shared" si="5"/>
        <v>3.1542070067591039</v>
      </c>
      <c r="O57" s="16">
        <f t="shared" si="6"/>
        <v>0.40743596536273968</v>
      </c>
      <c r="P57" s="16">
        <f t="shared" si="7"/>
        <v>0.96818044667207648</v>
      </c>
      <c r="Q57" s="16">
        <f t="shared" si="8"/>
        <v>1.7510568177652646</v>
      </c>
      <c r="R57" s="16">
        <f t="shared" si="9"/>
        <v>40.06172708735415</v>
      </c>
      <c r="S57" s="16">
        <f t="shared" si="10"/>
        <v>13.383873766358709</v>
      </c>
      <c r="T57" s="16">
        <f t="shared" si="11"/>
        <v>10.015431771838538</v>
      </c>
      <c r="U57" s="16">
        <f t="shared" si="12"/>
        <v>30.088760746228207</v>
      </c>
      <c r="V57" s="16">
        <f t="shared" si="13"/>
        <v>7.711882464315674</v>
      </c>
      <c r="W57" s="16">
        <f t="shared" si="14"/>
        <v>0.35794581463499736</v>
      </c>
      <c r="X57" s="16">
        <f t="shared" si="15"/>
        <v>2.3418615535328557</v>
      </c>
      <c r="Y57" s="16">
        <f t="shared" si="16"/>
        <v>4.2220197277855922</v>
      </c>
      <c r="Z57">
        <v>0.75</v>
      </c>
      <c r="AB57">
        <f t="shared" si="17"/>
        <v>1.7563961651496418</v>
      </c>
      <c r="AC57" s="56">
        <v>21.4</v>
      </c>
      <c r="AD57">
        <f t="shared" ref="AD57" si="32">(125+0.1*AC57*30)/30</f>
        <v>6.3066666666666666</v>
      </c>
      <c r="AE57">
        <v>0</v>
      </c>
      <c r="AF57">
        <v>0</v>
      </c>
      <c r="AH57">
        <f t="shared" si="20"/>
        <v>117.23342779069753</v>
      </c>
      <c r="AN57">
        <f t="shared" si="18"/>
        <v>47</v>
      </c>
    </row>
    <row r="58" spans="1:40" ht="15.6">
      <c r="A58" s="1">
        <v>44364</v>
      </c>
      <c r="B58">
        <f t="shared" si="19"/>
        <v>168</v>
      </c>
      <c r="C58">
        <f t="shared" si="0"/>
        <v>26.2</v>
      </c>
      <c r="D58" s="25">
        <v>29.4</v>
      </c>
      <c r="E58" s="24">
        <v>23</v>
      </c>
      <c r="F58" s="27">
        <v>98</v>
      </c>
      <c r="G58" s="28">
        <v>5</v>
      </c>
      <c r="H58" s="29">
        <v>0</v>
      </c>
      <c r="I58" s="16">
        <f>4098*(0.6108*EXP(17.27*Tomato!C57/(Tomato!C57+237.3)))/(Tomato!C57+237.3)^2</f>
        <v>0.1726290323213637</v>
      </c>
      <c r="J58" s="16">
        <f t="shared" si="1"/>
        <v>0.35450103232136376</v>
      </c>
      <c r="K58" s="16">
        <f t="shared" si="2"/>
        <v>4.0992081541413299</v>
      </c>
      <c r="L58" s="16">
        <f t="shared" si="3"/>
        <v>2.809437622397069</v>
      </c>
      <c r="M58" s="16">
        <f t="shared" si="4"/>
        <v>3.4543228882691994</v>
      </c>
      <c r="N58" s="16">
        <f t="shared" si="5"/>
        <v>3.3852364305038152</v>
      </c>
      <c r="O58" s="16">
        <f t="shared" si="6"/>
        <v>0.40799045448672816</v>
      </c>
      <c r="P58" s="16">
        <f t="shared" si="7"/>
        <v>0.96803466148253914</v>
      </c>
      <c r="Q58" s="16">
        <f t="shared" si="8"/>
        <v>1.7513346376331012</v>
      </c>
      <c r="R58" s="16">
        <f t="shared" si="9"/>
        <v>40.060872366694554</v>
      </c>
      <c r="S58" s="16">
        <f t="shared" si="10"/>
        <v>13.385997230316697</v>
      </c>
      <c r="T58" s="16">
        <f t="shared" si="11"/>
        <v>10.015218091673638</v>
      </c>
      <c r="U58" s="16">
        <f t="shared" si="12"/>
        <v>30.08811879972961</v>
      </c>
      <c r="V58" s="16">
        <f t="shared" si="13"/>
        <v>7.7117179305887014</v>
      </c>
      <c r="W58" s="16">
        <f t="shared" si="14"/>
        <v>0.32267678512462178</v>
      </c>
      <c r="X58" s="16">
        <f t="shared" si="15"/>
        <v>1.6654995631500573</v>
      </c>
      <c r="Y58" s="16">
        <f t="shared" si="16"/>
        <v>4.1845721936606832</v>
      </c>
      <c r="Z58">
        <v>0.75</v>
      </c>
      <c r="AB58">
        <f t="shared" si="17"/>
        <v>1.2491246723625431</v>
      </c>
      <c r="AC58" s="56">
        <v>4.4000000000000004</v>
      </c>
      <c r="AD58">
        <f t="shared" ref="AD58" si="33">(AC58*30)*(125-0.2*AC58*30)/(125*30)</f>
        <v>3.4707199999999996</v>
      </c>
      <c r="AE58">
        <v>0</v>
      </c>
      <c r="AF58">
        <v>0</v>
      </c>
      <c r="AH58">
        <f t="shared" si="20"/>
        <v>119.45502311833499</v>
      </c>
      <c r="AN58">
        <f t="shared" si="18"/>
        <v>48</v>
      </c>
    </row>
    <row r="59" spans="1:40" ht="15.6">
      <c r="A59" s="1">
        <v>44365</v>
      </c>
      <c r="B59">
        <f t="shared" si="19"/>
        <v>169</v>
      </c>
      <c r="C59">
        <f t="shared" si="0"/>
        <v>25.200000000000003</v>
      </c>
      <c r="D59" s="25">
        <v>28.8</v>
      </c>
      <c r="E59" s="24">
        <v>21.6</v>
      </c>
      <c r="F59" s="27">
        <v>94</v>
      </c>
      <c r="G59" s="28">
        <v>6</v>
      </c>
      <c r="H59" s="29">
        <v>0</v>
      </c>
      <c r="I59" s="16">
        <f>4098*(0.6108*EXP(17.27*Tomato!C58/(Tomato!C58+237.3)))/(Tomato!C58+237.3)^2</f>
        <v>0.16460774689933025</v>
      </c>
      <c r="J59" s="16">
        <f t="shared" si="1"/>
        <v>0.36938214689933024</v>
      </c>
      <c r="K59" s="16">
        <f t="shared" si="2"/>
        <v>3.9596126295507381</v>
      </c>
      <c r="L59" s="16">
        <f t="shared" si="3"/>
        <v>2.5801527260359443</v>
      </c>
      <c r="M59" s="16">
        <f t="shared" si="4"/>
        <v>3.2698826777933414</v>
      </c>
      <c r="N59" s="16">
        <f t="shared" si="5"/>
        <v>3.0736897171257409</v>
      </c>
      <c r="O59" s="16">
        <f t="shared" si="6"/>
        <v>0.40842416977842444</v>
      </c>
      <c r="P59" s="16">
        <f t="shared" si="7"/>
        <v>0.96789833871152364</v>
      </c>
      <c r="Q59" s="16">
        <f t="shared" si="8"/>
        <v>1.7515520479323765</v>
      </c>
      <c r="R59" s="16">
        <f t="shared" si="9"/>
        <v>40.059273190589593</v>
      </c>
      <c r="S59" s="16">
        <f t="shared" si="10"/>
        <v>13.387658965088228</v>
      </c>
      <c r="T59" s="16">
        <f t="shared" si="11"/>
        <v>10.014818297647398</v>
      </c>
      <c r="U59" s="16">
        <f t="shared" si="12"/>
        <v>30.086917722524216</v>
      </c>
      <c r="V59" s="16">
        <f t="shared" si="13"/>
        <v>7.7114100891884965</v>
      </c>
      <c r="W59" s="16">
        <f t="shared" si="14"/>
        <v>0.36535156359191073</v>
      </c>
      <c r="X59" s="16">
        <f t="shared" si="15"/>
        <v>1.9835201697089364</v>
      </c>
      <c r="Y59" s="16">
        <f t="shared" si="16"/>
        <v>4.3373629799273958</v>
      </c>
      <c r="Z59">
        <v>0.75</v>
      </c>
      <c r="AB59">
        <f t="shared" si="17"/>
        <v>1.4876401272817024</v>
      </c>
      <c r="AC59" s="56">
        <v>80</v>
      </c>
      <c r="AD59">
        <f t="shared" ref="AD59" si="34">(125+0.1*AC59*30)/30</f>
        <v>12.166666666666666</v>
      </c>
      <c r="AE59">
        <v>0</v>
      </c>
      <c r="AF59">
        <v>0</v>
      </c>
      <c r="AH59">
        <f t="shared" si="20"/>
        <v>130.13404965771994</v>
      </c>
      <c r="AN59">
        <f t="shared" si="18"/>
        <v>49</v>
      </c>
    </row>
    <row r="60" spans="1:40" ht="15.6">
      <c r="A60" s="1">
        <v>44366</v>
      </c>
      <c r="B60">
        <f t="shared" si="19"/>
        <v>170</v>
      </c>
      <c r="C60">
        <f t="shared" si="0"/>
        <v>27.1</v>
      </c>
      <c r="D60" s="25">
        <v>30.2</v>
      </c>
      <c r="E60" s="24">
        <v>24</v>
      </c>
      <c r="F60" s="27">
        <v>85</v>
      </c>
      <c r="G60" s="28">
        <v>4</v>
      </c>
      <c r="H60" s="29">
        <v>0</v>
      </c>
      <c r="I60" s="16">
        <f>4098*(0.6108*EXP(17.27*Tomato!C59/(Tomato!C59+237.3)))/(Tomato!C59+237.3)^2</f>
        <v>0.15858864710297663</v>
      </c>
      <c r="J60" s="16">
        <f t="shared" si="1"/>
        <v>0.31755824710297664</v>
      </c>
      <c r="K60" s="16">
        <f t="shared" si="2"/>
        <v>4.2919830424837384</v>
      </c>
      <c r="L60" s="16">
        <f t="shared" si="3"/>
        <v>2.9839174771655594</v>
      </c>
      <c r="M60" s="16">
        <f t="shared" si="4"/>
        <v>3.6379502598246489</v>
      </c>
      <c r="N60" s="16">
        <f t="shared" si="5"/>
        <v>3.0922577208509514</v>
      </c>
      <c r="O60" s="16">
        <f t="shared" si="6"/>
        <v>0.40873698284889853</v>
      </c>
      <c r="P60" s="16">
        <f t="shared" si="7"/>
        <v>0.96777151871346312</v>
      </c>
      <c r="Q60" s="16">
        <f t="shared" si="8"/>
        <v>1.7517089090881914</v>
      </c>
      <c r="R60" s="16">
        <f t="shared" si="9"/>
        <v>40.056935728851748</v>
      </c>
      <c r="S60" s="16">
        <f t="shared" si="10"/>
        <v>13.388857903858788</v>
      </c>
      <c r="T60" s="16">
        <f t="shared" si="11"/>
        <v>10.014233932212937</v>
      </c>
      <c r="U60" s="16">
        <f t="shared" si="12"/>
        <v>30.08516214851139</v>
      </c>
      <c r="V60" s="16">
        <f t="shared" si="13"/>
        <v>7.7109601278039621</v>
      </c>
      <c r="W60" s="16">
        <f t="shared" si="14"/>
        <v>0.3717264839011627</v>
      </c>
      <c r="X60" s="16">
        <f t="shared" si="15"/>
        <v>2.8839629449813122</v>
      </c>
      <c r="Y60" s="16">
        <f t="shared" si="16"/>
        <v>4.2025018033748793</v>
      </c>
      <c r="Z60">
        <v>0.75</v>
      </c>
      <c r="AB60">
        <f t="shared" si="17"/>
        <v>2.1629722087359839</v>
      </c>
      <c r="AC60" s="56">
        <v>4.5999999999999996</v>
      </c>
      <c r="AD60">
        <f t="shared" ref="AD60:AD61" si="35">(AC60*30)*(125-0.2*AC60*30)/(125*30)</f>
        <v>3.5843200000000004</v>
      </c>
      <c r="AE60">
        <v>0</v>
      </c>
      <c r="AF60">
        <v>0</v>
      </c>
      <c r="AH60">
        <f t="shared" si="20"/>
        <v>131.55539744898397</v>
      </c>
      <c r="AN60">
        <f t="shared" si="18"/>
        <v>50</v>
      </c>
    </row>
    <row r="61" spans="1:40" ht="15.6">
      <c r="A61" s="1">
        <v>44367</v>
      </c>
      <c r="B61">
        <f t="shared" si="19"/>
        <v>171</v>
      </c>
      <c r="C61">
        <f t="shared" si="0"/>
        <v>27.25</v>
      </c>
      <c r="D61" s="25">
        <v>32.200000000000003</v>
      </c>
      <c r="E61" s="24">
        <v>22.3</v>
      </c>
      <c r="F61" s="27">
        <v>83</v>
      </c>
      <c r="G61" s="28">
        <v>6</v>
      </c>
      <c r="H61" s="29">
        <v>0</v>
      </c>
      <c r="I61" s="16">
        <f>4098*(0.6108*EXP(17.27*Tomato!C60/(Tomato!C60+237.3)))/(Tomato!C60+237.3)^2</f>
        <v>0.17036851144047491</v>
      </c>
      <c r="J61" s="16">
        <f t="shared" si="1"/>
        <v>0.37514291144047496</v>
      </c>
      <c r="K61" s="16">
        <f t="shared" si="2"/>
        <v>4.8087773652629577</v>
      </c>
      <c r="L61" s="16">
        <f t="shared" si="3"/>
        <v>2.6926645530366384</v>
      </c>
      <c r="M61" s="16">
        <f t="shared" si="4"/>
        <v>3.7507209591497981</v>
      </c>
      <c r="N61" s="16">
        <f t="shared" si="5"/>
        <v>3.1130983960943324</v>
      </c>
      <c r="O61" s="16">
        <f t="shared" si="6"/>
        <v>0.4089288010988435</v>
      </c>
      <c r="P61" s="16">
        <f t="shared" si="7"/>
        <v>0.9676542390297681</v>
      </c>
      <c r="Q61" s="16">
        <f t="shared" si="8"/>
        <v>1.7518051202385805</v>
      </c>
      <c r="R61" s="16">
        <f t="shared" si="9"/>
        <v>40.053864883635889</v>
      </c>
      <c r="S61" s="16">
        <f t="shared" si="10"/>
        <v>13.389593275708895</v>
      </c>
      <c r="T61" s="16">
        <f t="shared" si="11"/>
        <v>10.013466220908972</v>
      </c>
      <c r="U61" s="16">
        <f t="shared" si="12"/>
        <v>30.08285575950357</v>
      </c>
      <c r="V61" s="16">
        <f t="shared" si="13"/>
        <v>7.7103689900999086</v>
      </c>
      <c r="W61" s="16">
        <f t="shared" si="14"/>
        <v>0.36954663398674192</v>
      </c>
      <c r="X61" s="16">
        <f t="shared" si="15"/>
        <v>3.4192943530933522</v>
      </c>
      <c r="Y61" s="16">
        <f t="shared" si="16"/>
        <v>5.3277620519530338</v>
      </c>
      <c r="Z61">
        <v>0.75</v>
      </c>
      <c r="AB61">
        <f t="shared" si="17"/>
        <v>2.564470764820014</v>
      </c>
      <c r="AC61" s="56">
        <v>7.8</v>
      </c>
      <c r="AD61">
        <f t="shared" si="35"/>
        <v>4.8796799999999987</v>
      </c>
      <c r="AE61">
        <v>0</v>
      </c>
      <c r="AF61">
        <v>0</v>
      </c>
      <c r="AH61">
        <v>132</v>
      </c>
      <c r="AN61">
        <f t="shared" si="18"/>
        <v>51</v>
      </c>
    </row>
    <row r="62" spans="1:40" ht="15.6">
      <c r="A62" s="1">
        <v>44368</v>
      </c>
      <c r="B62">
        <f t="shared" si="19"/>
        <v>172</v>
      </c>
      <c r="C62">
        <f t="shared" si="0"/>
        <v>27.5</v>
      </c>
      <c r="D62" s="25">
        <v>33</v>
      </c>
      <c r="E62" s="24">
        <v>22</v>
      </c>
      <c r="F62" s="27">
        <v>80</v>
      </c>
      <c r="G62" s="28">
        <v>4</v>
      </c>
      <c r="H62" s="29">
        <v>2.1</v>
      </c>
      <c r="I62" s="16">
        <f>4098*(0.6108*EXP(17.27*Tomato!C61/(Tomato!C61+237.3)))/(Tomato!C61+237.3)^2</f>
        <v>0.17537501030785449</v>
      </c>
      <c r="J62" s="16">
        <f t="shared" si="1"/>
        <v>0.33434461030785451</v>
      </c>
      <c r="K62" s="16">
        <f t="shared" si="2"/>
        <v>5.030147795606851</v>
      </c>
      <c r="L62" s="16">
        <f t="shared" si="3"/>
        <v>2.6439311922105757</v>
      </c>
      <c r="M62" s="16">
        <f t="shared" si="4"/>
        <v>3.8370394939087134</v>
      </c>
      <c r="N62" s="16">
        <f t="shared" si="5"/>
        <v>3.069631595126971</v>
      </c>
      <c r="O62" s="16">
        <f t="shared" si="6"/>
        <v>0.40899956774598684</v>
      </c>
      <c r="P62" s="16">
        <f t="shared" si="7"/>
        <v>0.96754653437771376</v>
      </c>
      <c r="Q62" s="16">
        <f t="shared" si="8"/>
        <v>1.751840619453644</v>
      </c>
      <c r="R62" s="16">
        <f t="shared" si="9"/>
        <v>40.050064284380788</v>
      </c>
      <c r="S62" s="16">
        <f t="shared" si="10"/>
        <v>13.389864607288999</v>
      </c>
      <c r="T62" s="16">
        <f t="shared" si="11"/>
        <v>13.153142860981319</v>
      </c>
      <c r="U62" s="16">
        <f t="shared" si="12"/>
        <v>30.080001281427034</v>
      </c>
      <c r="V62" s="16">
        <f t="shared" si="13"/>
        <v>10.127920002955616</v>
      </c>
      <c r="W62" s="16">
        <f t="shared" si="14"/>
        <v>0.91377417522570059</v>
      </c>
      <c r="X62" s="16">
        <f t="shared" si="15"/>
        <v>3.8241347304114104</v>
      </c>
      <c r="Y62" s="16">
        <f t="shared" si="16"/>
        <v>5.6465835840517489</v>
      </c>
      <c r="Z62">
        <v>0.75</v>
      </c>
      <c r="AB62">
        <f t="shared" si="17"/>
        <v>2.8681010478085578</v>
      </c>
      <c r="AC62" s="56">
        <v>19</v>
      </c>
      <c r="AD62">
        <f t="shared" ref="AD62" si="36">(125+0.1*AC62*30)/30</f>
        <v>6.0666666666666664</v>
      </c>
      <c r="AE62">
        <v>0</v>
      </c>
      <c r="AF62">
        <v>0</v>
      </c>
      <c r="AH62">
        <v>132</v>
      </c>
      <c r="AN62">
        <f t="shared" si="18"/>
        <v>52</v>
      </c>
    </row>
    <row r="63" spans="1:40" ht="15.6">
      <c r="A63" s="1">
        <v>44369</v>
      </c>
      <c r="B63">
        <f t="shared" si="19"/>
        <v>173</v>
      </c>
      <c r="C63">
        <f t="shared" si="0"/>
        <v>26.4</v>
      </c>
      <c r="D63" s="25">
        <v>30.6</v>
      </c>
      <c r="E63" s="24">
        <v>22.2</v>
      </c>
      <c r="F63" s="27">
        <v>77</v>
      </c>
      <c r="G63" s="28">
        <v>4</v>
      </c>
      <c r="H63" s="29">
        <v>0</v>
      </c>
      <c r="I63" s="16">
        <f>4098*(0.6108*EXP(17.27*Tomato!C62/(Tomato!C62+237.3)))/(Tomato!C62+237.3)^2</f>
        <v>0.16460774689933025</v>
      </c>
      <c r="J63" s="16">
        <f t="shared" si="1"/>
        <v>0.32357734689933026</v>
      </c>
      <c r="K63" s="16">
        <f t="shared" si="2"/>
        <v>4.3912919467167955</v>
      </c>
      <c r="L63" s="16">
        <f t="shared" si="3"/>
        <v>2.6763336594163714</v>
      </c>
      <c r="M63" s="16">
        <f t="shared" si="4"/>
        <v>3.5338128030665832</v>
      </c>
      <c r="N63" s="16">
        <f t="shared" si="5"/>
        <v>2.7210358583612693</v>
      </c>
      <c r="O63" s="16">
        <f t="shared" si="6"/>
        <v>0.40894926184189939</v>
      </c>
      <c r="P63" s="16">
        <f t="shared" si="7"/>
        <v>0.96744843664016256</v>
      </c>
      <c r="Q63" s="16">
        <f t="shared" si="8"/>
        <v>1.7518153838703086</v>
      </c>
      <c r="R63" s="16">
        <f t="shared" si="9"/>
        <v>40.045536284653323</v>
      </c>
      <c r="S63" s="16">
        <f t="shared" si="10"/>
        <v>13.389671723849492</v>
      </c>
      <c r="T63" s="16">
        <f t="shared" si="11"/>
        <v>10.011384071163331</v>
      </c>
      <c r="U63" s="16">
        <f t="shared" si="12"/>
        <v>30.076600481951722</v>
      </c>
      <c r="V63" s="16">
        <f t="shared" si="13"/>
        <v>7.7087657347957652</v>
      </c>
      <c r="W63" s="16">
        <f t="shared" si="14"/>
        <v>0.4283670585246297</v>
      </c>
      <c r="X63" s="16">
        <f t="shared" si="15"/>
        <v>3.5455255477319945</v>
      </c>
      <c r="Y63" s="16">
        <f t="shared" si="16"/>
        <v>4.8139771612763047</v>
      </c>
      <c r="Z63">
        <v>0.75</v>
      </c>
      <c r="AB63">
        <f t="shared" si="17"/>
        <v>2.6591441607989958</v>
      </c>
      <c r="AC63" s="56">
        <v>1.2</v>
      </c>
      <c r="AD63">
        <f t="shared" ref="AD63:AD98" si="37">(AC63*30)*(125-0.2*AC63*30)/(125*30)</f>
        <v>1.1308800000000001</v>
      </c>
      <c r="AE63">
        <v>0</v>
      </c>
      <c r="AF63">
        <v>0</v>
      </c>
      <c r="AH63">
        <f t="shared" si="20"/>
        <v>130.47173583920099</v>
      </c>
      <c r="AN63">
        <f t="shared" si="18"/>
        <v>53</v>
      </c>
    </row>
    <row r="64" spans="1:40" ht="15.6">
      <c r="A64" s="1">
        <v>44370</v>
      </c>
      <c r="B64">
        <f t="shared" si="19"/>
        <v>174</v>
      </c>
      <c r="C64">
        <f t="shared" si="0"/>
        <v>27.6</v>
      </c>
      <c r="D64" s="25">
        <v>31.2</v>
      </c>
      <c r="E64" s="24">
        <v>24</v>
      </c>
      <c r="F64" s="27">
        <v>80</v>
      </c>
      <c r="G64" s="28">
        <v>6</v>
      </c>
      <c r="H64" s="29">
        <v>0</v>
      </c>
      <c r="I64" s="16">
        <f>4098*(0.6108*EXP(17.27*Tomato!C63/(Tomato!C63+237.3)))/(Tomato!C63+237.3)^2</f>
        <v>0.16768890664106281</v>
      </c>
      <c r="J64" s="16">
        <f t="shared" si="1"/>
        <v>0.37246330664106286</v>
      </c>
      <c r="K64" s="16">
        <f t="shared" si="2"/>
        <v>4.5439995866454055</v>
      </c>
      <c r="L64" s="16">
        <f t="shared" si="3"/>
        <v>2.9839174771655594</v>
      </c>
      <c r="M64" s="16">
        <f t="shared" si="4"/>
        <v>3.7639585319054825</v>
      </c>
      <c r="N64" s="16">
        <f t="shared" si="5"/>
        <v>3.011166825524386</v>
      </c>
      <c r="O64" s="16">
        <f t="shared" si="6"/>
        <v>0.40877789827819627</v>
      </c>
      <c r="P64" s="16">
        <f t="shared" si="7"/>
        <v>0.96735997485612646</v>
      </c>
      <c r="Q64" s="16">
        <f t="shared" si="8"/>
        <v>1.7517294297421147</v>
      </c>
      <c r="R64" s="16">
        <f t="shared" si="9"/>
        <v>40.040281960893068</v>
      </c>
      <c r="S64" s="16">
        <f t="shared" si="10"/>
        <v>13.389014749621259</v>
      </c>
      <c r="T64" s="16">
        <f t="shared" si="11"/>
        <v>10.010070490223267</v>
      </c>
      <c r="U64" s="16">
        <f t="shared" si="12"/>
        <v>30.072654169548347</v>
      </c>
      <c r="V64" s="16">
        <f t="shared" si="13"/>
        <v>7.7077542774719161</v>
      </c>
      <c r="W64" s="16">
        <f t="shared" si="14"/>
        <v>0.38725552903198507</v>
      </c>
      <c r="X64" s="16">
        <f t="shared" si="15"/>
        <v>3.7903603410687778</v>
      </c>
      <c r="Y64" s="16">
        <f t="shared" si="16"/>
        <v>4.5772773387384929</v>
      </c>
      <c r="Z64">
        <v>0.75</v>
      </c>
      <c r="AB64">
        <f t="shared" si="17"/>
        <v>2.8427702558015833</v>
      </c>
      <c r="AC64" s="56">
        <v>0</v>
      </c>
      <c r="AD64">
        <f t="shared" si="37"/>
        <v>0</v>
      </c>
      <c r="AE64">
        <v>0</v>
      </c>
      <c r="AF64">
        <v>0</v>
      </c>
      <c r="AH64">
        <f t="shared" si="20"/>
        <v>127.62896558339941</v>
      </c>
      <c r="AN64">
        <f t="shared" si="18"/>
        <v>54</v>
      </c>
    </row>
    <row r="65" spans="1:40" ht="15.6">
      <c r="A65" s="1">
        <v>44371</v>
      </c>
      <c r="B65">
        <f t="shared" si="19"/>
        <v>175</v>
      </c>
      <c r="C65">
        <f t="shared" si="0"/>
        <v>28.35</v>
      </c>
      <c r="D65" s="25">
        <v>32.5</v>
      </c>
      <c r="E65" s="24">
        <v>24.2</v>
      </c>
      <c r="F65" s="27">
        <v>76</v>
      </c>
      <c r="G65" s="28">
        <v>4</v>
      </c>
      <c r="H65" s="29">
        <v>7.8</v>
      </c>
      <c r="I65" s="16">
        <f>4098*(0.6108*EXP(17.27*Tomato!C64/(Tomato!C64+237.3)))/(Tomato!C64+237.3)^2</f>
        <v>0.17399745174765596</v>
      </c>
      <c r="J65" s="16">
        <f t="shared" si="1"/>
        <v>0.33296705174765595</v>
      </c>
      <c r="K65" s="16">
        <f t="shared" si="2"/>
        <v>4.8907789302521092</v>
      </c>
      <c r="L65" s="16">
        <f t="shared" si="3"/>
        <v>3.0199258182559934</v>
      </c>
      <c r="M65" s="16">
        <f t="shared" si="4"/>
        <v>3.9553523742540513</v>
      </c>
      <c r="N65" s="16">
        <f t="shared" si="5"/>
        <v>3.0060678044330791</v>
      </c>
      <c r="O65" s="16">
        <f t="shared" si="6"/>
        <v>0.40848552778212865</v>
      </c>
      <c r="P65" s="16">
        <f t="shared" si="7"/>
        <v>0.96728117521217094</v>
      </c>
      <c r="Q65" s="16">
        <f t="shared" si="8"/>
        <v>1.7515828124038206</v>
      </c>
      <c r="R65" s="16">
        <f t="shared" si="9"/>
        <v>40.03430111305498</v>
      </c>
      <c r="S65" s="16">
        <f t="shared" si="10"/>
        <v>13.387894107545126</v>
      </c>
      <c r="T65" s="16">
        <f t="shared" si="11"/>
        <v>21.670885503209487</v>
      </c>
      <c r="U65" s="16">
        <f t="shared" si="12"/>
        <v>30.068162193971069</v>
      </c>
      <c r="V65" s="16">
        <f t="shared" si="13"/>
        <v>16.686581837471305</v>
      </c>
      <c r="W65" s="16">
        <f t="shared" si="14"/>
        <v>2.4581292522433893</v>
      </c>
      <c r="X65" s="16">
        <f t="shared" si="15"/>
        <v>5.327793576064086</v>
      </c>
      <c r="Y65" s="16">
        <f t="shared" si="16"/>
        <v>4.9949483524565101</v>
      </c>
      <c r="Z65">
        <v>0.75</v>
      </c>
      <c r="AB65">
        <f t="shared" si="17"/>
        <v>3.9958451820480647</v>
      </c>
      <c r="AC65" s="56">
        <v>0</v>
      </c>
      <c r="AD65">
        <f t="shared" si="37"/>
        <v>0</v>
      </c>
      <c r="AE65">
        <v>0</v>
      </c>
      <c r="AF65">
        <v>0</v>
      </c>
      <c r="AH65">
        <f t="shared" si="20"/>
        <v>123.63312040135133</v>
      </c>
      <c r="AN65">
        <f t="shared" si="18"/>
        <v>55</v>
      </c>
    </row>
    <row r="66" spans="1:40" ht="15.6">
      <c r="A66" s="1">
        <v>44372</v>
      </c>
      <c r="B66">
        <f t="shared" si="19"/>
        <v>176</v>
      </c>
      <c r="C66">
        <f t="shared" si="0"/>
        <v>29.5</v>
      </c>
      <c r="D66" s="25">
        <v>33.6</v>
      </c>
      <c r="E66" s="24">
        <v>25.4</v>
      </c>
      <c r="F66" s="27">
        <v>76</v>
      </c>
      <c r="G66" s="28">
        <v>5</v>
      </c>
      <c r="H66" s="29">
        <v>5.6</v>
      </c>
      <c r="I66" s="16">
        <f>4098*(0.6108*EXP(17.27*Tomato!C65/(Tomato!C65+237.3)))/(Tomato!C65+237.3)^2</f>
        <v>0.18527790820050849</v>
      </c>
      <c r="J66" s="16">
        <f t="shared" si="1"/>
        <v>0.36714990820050852</v>
      </c>
      <c r="K66" s="16">
        <f t="shared" si="2"/>
        <v>5.2019304560289008</v>
      </c>
      <c r="L66" s="16">
        <f t="shared" si="3"/>
        <v>3.2440422381586771</v>
      </c>
      <c r="M66" s="16">
        <f t="shared" si="4"/>
        <v>4.222986347093789</v>
      </c>
      <c r="N66" s="16">
        <f t="shared" si="5"/>
        <v>3.2094696237912794</v>
      </c>
      <c r="O66" s="16">
        <f t="shared" si="6"/>
        <v>0.40807223690156774</v>
      </c>
      <c r="P66" s="16">
        <f t="shared" si="7"/>
        <v>0.96721206103466251</v>
      </c>
      <c r="Q66" s="16">
        <f t="shared" si="8"/>
        <v>1.7513756261509703</v>
      </c>
      <c r="R66" s="16">
        <f t="shared" si="9"/>
        <v>40.027592267147668</v>
      </c>
      <c r="S66" s="16">
        <f t="shared" si="10"/>
        <v>13.386310518351365</v>
      </c>
      <c r="T66" s="16">
        <f t="shared" si="11"/>
        <v>18.379425970899565</v>
      </c>
      <c r="U66" s="16">
        <f t="shared" si="12"/>
        <v>30.063123448163925</v>
      </c>
      <c r="V66" s="16">
        <f t="shared" si="13"/>
        <v>14.152157997592665</v>
      </c>
      <c r="W66" s="16">
        <f t="shared" si="14"/>
        <v>1.7461386973814241</v>
      </c>
      <c r="X66" s="16">
        <f t="shared" si="15"/>
        <v>5.3204617040664886</v>
      </c>
      <c r="Y66" s="16">
        <f t="shared" si="16"/>
        <v>5.0876301614078105</v>
      </c>
      <c r="Z66">
        <v>0.75</v>
      </c>
      <c r="AB66">
        <f t="shared" si="17"/>
        <v>3.9903462780498664</v>
      </c>
      <c r="AC66" s="56">
        <v>0</v>
      </c>
      <c r="AD66">
        <f t="shared" si="37"/>
        <v>0</v>
      </c>
      <c r="AE66">
        <v>0</v>
      </c>
      <c r="AF66">
        <v>0</v>
      </c>
      <c r="AH66">
        <f t="shared" si="20"/>
        <v>119.64277412330146</v>
      </c>
      <c r="AN66">
        <f t="shared" si="18"/>
        <v>56</v>
      </c>
    </row>
    <row r="67" spans="1:40" ht="15.6">
      <c r="A67" s="1">
        <v>44373</v>
      </c>
      <c r="B67">
        <f t="shared" si="19"/>
        <v>177</v>
      </c>
      <c r="C67">
        <f t="shared" si="0"/>
        <v>29.85</v>
      </c>
      <c r="D67" s="25">
        <v>33.4</v>
      </c>
      <c r="E67" s="24">
        <v>26.3</v>
      </c>
      <c r="F67" s="27">
        <v>78</v>
      </c>
      <c r="G67" s="28">
        <v>5</v>
      </c>
      <c r="H67" s="29">
        <v>6.5</v>
      </c>
      <c r="I67" s="16">
        <f>4098*(0.6108*EXP(17.27*Tomato!C66/(Tomato!C66+237.3)))/(Tomato!C66+237.3)^2</f>
        <v>0.19363585091694491</v>
      </c>
      <c r="J67" s="16">
        <f t="shared" si="1"/>
        <v>0.37550785091694494</v>
      </c>
      <c r="K67" s="16">
        <f t="shared" si="2"/>
        <v>5.1441125216319277</v>
      </c>
      <c r="L67" s="16">
        <f t="shared" si="3"/>
        <v>3.4215146678582187</v>
      </c>
      <c r="M67" s="16">
        <f t="shared" si="4"/>
        <v>4.2828135947450736</v>
      </c>
      <c r="N67" s="16">
        <f t="shared" si="5"/>
        <v>3.3405946039011574</v>
      </c>
      <c r="O67" s="16">
        <f t="shared" si="6"/>
        <v>0.40753814797938431</v>
      </c>
      <c r="P67" s="16">
        <f t="shared" si="7"/>
        <v>0.96715265278286466</v>
      </c>
      <c r="Q67" s="16">
        <f t="shared" si="8"/>
        <v>1.7511080040349629</v>
      </c>
      <c r="R67" s="16">
        <f t="shared" si="9"/>
        <v>40.020152679665138</v>
      </c>
      <c r="S67" s="16">
        <f t="shared" si="10"/>
        <v>13.384264998993347</v>
      </c>
      <c r="T67" s="16">
        <f t="shared" si="11"/>
        <v>19.722829637635591</v>
      </c>
      <c r="U67" s="16">
        <f t="shared" si="12"/>
        <v>30.057535871589298</v>
      </c>
      <c r="V67" s="16">
        <f t="shared" si="13"/>
        <v>15.186578820979406</v>
      </c>
      <c r="W67" s="16">
        <f t="shared" si="14"/>
        <v>1.8644957370400854</v>
      </c>
      <c r="X67" s="16">
        <f t="shared" si="15"/>
        <v>5.3142676607997164</v>
      </c>
      <c r="Y67" s="16">
        <f t="shared" si="16"/>
        <v>4.7682478278567979</v>
      </c>
      <c r="Z67">
        <v>0.75</v>
      </c>
      <c r="AB67">
        <f t="shared" si="17"/>
        <v>3.9857007455997873</v>
      </c>
      <c r="AC67" s="57">
        <v>0</v>
      </c>
      <c r="AD67">
        <f t="shared" si="37"/>
        <v>0</v>
      </c>
      <c r="AE67">
        <v>0</v>
      </c>
      <c r="AF67">
        <v>0</v>
      </c>
      <c r="AH67">
        <f t="shared" si="20"/>
        <v>115.65707337770168</v>
      </c>
      <c r="AN67">
        <f t="shared" si="18"/>
        <v>57</v>
      </c>
    </row>
    <row r="68" spans="1:40" ht="15.6">
      <c r="A68" s="1">
        <v>44374</v>
      </c>
      <c r="B68">
        <f t="shared" si="19"/>
        <v>178</v>
      </c>
      <c r="C68">
        <f t="shared" si="0"/>
        <v>29.7</v>
      </c>
      <c r="D68" s="25">
        <v>33.4</v>
      </c>
      <c r="E68" s="24">
        <v>26</v>
      </c>
      <c r="F68" s="27">
        <v>79</v>
      </c>
      <c r="G68" s="28">
        <v>6</v>
      </c>
      <c r="H68" s="29">
        <v>6.9</v>
      </c>
      <c r="I68" s="16">
        <f>4098*(0.6108*EXP(17.27*Tomato!C67/(Tomato!C67+237.3)))/(Tomato!C67+237.3)^2</f>
        <v>0.19869895242110683</v>
      </c>
      <c r="J68" s="16">
        <f t="shared" si="1"/>
        <v>0.40347335242110682</v>
      </c>
      <c r="K68" s="16">
        <f t="shared" si="2"/>
        <v>5.1441125216319277</v>
      </c>
      <c r="L68" s="16">
        <f t="shared" si="3"/>
        <v>3.3614398286025637</v>
      </c>
      <c r="M68" s="16">
        <f t="shared" si="4"/>
        <v>4.2527761751172459</v>
      </c>
      <c r="N68" s="16">
        <f t="shared" si="5"/>
        <v>3.3596931783426243</v>
      </c>
      <c r="O68" s="16">
        <f t="shared" si="6"/>
        <v>0.40688341911723303</v>
      </c>
      <c r="P68" s="16">
        <f t="shared" si="7"/>
        <v>0.96710296804288032</v>
      </c>
      <c r="Q68" s="16">
        <f t="shared" si="8"/>
        <v>1.7507801175745219</v>
      </c>
      <c r="R68" s="16">
        <f t="shared" si="9"/>
        <v>40.011978343909732</v>
      </c>
      <c r="S68" s="16">
        <f t="shared" si="10"/>
        <v>13.381758860442206</v>
      </c>
      <c r="T68" s="16">
        <f t="shared" si="11"/>
        <v>20.318628481799028</v>
      </c>
      <c r="U68" s="16">
        <f t="shared" si="12"/>
        <v>30.051396454976842</v>
      </c>
      <c r="V68" s="16">
        <f t="shared" si="13"/>
        <v>15.645343930985252</v>
      </c>
      <c r="W68" s="16">
        <f t="shared" si="14"/>
        <v>1.9375529048763367</v>
      </c>
      <c r="X68" s="16">
        <f t="shared" si="15"/>
        <v>5.414151531894162</v>
      </c>
      <c r="Y68" s="16">
        <f t="shared" si="16"/>
        <v>4.8516279984264852</v>
      </c>
      <c r="Z68">
        <v>0.75</v>
      </c>
      <c r="AB68">
        <f t="shared" si="17"/>
        <v>4.0606136489206213</v>
      </c>
      <c r="AC68" s="57">
        <v>0</v>
      </c>
      <c r="AD68">
        <f t="shared" si="37"/>
        <v>0</v>
      </c>
      <c r="AE68">
        <v>0</v>
      </c>
      <c r="AF68">
        <v>0</v>
      </c>
      <c r="AH68">
        <f t="shared" si="20"/>
        <v>111.59645972878106</v>
      </c>
      <c r="AN68">
        <f t="shared" si="18"/>
        <v>58</v>
      </c>
    </row>
    <row r="69" spans="1:40" ht="15.6">
      <c r="A69" s="1">
        <v>44375</v>
      </c>
      <c r="B69">
        <f t="shared" si="19"/>
        <v>179</v>
      </c>
      <c r="C69">
        <f t="shared" si="0"/>
        <v>29.35</v>
      </c>
      <c r="D69" s="25">
        <v>33.5</v>
      </c>
      <c r="E69" s="24">
        <v>25.2</v>
      </c>
      <c r="F69" s="27">
        <v>76</v>
      </c>
      <c r="G69" s="28">
        <v>5</v>
      </c>
      <c r="H69" s="29">
        <v>5.5</v>
      </c>
      <c r="I69" s="16">
        <f>4098*(0.6108*EXP(17.27*Tomato!C68/(Tomato!C68+237.3)))/(Tomato!C68+237.3)^2</f>
        <v>0.21184640181521044</v>
      </c>
      <c r="J69" s="16">
        <f t="shared" si="1"/>
        <v>0.39371840181521045</v>
      </c>
      <c r="K69" s="16">
        <f t="shared" si="2"/>
        <v>5.1729513859624818</v>
      </c>
      <c r="L69" s="16">
        <f t="shared" si="3"/>
        <v>3.2057122429156886</v>
      </c>
      <c r="M69" s="16">
        <f t="shared" si="4"/>
        <v>4.1893318144390852</v>
      </c>
      <c r="N69" s="16">
        <f t="shared" si="5"/>
        <v>3.1838921789737049</v>
      </c>
      <c r="O69" s="16">
        <f t="shared" si="6"/>
        <v>0.40610824412875079</v>
      </c>
      <c r="P69" s="16">
        <f t="shared" si="7"/>
        <v>0.96706302152244694</v>
      </c>
      <c r="Q69" s="16">
        <f t="shared" si="8"/>
        <v>1.7503921763848351</v>
      </c>
      <c r="R69" s="16">
        <f t="shared" si="9"/>
        <v>40.003063998203714</v>
      </c>
      <c r="S69" s="16">
        <f t="shared" si="10"/>
        <v>13.378793704852242</v>
      </c>
      <c r="T69" s="16">
        <f t="shared" si="11"/>
        <v>18.223362776356165</v>
      </c>
      <c r="U69" s="16">
        <f t="shared" si="12"/>
        <v>30.044701246490881</v>
      </c>
      <c r="V69" s="16">
        <f t="shared" si="13"/>
        <v>14.031989337794247</v>
      </c>
      <c r="W69" s="16">
        <f t="shared" si="14"/>
        <v>1.7381734882063542</v>
      </c>
      <c r="X69" s="16">
        <f t="shared" si="15"/>
        <v>5.2590777130503987</v>
      </c>
      <c r="Y69" s="16">
        <f t="shared" si="16"/>
        <v>5.0991994508682108</v>
      </c>
      <c r="Z69">
        <v>0.75</v>
      </c>
      <c r="AB69">
        <f t="shared" si="17"/>
        <v>3.944308284787799</v>
      </c>
      <c r="AC69" s="57">
        <v>20</v>
      </c>
      <c r="AD69">
        <f t="shared" ref="AD69" si="38">(125+0.1*AC69*30)/30</f>
        <v>6.166666666666667</v>
      </c>
      <c r="AE69">
        <v>0</v>
      </c>
      <c r="AF69">
        <v>0</v>
      </c>
      <c r="AH69">
        <f t="shared" si="20"/>
        <v>113.81881811065993</v>
      </c>
      <c r="AN69">
        <f t="shared" si="18"/>
        <v>59</v>
      </c>
    </row>
    <row r="70" spans="1:40" ht="15.6">
      <c r="A70" s="1">
        <v>44376</v>
      </c>
      <c r="B70">
        <f t="shared" si="19"/>
        <v>180</v>
      </c>
      <c r="C70">
        <f t="shared" si="0"/>
        <v>29.299999999999997</v>
      </c>
      <c r="D70" s="25">
        <v>33.299999999999997</v>
      </c>
      <c r="E70" s="24">
        <v>25.3</v>
      </c>
      <c r="F70" s="27">
        <v>79</v>
      </c>
      <c r="G70" s="28">
        <v>6</v>
      </c>
      <c r="H70" s="29">
        <v>1.9</v>
      </c>
      <c r="I70" s="16">
        <f>4098*(0.6108*EXP(17.27*Tomato!C69/(Tomato!C69+237.3)))/(Tomato!C69+237.3)^2</f>
        <v>0.21238715151384185</v>
      </c>
      <c r="J70" s="16">
        <f t="shared" si="1"/>
        <v>0.41716155151384188</v>
      </c>
      <c r="K70" s="16">
        <f t="shared" si="2"/>
        <v>5.1154132953859861</v>
      </c>
      <c r="L70" s="16">
        <f t="shared" si="3"/>
        <v>3.2248275907111101</v>
      </c>
      <c r="M70" s="16">
        <f t="shared" si="4"/>
        <v>4.1701204430485479</v>
      </c>
      <c r="N70" s="16">
        <f t="shared" si="5"/>
        <v>3.294395150008353</v>
      </c>
      <c r="O70" s="16">
        <f t="shared" si="6"/>
        <v>0.40521285248218381</v>
      </c>
      <c r="P70" s="16">
        <f t="shared" si="7"/>
        <v>0.96703282504658239</v>
      </c>
      <c r="Q70" s="16">
        <f t="shared" si="8"/>
        <v>1.7499444277259828</v>
      </c>
      <c r="R70" s="16">
        <f t="shared" si="9"/>
        <v>39.993403135987364</v>
      </c>
      <c r="S70" s="16">
        <f t="shared" si="10"/>
        <v>13.375371422109422</v>
      </c>
      <c r="T70" s="16">
        <f t="shared" si="11"/>
        <v>12.838924834627282</v>
      </c>
      <c r="U70" s="16">
        <f t="shared" si="12"/>
        <v>30.037445359314667</v>
      </c>
      <c r="V70" s="16">
        <f t="shared" si="13"/>
        <v>9.8859721226630075</v>
      </c>
      <c r="W70" s="16">
        <f t="shared" si="14"/>
        <v>0.80100471882466862</v>
      </c>
      <c r="X70" s="16">
        <f t="shared" si="15"/>
        <v>4.4130846960634047</v>
      </c>
      <c r="Y70" s="16">
        <f t="shared" si="16"/>
        <v>4.9996805987808415</v>
      </c>
      <c r="Z70">
        <v>0.75</v>
      </c>
      <c r="AB70">
        <f t="shared" si="17"/>
        <v>3.3098135220475537</v>
      </c>
      <c r="AC70" s="57">
        <v>0</v>
      </c>
      <c r="AD70">
        <f t="shared" si="37"/>
        <v>0</v>
      </c>
      <c r="AE70">
        <v>0</v>
      </c>
      <c r="AF70">
        <v>0</v>
      </c>
      <c r="AH70">
        <f t="shared" si="20"/>
        <v>110.50900458861238</v>
      </c>
      <c r="AN70">
        <f t="shared" si="18"/>
        <v>60</v>
      </c>
    </row>
    <row r="71" spans="1:40" ht="15.6">
      <c r="A71" s="1">
        <v>44377</v>
      </c>
      <c r="B71">
        <f t="shared" si="19"/>
        <v>181</v>
      </c>
      <c r="C71">
        <f t="shared" si="0"/>
        <v>29.65</v>
      </c>
      <c r="D71" s="25">
        <v>34</v>
      </c>
      <c r="E71" s="24">
        <v>25.3</v>
      </c>
      <c r="F71" s="27">
        <v>79</v>
      </c>
      <c r="G71" s="28">
        <v>5</v>
      </c>
      <c r="H71" s="29">
        <v>0</v>
      </c>
      <c r="I71" s="16">
        <f>4098*(0.6108*EXP(17.27*Tomato!C70/(Tomato!C70+237.3)))/(Tomato!C70+237.3)^2</f>
        <v>0.20809346882072433</v>
      </c>
      <c r="J71" s="16">
        <f t="shared" si="1"/>
        <v>0.38996546882072436</v>
      </c>
      <c r="K71" s="16">
        <f t="shared" si="2"/>
        <v>5.3192602098598769</v>
      </c>
      <c r="L71" s="16">
        <f t="shared" si="3"/>
        <v>3.2248275907111101</v>
      </c>
      <c r="M71" s="16">
        <f t="shared" si="4"/>
        <v>4.2720439002854933</v>
      </c>
      <c r="N71" s="16">
        <f t="shared" si="5"/>
        <v>3.3749146812255399</v>
      </c>
      <c r="O71" s="16">
        <f t="shared" si="6"/>
        <v>0.40419750923246001</v>
      </c>
      <c r="P71" s="16">
        <f t="shared" si="7"/>
        <v>0.96701238755408414</v>
      </c>
      <c r="Q71" s="16">
        <f t="shared" si="8"/>
        <v>1.7494371559726292</v>
      </c>
      <c r="R71" s="16">
        <f t="shared" si="9"/>
        <v>39.982988017800771</v>
      </c>
      <c r="S71" s="16">
        <f t="shared" si="10"/>
        <v>13.371494185778058</v>
      </c>
      <c r="T71" s="16">
        <f t="shared" si="11"/>
        <v>9.9957470044501928</v>
      </c>
      <c r="U71" s="16">
        <f t="shared" si="12"/>
        <v>30.029622980649446</v>
      </c>
      <c r="V71" s="16">
        <f t="shared" si="13"/>
        <v>7.6967251934266487</v>
      </c>
      <c r="W71" s="16">
        <f t="shared" si="14"/>
        <v>0.33960909421721036</v>
      </c>
      <c r="X71" s="16">
        <f t="shared" si="15"/>
        <v>3.9058773225818584</v>
      </c>
      <c r="Y71" s="16">
        <f t="shared" si="16"/>
        <v>5.251206403532545</v>
      </c>
      <c r="Z71">
        <v>0.75</v>
      </c>
      <c r="AB71">
        <f t="shared" si="17"/>
        <v>2.9294079919363938</v>
      </c>
      <c r="AC71" s="57">
        <v>0</v>
      </c>
      <c r="AD71">
        <f t="shared" si="37"/>
        <v>0</v>
      </c>
      <c r="AE71">
        <v>0</v>
      </c>
      <c r="AF71">
        <v>0</v>
      </c>
      <c r="AH71">
        <f t="shared" si="20"/>
        <v>107.579596596676</v>
      </c>
      <c r="AN71">
        <f t="shared" si="18"/>
        <v>61</v>
      </c>
    </row>
    <row r="72" spans="1:40" ht="15.6">
      <c r="A72" s="1">
        <v>44378</v>
      </c>
      <c r="B72">
        <f t="shared" si="19"/>
        <v>182</v>
      </c>
      <c r="C72">
        <f t="shared" si="0"/>
        <v>27.599999999999998</v>
      </c>
      <c r="D72" s="31">
        <v>32.799999999999997</v>
      </c>
      <c r="E72" s="30">
        <v>22.4</v>
      </c>
      <c r="F72" s="33">
        <v>81</v>
      </c>
      <c r="G72" s="34">
        <v>6</v>
      </c>
      <c r="H72" s="35">
        <v>0</v>
      </c>
      <c r="I72" s="16">
        <f>4098*(0.6108*EXP(17.27*Tomato!C71/(Tomato!C71+237.3)))/(Tomato!C71+237.3)^2</f>
        <v>0.21347213281933025</v>
      </c>
      <c r="J72" s="16">
        <f t="shared" si="1"/>
        <v>0.41824653281933027</v>
      </c>
      <c r="K72" s="16">
        <f t="shared" si="2"/>
        <v>4.9739919933544527</v>
      </c>
      <c r="L72" s="16">
        <f t="shared" si="3"/>
        <v>2.7090824052161175</v>
      </c>
      <c r="M72" s="16">
        <f t="shared" si="4"/>
        <v>3.8415371992852849</v>
      </c>
      <c r="N72" s="16">
        <f t="shared" si="5"/>
        <v>3.1116451314210809</v>
      </c>
      <c r="O72" s="16">
        <f t="shared" si="6"/>
        <v>0.4030625149427276</v>
      </c>
      <c r="P72" s="16">
        <f t="shared" si="7"/>
        <v>0.96700171509488375</v>
      </c>
      <c r="Q72" s="16">
        <f t="shared" si="8"/>
        <v>1.7488706820072708</v>
      </c>
      <c r="R72" s="16">
        <f t="shared" si="9"/>
        <v>39.971809685146646</v>
      </c>
      <c r="S72" s="16">
        <f t="shared" si="10"/>
        <v>13.367164448463216</v>
      </c>
      <c r="T72" s="16">
        <f t="shared" si="11"/>
        <v>9.9929524212866614</v>
      </c>
      <c r="U72" s="16">
        <f t="shared" si="12"/>
        <v>30.021227382126238</v>
      </c>
      <c r="V72" s="16">
        <f t="shared" si="13"/>
        <v>7.6945733643907293</v>
      </c>
      <c r="W72" s="16">
        <f t="shared" si="14"/>
        <v>0.37156310970307493</v>
      </c>
      <c r="X72" s="16">
        <f t="shared" si="15"/>
        <v>3.6366652318831743</v>
      </c>
      <c r="Y72" s="16">
        <f t="shared" si="16"/>
        <v>5.4917951927183832</v>
      </c>
      <c r="Z72">
        <v>0.75</v>
      </c>
      <c r="AB72">
        <f t="shared" si="17"/>
        <v>2.7274989239123806</v>
      </c>
      <c r="AC72" s="59">
        <v>1.8</v>
      </c>
      <c r="AD72">
        <f t="shared" si="37"/>
        <v>1.6444799999999999</v>
      </c>
      <c r="AE72">
        <v>0</v>
      </c>
      <c r="AF72">
        <v>0</v>
      </c>
      <c r="AH72">
        <f t="shared" si="20"/>
        <v>106.49657767276362</v>
      </c>
      <c r="AN72">
        <f t="shared" si="18"/>
        <v>62</v>
      </c>
    </row>
    <row r="73" spans="1:40" ht="15.6">
      <c r="A73" s="1">
        <v>44379</v>
      </c>
      <c r="B73">
        <f t="shared" si="19"/>
        <v>183</v>
      </c>
      <c r="C73">
        <f t="shared" si="0"/>
        <v>27.9</v>
      </c>
      <c r="D73" s="31">
        <v>33</v>
      </c>
      <c r="E73" s="30">
        <v>22.8</v>
      </c>
      <c r="F73" s="33">
        <v>74</v>
      </c>
      <c r="G73" s="34">
        <v>5</v>
      </c>
      <c r="H73" s="35">
        <v>0</v>
      </c>
      <c r="I73" s="16">
        <f>4098*(0.6108*EXP(17.27*Tomato!C72/(Tomato!C72+237.3)))/(Tomato!C72+237.3)^2</f>
        <v>0.19313557107365051</v>
      </c>
      <c r="J73" s="16">
        <f t="shared" si="1"/>
        <v>0.37500757107365057</v>
      </c>
      <c r="K73" s="16">
        <f t="shared" si="2"/>
        <v>5.030147795606851</v>
      </c>
      <c r="L73" s="16">
        <f t="shared" si="3"/>
        <v>2.7756312335019815</v>
      </c>
      <c r="M73" s="16">
        <f t="shared" si="4"/>
        <v>3.902889514554416</v>
      </c>
      <c r="N73" s="16">
        <f t="shared" si="5"/>
        <v>2.8881382407702678</v>
      </c>
      <c r="O73" s="16">
        <f t="shared" si="6"/>
        <v>0.40180820559538133</v>
      </c>
      <c r="P73" s="16">
        <f t="shared" si="7"/>
        <v>0.96700081082825562</v>
      </c>
      <c r="Q73" s="16">
        <f t="shared" si="8"/>
        <v>1.7482453625396568</v>
      </c>
      <c r="R73" s="16">
        <f t="shared" si="9"/>
        <v>39.959857976230701</v>
      </c>
      <c r="S73" s="16">
        <f t="shared" si="10"/>
        <v>13.362384936608843</v>
      </c>
      <c r="T73" s="16">
        <f t="shared" si="11"/>
        <v>9.9899644940576753</v>
      </c>
      <c r="U73" s="16">
        <f t="shared" si="12"/>
        <v>30.012250931627829</v>
      </c>
      <c r="V73" s="16">
        <f t="shared" si="13"/>
        <v>7.6922726604244103</v>
      </c>
      <c r="W73" s="16">
        <f t="shared" si="14"/>
        <v>0.40924255197196086</v>
      </c>
      <c r="X73" s="16">
        <f t="shared" si="15"/>
        <v>4.256276046994401</v>
      </c>
      <c r="Y73" s="16">
        <f t="shared" si="16"/>
        <v>5.4730349445824453</v>
      </c>
      <c r="Z73">
        <v>0.75</v>
      </c>
      <c r="AB73">
        <f t="shared" si="17"/>
        <v>3.1922070352458007</v>
      </c>
      <c r="AC73" s="59">
        <v>10.5</v>
      </c>
      <c r="AD73">
        <f t="shared" ref="AD73" si="39">(125+0.1*AC73*30)/30</f>
        <v>5.2166666666666668</v>
      </c>
      <c r="AE73">
        <v>0</v>
      </c>
      <c r="AF73">
        <v>0</v>
      </c>
      <c r="AH73">
        <f t="shared" si="20"/>
        <v>108.52103730418449</v>
      </c>
      <c r="AN73">
        <f t="shared" si="18"/>
        <v>63</v>
      </c>
    </row>
    <row r="74" spans="1:40" ht="15.6">
      <c r="A74" s="1">
        <v>44380</v>
      </c>
      <c r="B74">
        <f t="shared" si="19"/>
        <v>184</v>
      </c>
      <c r="C74">
        <f t="shared" si="0"/>
        <v>28.9</v>
      </c>
      <c r="D74" s="31">
        <v>33</v>
      </c>
      <c r="E74" s="30">
        <v>24.8</v>
      </c>
      <c r="F74" s="33">
        <v>70</v>
      </c>
      <c r="G74" s="34">
        <v>5</v>
      </c>
      <c r="H74" s="35">
        <v>4.2</v>
      </c>
      <c r="I74" s="16">
        <f>4098*(0.6108*EXP(17.27*Tomato!C73/(Tomato!C73+237.3)))/(Tomato!C73+237.3)^2</f>
        <v>0.18576099026505449</v>
      </c>
      <c r="J74" s="16">
        <f t="shared" si="1"/>
        <v>0.36763299026505453</v>
      </c>
      <c r="K74" s="16">
        <f t="shared" si="2"/>
        <v>5.030147795606851</v>
      </c>
      <c r="L74" s="16">
        <f t="shared" si="3"/>
        <v>3.1302352193130303</v>
      </c>
      <c r="M74" s="16">
        <f t="shared" si="4"/>
        <v>4.0801915074599409</v>
      </c>
      <c r="N74" s="16">
        <f t="shared" si="5"/>
        <v>2.8561340552219585</v>
      </c>
      <c r="O74" s="16">
        <f t="shared" si="6"/>
        <v>0.40043495249260513</v>
      </c>
      <c r="P74" s="16">
        <f t="shared" si="7"/>
        <v>0.96700967502188173</v>
      </c>
      <c r="Q74" s="16">
        <f t="shared" si="8"/>
        <v>1.7475615893552954</v>
      </c>
      <c r="R74" s="16">
        <f t="shared" si="9"/>
        <v>39.947121543576394</v>
      </c>
      <c r="S74" s="16">
        <f t="shared" si="10"/>
        <v>13.35715864475385</v>
      </c>
      <c r="T74" s="16">
        <f t="shared" si="11"/>
        <v>16.267229504798486</v>
      </c>
      <c r="U74" s="16">
        <f t="shared" si="12"/>
        <v>30.002685106518484</v>
      </c>
      <c r="V74" s="16">
        <f t="shared" si="13"/>
        <v>12.525766718694834</v>
      </c>
      <c r="W74" s="16">
        <f t="shared" si="14"/>
        <v>1.6137895048889688</v>
      </c>
      <c r="X74" s="16">
        <f t="shared" si="15"/>
        <v>5.5926101497672196</v>
      </c>
      <c r="Y74" s="16">
        <f t="shared" si="16"/>
        <v>5.0129952930212873</v>
      </c>
      <c r="Z74">
        <v>0.75</v>
      </c>
      <c r="AB74">
        <f t="shared" si="17"/>
        <v>4.1944576123254151</v>
      </c>
      <c r="AC74" s="59">
        <v>0.2</v>
      </c>
      <c r="AD74">
        <f t="shared" si="37"/>
        <v>0.19807999999999998</v>
      </c>
      <c r="AE74">
        <v>0</v>
      </c>
      <c r="AF74">
        <v>0</v>
      </c>
      <c r="AH74">
        <f t="shared" si="20"/>
        <v>104.52465969185909</v>
      </c>
      <c r="AN74">
        <f t="shared" si="18"/>
        <v>64</v>
      </c>
    </row>
    <row r="75" spans="1:40" ht="15.6">
      <c r="A75" s="1">
        <v>44381</v>
      </c>
      <c r="B75">
        <f t="shared" si="19"/>
        <v>185</v>
      </c>
      <c r="C75">
        <f t="shared" si="0"/>
        <v>29.5</v>
      </c>
      <c r="D75" s="31">
        <v>33.5</v>
      </c>
      <c r="E75" s="30">
        <v>25.5</v>
      </c>
      <c r="F75" s="33">
        <v>73</v>
      </c>
      <c r="G75" s="34">
        <v>4</v>
      </c>
      <c r="H75" s="35">
        <v>0</v>
      </c>
      <c r="I75" s="16">
        <f>4098*(0.6108*EXP(17.27*Tomato!C74/(Tomato!C74+237.3)))/(Tomato!C74+237.3)^2</f>
        <v>0.21130681013503458</v>
      </c>
      <c r="J75" s="16">
        <f t="shared" si="1"/>
        <v>0.37027641013503459</v>
      </c>
      <c r="K75" s="16">
        <f t="shared" si="2"/>
        <v>5.1729513859624818</v>
      </c>
      <c r="L75" s="16">
        <f t="shared" si="3"/>
        <v>3.263356619324485</v>
      </c>
      <c r="M75" s="16">
        <f t="shared" si="4"/>
        <v>4.2181540026434838</v>
      </c>
      <c r="N75" s="16">
        <f t="shared" si="5"/>
        <v>3.079252421929743</v>
      </c>
      <c r="O75" s="16">
        <f t="shared" si="6"/>
        <v>0.39894316214645859</v>
      </c>
      <c r="P75" s="16">
        <f t="shared" si="7"/>
        <v>0.96702830505177284</v>
      </c>
      <c r="Q75" s="16">
        <f t="shared" si="8"/>
        <v>1.7468197884962349</v>
      </c>
      <c r="R75" s="16">
        <f t="shared" si="9"/>
        <v>39.93358787350904</v>
      </c>
      <c r="S75" s="16">
        <f t="shared" si="10"/>
        <v>13.351488829270584</v>
      </c>
      <c r="T75" s="16">
        <f t="shared" si="11"/>
        <v>9.9833969683772601</v>
      </c>
      <c r="U75" s="16">
        <f t="shared" si="12"/>
        <v>29.992520508277696</v>
      </c>
      <c r="V75" s="16">
        <f t="shared" si="13"/>
        <v>7.6872156656504904</v>
      </c>
      <c r="W75" s="16">
        <f t="shared" si="14"/>
        <v>0.38603217604464801</v>
      </c>
      <c r="X75" s="16">
        <f t="shared" si="15"/>
        <v>4.1656634885580051</v>
      </c>
      <c r="Y75" s="16">
        <f t="shared" si="16"/>
        <v>5.0134012493201432</v>
      </c>
      <c r="Z75">
        <v>0.75</v>
      </c>
      <c r="AB75">
        <f t="shared" si="17"/>
        <v>3.1242476164185038</v>
      </c>
      <c r="AC75" s="59">
        <v>0</v>
      </c>
      <c r="AD75">
        <f t="shared" si="37"/>
        <v>0</v>
      </c>
      <c r="AE75">
        <v>0</v>
      </c>
      <c r="AF75">
        <v>0</v>
      </c>
      <c r="AH75">
        <f t="shared" si="20"/>
        <v>101.40041207544058</v>
      </c>
      <c r="AN75">
        <f t="shared" si="18"/>
        <v>65</v>
      </c>
    </row>
    <row r="76" spans="1:40" ht="15.6">
      <c r="A76" s="1">
        <v>44382</v>
      </c>
      <c r="B76">
        <f t="shared" si="19"/>
        <v>186</v>
      </c>
      <c r="C76">
        <f t="shared" ref="C76:C139" si="40">(D76+E76)/2</f>
        <v>28.15</v>
      </c>
      <c r="D76" s="31">
        <v>32.799999999999997</v>
      </c>
      <c r="E76" s="30">
        <v>23.5</v>
      </c>
      <c r="F76" s="33">
        <v>76</v>
      </c>
      <c r="G76" s="34">
        <v>4</v>
      </c>
      <c r="H76" s="35">
        <v>6</v>
      </c>
      <c r="I76" s="16">
        <f>4098*(0.6108*EXP(17.27*Tomato!C75/(Tomato!C75+237.3)))/(Tomato!C75+237.3)^2</f>
        <v>0.1997248282483387</v>
      </c>
      <c r="J76" s="16">
        <f t="shared" ref="J76:J139" si="41">I76+0.06736*(1+0.34*G76)</f>
        <v>0.35869442824833875</v>
      </c>
      <c r="K76" s="16">
        <f t="shared" ref="K76:K139" si="42">0.6108*EXP(17.27*D76/(D76+237.3))</f>
        <v>4.9739919933544527</v>
      </c>
      <c r="L76" s="16">
        <f t="shared" ref="L76:L139" si="43">0.6108*EXP(17.27*E76/(E76+237.3))</f>
        <v>2.8955307729089892</v>
      </c>
      <c r="M76" s="16">
        <f t="shared" ref="M76:M139" si="44">(K76+L76)/2</f>
        <v>3.934761383131721</v>
      </c>
      <c r="N76" s="16">
        <f t="shared" ref="N76:N139" si="45">F76/100*((K76+L76)/2)</f>
        <v>2.9904186511801081</v>
      </c>
      <c r="O76" s="16">
        <f t="shared" ref="O76:O139" si="46">0.409*SIN(2*3.14*B76/365-1.39)</f>
        <v>0.39733327615854064</v>
      </c>
      <c r="P76" s="16">
        <f t="shared" ref="P76:P139" si="47">1+0.033*COS(2*3.14*B76/365)</f>
        <v>0.96705669540304473</v>
      </c>
      <c r="Q76" s="16">
        <f t="shared" ref="Q76:Q139" si="48">ACOS(-TAN(22.57*3.14/180)*TAN(O76))</f>
        <v>1.7460204193775619</v>
      </c>
      <c r="R76" s="16">
        <f t="shared" ref="R76:R139" si="49">(Q76*SIN(3.14*22.57/180)*SIN(O76)+COS(3.14*22.57/180)*COS(O76)*SIN(Q76))*P76*0.082*24*60/3.14</f>
        <v>39.919243307504935</v>
      </c>
      <c r="S76" s="16">
        <f t="shared" ref="S76:S139" si="50">24/3.14*Q76</f>
        <v>13.345379001611938</v>
      </c>
      <c r="T76" s="16">
        <f t="shared" ref="T76:T139" si="51">(0.25+0.5*H76/S76)*R76</f>
        <v>18.953533484587918</v>
      </c>
      <c r="U76" s="16">
        <f t="shared" ref="U76:U139" si="52">(0.75+2*10^-5*53)*R76</f>
        <v>29.981746878534654</v>
      </c>
      <c r="V76" s="16">
        <f t="shared" ref="V76:V139" si="53">(1-0.23)*T76</f>
        <v>14.594220783132698</v>
      </c>
      <c r="W76" s="16">
        <f t="shared" ref="W76:W139" si="54">4.903*(10^-9)*((D76+273.16)^4+(E76+273.16)^4)/2*(0.34-(0.14*SQRT(N76)))*(1.35*T76/U76-0.35)</f>
        <v>1.9946119659582195</v>
      </c>
      <c r="X76" s="16">
        <f t="shared" ref="X76:X139" si="55">(0.408*I76*(V76-W76)+(0.06736*900/(C76+273)*G76*(M76-N76)))/J76</f>
        <v>4.982318006875663</v>
      </c>
      <c r="Y76" s="16">
        <f t="shared" ref="Y76:Y139" si="56">((0.0023*R76)*(C76+17.8)*(D76-E76)^0.5)*0.408</f>
        <v>5.2492503939113941</v>
      </c>
      <c r="Z76">
        <v>0.75</v>
      </c>
      <c r="AB76">
        <f t="shared" ref="AB76:AB139" si="57">X76*Z76</f>
        <v>3.7367385051567474</v>
      </c>
      <c r="AC76" s="59">
        <v>44</v>
      </c>
      <c r="AD76">
        <f t="shared" ref="AD76" si="58">(125+0.1*AC76*30)/30</f>
        <v>8.5666666666666664</v>
      </c>
      <c r="AE76">
        <v>0</v>
      </c>
      <c r="AF76">
        <v>0</v>
      </c>
      <c r="AH76">
        <f t="shared" ref="AH76:AH89" si="59">AH75-AB76+AD76+AF76-AE76</f>
        <v>106.2303402369505</v>
      </c>
      <c r="AN76">
        <f t="shared" ref="AN76:AN139" si="60">AN75+1</f>
        <v>66</v>
      </c>
    </row>
    <row r="77" spans="1:40" ht="15.6">
      <c r="A77" s="1">
        <v>44383</v>
      </c>
      <c r="B77">
        <f t="shared" ref="B77:B140" si="61">1+B76</f>
        <v>187</v>
      </c>
      <c r="C77">
        <f t="shared" si="40"/>
        <v>28.450000000000003</v>
      </c>
      <c r="D77" s="31">
        <v>33.6</v>
      </c>
      <c r="E77" s="30">
        <v>23.3</v>
      </c>
      <c r="F77" s="33">
        <v>70</v>
      </c>
      <c r="G77" s="34">
        <v>3</v>
      </c>
      <c r="H77" s="35">
        <v>6.5</v>
      </c>
      <c r="I77" s="16">
        <f>4098*(0.6108*EXP(17.27*Tomato!C76/(Tomato!C76+237.3)))/(Tomato!C76+237.3)^2</f>
        <v>0.19615364917180653</v>
      </c>
      <c r="J77" s="16">
        <f t="shared" si="41"/>
        <v>0.3322208491718065</v>
      </c>
      <c r="K77" s="16">
        <f t="shared" si="42"/>
        <v>5.2019304560289008</v>
      </c>
      <c r="L77" s="16">
        <f t="shared" si="43"/>
        <v>2.8608211296876744</v>
      </c>
      <c r="M77" s="16">
        <f t="shared" si="44"/>
        <v>4.0313757928582881</v>
      </c>
      <c r="N77" s="16">
        <f t="shared" si="45"/>
        <v>2.8219630550008015</v>
      </c>
      <c r="O77" s="16">
        <f t="shared" si="46"/>
        <v>0.39560577108926642</v>
      </c>
      <c r="P77" s="16">
        <f t="shared" si="47"/>
        <v>0.96709483767155091</v>
      </c>
      <c r="Q77" s="16">
        <f t="shared" si="48"/>
        <v>1.745163973843304</v>
      </c>
      <c r="R77" s="16">
        <f t="shared" si="49"/>
        <v>39.904073065399068</v>
      </c>
      <c r="S77" s="16">
        <f t="shared" si="50"/>
        <v>13.338832921095317</v>
      </c>
      <c r="T77" s="16">
        <f t="shared" si="51"/>
        <v>19.698625801034865</v>
      </c>
      <c r="U77" s="16">
        <f t="shared" si="52"/>
        <v>29.970353116498622</v>
      </c>
      <c r="V77" s="16">
        <f t="shared" si="53"/>
        <v>15.167941866796847</v>
      </c>
      <c r="W77" s="16">
        <f t="shared" si="54"/>
        <v>2.28912578642174</v>
      </c>
      <c r="X77" s="16">
        <f t="shared" si="55"/>
        <v>5.2987889780154731</v>
      </c>
      <c r="Y77" s="16">
        <f t="shared" si="56"/>
        <v>5.5582179899035191</v>
      </c>
      <c r="Z77">
        <v>0.75</v>
      </c>
      <c r="AB77">
        <f t="shared" si="57"/>
        <v>3.9740917335116048</v>
      </c>
      <c r="AC77" s="59">
        <v>1.8</v>
      </c>
      <c r="AD77">
        <f t="shared" si="37"/>
        <v>1.6444799999999999</v>
      </c>
      <c r="AE77">
        <v>0</v>
      </c>
      <c r="AF77">
        <v>0</v>
      </c>
      <c r="AH77">
        <f t="shared" si="59"/>
        <v>103.9007285034389</v>
      </c>
      <c r="AN77">
        <f t="shared" si="60"/>
        <v>67</v>
      </c>
    </row>
    <row r="78" spans="1:40" ht="15.6">
      <c r="A78" s="1">
        <v>44384</v>
      </c>
      <c r="B78">
        <f t="shared" si="61"/>
        <v>188</v>
      </c>
      <c r="C78">
        <f t="shared" si="40"/>
        <v>30.05</v>
      </c>
      <c r="D78" s="31">
        <v>34.5</v>
      </c>
      <c r="E78" s="30">
        <v>25.6</v>
      </c>
      <c r="F78" s="33">
        <v>73</v>
      </c>
      <c r="G78" s="34">
        <v>4</v>
      </c>
      <c r="H78" s="35">
        <v>2.4</v>
      </c>
      <c r="I78" s="16">
        <f>4098*(0.6108*EXP(17.27*Tomato!C77/(Tomato!C77+237.3)))/(Tomato!C77+237.3)^2</f>
        <v>0.19869895242110683</v>
      </c>
      <c r="J78" s="16">
        <f t="shared" si="41"/>
        <v>0.35766855242110684</v>
      </c>
      <c r="K78" s="16">
        <f t="shared" si="42"/>
        <v>5.4691459026600384</v>
      </c>
      <c r="L78" s="16">
        <f t="shared" si="43"/>
        <v>3.2827711697769288</v>
      </c>
      <c r="M78" s="16">
        <f t="shared" si="44"/>
        <v>4.3759585362184836</v>
      </c>
      <c r="N78" s="16">
        <f t="shared" si="45"/>
        <v>3.1944497314394931</v>
      </c>
      <c r="O78" s="16">
        <f t="shared" si="46"/>
        <v>0.39376115831679492</v>
      </c>
      <c r="P78" s="16">
        <f t="shared" si="47"/>
        <v>0.96714272056637052</v>
      </c>
      <c r="Q78" s="16">
        <f t="shared" si="48"/>
        <v>1.7442509751656199</v>
      </c>
      <c r="R78" s="16">
        <f t="shared" si="49"/>
        <v>39.888061270444503</v>
      </c>
      <c r="S78" s="16">
        <f t="shared" si="50"/>
        <v>13.331854587253146</v>
      </c>
      <c r="T78" s="16">
        <f t="shared" si="51"/>
        <v>13.56233902023377</v>
      </c>
      <c r="U78" s="16">
        <f t="shared" si="52"/>
        <v>29.958327297780045</v>
      </c>
      <c r="V78" s="16">
        <f t="shared" si="53"/>
        <v>10.443001045580003</v>
      </c>
      <c r="W78" s="16">
        <f t="shared" si="54"/>
        <v>0.97288665688943188</v>
      </c>
      <c r="X78" s="16">
        <f t="shared" si="55"/>
        <v>4.7897968626691334</v>
      </c>
      <c r="Y78" s="16">
        <f t="shared" si="56"/>
        <v>5.3432792619149518</v>
      </c>
      <c r="Z78">
        <v>0.75</v>
      </c>
      <c r="AB78">
        <f t="shared" si="57"/>
        <v>3.5923476470018501</v>
      </c>
      <c r="AC78" s="59">
        <v>1.2</v>
      </c>
      <c r="AD78">
        <f t="shared" si="37"/>
        <v>1.1308800000000001</v>
      </c>
      <c r="AE78">
        <v>0</v>
      </c>
      <c r="AF78">
        <v>0</v>
      </c>
      <c r="AH78">
        <f t="shared" si="59"/>
        <v>101.43926085643706</v>
      </c>
      <c r="AN78">
        <f t="shared" si="60"/>
        <v>68</v>
      </c>
    </row>
    <row r="79" spans="1:40" ht="15.6">
      <c r="A79" s="1">
        <v>44385</v>
      </c>
      <c r="B79">
        <f t="shared" si="61"/>
        <v>189</v>
      </c>
      <c r="C79">
        <f t="shared" si="40"/>
        <v>28.1</v>
      </c>
      <c r="D79" s="31">
        <v>32.4</v>
      </c>
      <c r="E79" s="30">
        <v>23.8</v>
      </c>
      <c r="F79" s="33">
        <v>73</v>
      </c>
      <c r="G79" s="34">
        <v>4</v>
      </c>
      <c r="H79" s="35">
        <v>0.8</v>
      </c>
      <c r="I79" s="16">
        <f>4098*(0.6108*EXP(17.27*Tomato!C78/(Tomato!C78+237.3)))/(Tomato!C78+237.3)^2</f>
        <v>0.19363585091694491</v>
      </c>
      <c r="J79" s="16">
        <f t="shared" si="41"/>
        <v>0.35260545091694495</v>
      </c>
      <c r="K79" s="16">
        <f t="shared" si="42"/>
        <v>4.8633111980528723</v>
      </c>
      <c r="L79" s="16">
        <f t="shared" si="43"/>
        <v>2.9482843050220851</v>
      </c>
      <c r="M79" s="16">
        <f t="shared" si="44"/>
        <v>3.9057977515374787</v>
      </c>
      <c r="N79" s="16">
        <f t="shared" si="45"/>
        <v>2.8512323586223594</v>
      </c>
      <c r="O79" s="16">
        <f t="shared" si="46"/>
        <v>0.39179998388565035</v>
      </c>
      <c r="P79" s="16">
        <f t="shared" si="47"/>
        <v>0.96720032991315064</v>
      </c>
      <c r="Q79" s="16">
        <f t="shared" si="48"/>
        <v>1.7432819769913555</v>
      </c>
      <c r="R79" s="16">
        <f t="shared" si="49"/>
        <v>39.871190976215267</v>
      </c>
      <c r="S79" s="16">
        <f t="shared" si="50"/>
        <v>13.32444823178106</v>
      </c>
      <c r="T79" s="16">
        <f t="shared" si="51"/>
        <v>11.164731088914303</v>
      </c>
      <c r="U79" s="16">
        <f t="shared" si="52"/>
        <v>29.945656694596238</v>
      </c>
      <c r="V79" s="16">
        <f t="shared" si="53"/>
        <v>8.5968429384640128</v>
      </c>
      <c r="W79" s="16">
        <f t="shared" si="54"/>
        <v>0.64229894400606302</v>
      </c>
      <c r="X79" s="16">
        <f t="shared" si="55"/>
        <v>4.1909402908084914</v>
      </c>
      <c r="Y79" s="16">
        <f t="shared" si="56"/>
        <v>5.0362713184039327</v>
      </c>
      <c r="Z79">
        <v>0.75</v>
      </c>
      <c r="AB79">
        <f t="shared" si="57"/>
        <v>3.1432052181063685</v>
      </c>
      <c r="AC79" s="59">
        <v>6</v>
      </c>
      <c r="AD79">
        <f t="shared" si="37"/>
        <v>4.2720000000000002</v>
      </c>
      <c r="AE79">
        <v>0</v>
      </c>
      <c r="AF79">
        <v>0</v>
      </c>
      <c r="AH79">
        <f t="shared" si="59"/>
        <v>102.56805563833069</v>
      </c>
      <c r="AN79">
        <f t="shared" si="60"/>
        <v>69</v>
      </c>
    </row>
    <row r="80" spans="1:40" ht="15.6">
      <c r="A80" s="1">
        <v>44386</v>
      </c>
      <c r="B80">
        <f t="shared" si="61"/>
        <v>190</v>
      </c>
      <c r="C80">
        <f t="shared" si="40"/>
        <v>29.35</v>
      </c>
      <c r="D80" s="31">
        <v>33.4</v>
      </c>
      <c r="E80" s="30">
        <v>25.3</v>
      </c>
      <c r="F80" s="33">
        <v>100</v>
      </c>
      <c r="G80" s="34">
        <v>4</v>
      </c>
      <c r="H80" s="35">
        <v>1.5</v>
      </c>
      <c r="I80" s="16">
        <f>4098*(0.6108*EXP(17.27*Tomato!C79/(Tomato!C79+237.3)))/(Tomato!C79+237.3)^2</f>
        <v>0.19716845660963872</v>
      </c>
      <c r="J80" s="16">
        <f t="shared" si="41"/>
        <v>0.35613805660963871</v>
      </c>
      <c r="K80" s="16">
        <f t="shared" si="42"/>
        <v>5.1441125216319277</v>
      </c>
      <c r="L80" s="16">
        <f t="shared" si="43"/>
        <v>3.2248275907111101</v>
      </c>
      <c r="M80" s="16">
        <f t="shared" si="44"/>
        <v>4.1844700561715191</v>
      </c>
      <c r="N80" s="16">
        <f t="shared" si="45"/>
        <v>4.1844700561715191</v>
      </c>
      <c r="O80" s="16">
        <f t="shared" si="46"/>
        <v>0.38972282834508143</v>
      </c>
      <c r="P80" s="16">
        <f t="shared" si="47"/>
        <v>0.96726764865830206</v>
      </c>
      <c r="Q80" s="16">
        <f t="shared" si="48"/>
        <v>1.7422575622401995</v>
      </c>
      <c r="R80" s="16">
        <f t="shared" si="49"/>
        <v>39.85344419534276</v>
      </c>
      <c r="S80" s="16">
        <f t="shared" si="50"/>
        <v>13.316618310116175</v>
      </c>
      <c r="T80" s="16">
        <f t="shared" si="51"/>
        <v>12.207931137910077</v>
      </c>
      <c r="U80" s="16">
        <f t="shared" si="52"/>
        <v>29.93232779735413</v>
      </c>
      <c r="V80" s="16">
        <f t="shared" si="53"/>
        <v>9.4001069761907594</v>
      </c>
      <c r="W80" s="16">
        <f t="shared" si="54"/>
        <v>0.44209256195269808</v>
      </c>
      <c r="X80" s="16">
        <f t="shared" si="55"/>
        <v>2.0234429883956424</v>
      </c>
      <c r="Y80" s="16">
        <f t="shared" si="56"/>
        <v>5.0185478040281231</v>
      </c>
      <c r="Z80">
        <v>0.75</v>
      </c>
      <c r="AB80">
        <f t="shared" si="57"/>
        <v>1.5175822412967319</v>
      </c>
      <c r="AC80" s="59">
        <v>0</v>
      </c>
      <c r="AD80">
        <f t="shared" si="37"/>
        <v>0</v>
      </c>
      <c r="AE80">
        <v>0</v>
      </c>
      <c r="AF80">
        <v>0</v>
      </c>
      <c r="AH80">
        <f t="shared" si="59"/>
        <v>101.05047339703395</v>
      </c>
      <c r="AN80">
        <f t="shared" si="60"/>
        <v>70</v>
      </c>
    </row>
    <row r="81" spans="1:40" ht="15.6">
      <c r="A81" s="1">
        <v>44387</v>
      </c>
      <c r="B81">
        <f t="shared" si="61"/>
        <v>191</v>
      </c>
      <c r="C81">
        <f t="shared" si="40"/>
        <v>28.75</v>
      </c>
      <c r="D81" s="31">
        <v>32</v>
      </c>
      <c r="E81" s="30">
        <v>25.5</v>
      </c>
      <c r="F81" s="33">
        <v>79</v>
      </c>
      <c r="G81" s="34">
        <v>5</v>
      </c>
      <c r="H81" s="35">
        <v>0</v>
      </c>
      <c r="I81" s="16">
        <f>4098*(0.6108*EXP(17.27*Tomato!C80/(Tomato!C80+237.3)))/(Tomato!C80+237.3)^2</f>
        <v>0.19114532166868012</v>
      </c>
      <c r="J81" s="16">
        <f t="shared" si="41"/>
        <v>0.37301732166868018</v>
      </c>
      <c r="K81" s="16">
        <f t="shared" si="42"/>
        <v>4.7547753962618131</v>
      </c>
      <c r="L81" s="16">
        <f t="shared" si="43"/>
        <v>3.263356619324485</v>
      </c>
      <c r="M81" s="16">
        <f t="shared" si="44"/>
        <v>4.009066007793149</v>
      </c>
      <c r="N81" s="16">
        <f t="shared" si="45"/>
        <v>3.167162146156588</v>
      </c>
      <c r="O81" s="16">
        <f t="shared" si="46"/>
        <v>0.38753030657720661</v>
      </c>
      <c r="P81" s="16">
        <f t="shared" si="47"/>
        <v>0.96734465687404769</v>
      </c>
      <c r="Q81" s="16">
        <f t="shared" si="48"/>
        <v>1.7411783419588072</v>
      </c>
      <c r="R81" s="16">
        <f t="shared" si="49"/>
        <v>39.834801930074661</v>
      </c>
      <c r="S81" s="16">
        <f t="shared" si="50"/>
        <v>13.30836949267878</v>
      </c>
      <c r="T81" s="16">
        <f t="shared" si="51"/>
        <v>9.9587004825186654</v>
      </c>
      <c r="U81" s="16">
        <f t="shared" si="52"/>
        <v>29.918326337601872</v>
      </c>
      <c r="V81" s="16">
        <f t="shared" si="53"/>
        <v>7.6681993715393721</v>
      </c>
      <c r="W81" s="16">
        <f t="shared" si="54"/>
        <v>0.3679809847259779</v>
      </c>
      <c r="X81" s="16">
        <f t="shared" si="55"/>
        <v>3.7935249487775016</v>
      </c>
      <c r="Y81" s="16">
        <f t="shared" si="56"/>
        <v>4.4363624920011198</v>
      </c>
      <c r="Z81">
        <v>0.75</v>
      </c>
      <c r="AB81">
        <f t="shared" si="57"/>
        <v>2.845143711583126</v>
      </c>
      <c r="AC81" s="59">
        <v>0</v>
      </c>
      <c r="AD81">
        <f t="shared" si="37"/>
        <v>0</v>
      </c>
      <c r="AE81">
        <v>0</v>
      </c>
      <c r="AF81">
        <v>0</v>
      </c>
      <c r="AH81">
        <f t="shared" si="59"/>
        <v>98.205329685450835</v>
      </c>
      <c r="AN81">
        <f t="shared" si="60"/>
        <v>71</v>
      </c>
    </row>
    <row r="82" spans="1:40" ht="15.6">
      <c r="A82" s="1">
        <v>44388</v>
      </c>
      <c r="B82">
        <f t="shared" si="61"/>
        <v>192</v>
      </c>
      <c r="C82">
        <f t="shared" si="40"/>
        <v>28.3</v>
      </c>
      <c r="D82" s="31">
        <v>32.6</v>
      </c>
      <c r="E82" s="30">
        <v>24</v>
      </c>
      <c r="F82" s="33">
        <v>82</v>
      </c>
      <c r="G82" s="34">
        <v>6</v>
      </c>
      <c r="H82" s="35">
        <v>5</v>
      </c>
      <c r="I82" s="16">
        <f>4098*(0.6108*EXP(17.27*Tomato!C81/(Tomato!C81+237.3)))/(Tomato!C81+237.3)^2</f>
        <v>0.20809346882072433</v>
      </c>
      <c r="J82" s="16">
        <f t="shared" si="41"/>
        <v>0.41286786882072435</v>
      </c>
      <c r="K82" s="16">
        <f t="shared" si="42"/>
        <v>4.9183812721762612</v>
      </c>
      <c r="L82" s="16">
        <f t="shared" si="43"/>
        <v>2.9839174771655594</v>
      </c>
      <c r="M82" s="16">
        <f t="shared" si="44"/>
        <v>3.9511493746709103</v>
      </c>
      <c r="N82" s="16">
        <f t="shared" si="45"/>
        <v>3.2399424872301461</v>
      </c>
      <c r="O82" s="16">
        <f t="shared" si="46"/>
        <v>0.38522306761499553</v>
      </c>
      <c r="P82" s="16">
        <f t="shared" si="47"/>
        <v>0.9674313317643215</v>
      </c>
      <c r="Q82" s="16">
        <f t="shared" si="48"/>
        <v>1.7400449541353638</v>
      </c>
      <c r="R82" s="16">
        <f t="shared" si="49"/>
        <v>39.815244204642923</v>
      </c>
      <c r="S82" s="16">
        <f t="shared" si="50"/>
        <v>13.299706655811697</v>
      </c>
      <c r="T82" s="16">
        <f t="shared" si="51"/>
        <v>17.438044582590631</v>
      </c>
      <c r="U82" s="16">
        <f t="shared" si="52"/>
        <v>29.903637312339111</v>
      </c>
      <c r="V82" s="16">
        <f t="shared" si="53"/>
        <v>13.427294328594787</v>
      </c>
      <c r="W82" s="16">
        <f t="shared" si="54"/>
        <v>1.5600007943034673</v>
      </c>
      <c r="X82" s="16">
        <f t="shared" si="55"/>
        <v>4.5199983182018189</v>
      </c>
      <c r="Y82" s="16">
        <f t="shared" si="56"/>
        <v>5.0511182286023439</v>
      </c>
      <c r="Z82">
        <v>0.75</v>
      </c>
      <c r="AB82">
        <f t="shared" si="57"/>
        <v>3.3899987386513644</v>
      </c>
      <c r="AC82" s="59">
        <v>19</v>
      </c>
      <c r="AD82">
        <f t="shared" ref="AD82" si="62">(125+0.1*AC82*30)/30</f>
        <v>6.0666666666666664</v>
      </c>
      <c r="AE82">
        <v>0</v>
      </c>
      <c r="AF82">
        <v>0</v>
      </c>
      <c r="AH82">
        <f t="shared" si="59"/>
        <v>100.88199761346613</v>
      </c>
      <c r="AN82">
        <f t="shared" si="60"/>
        <v>72</v>
      </c>
    </row>
    <row r="83" spans="1:40" ht="15.6">
      <c r="A83" s="1">
        <v>44389</v>
      </c>
      <c r="B83">
        <f t="shared" si="61"/>
        <v>193</v>
      </c>
      <c r="C83">
        <f t="shared" si="40"/>
        <v>28</v>
      </c>
      <c r="D83" s="31">
        <v>32</v>
      </c>
      <c r="E83" s="30">
        <v>24</v>
      </c>
      <c r="F83" s="33">
        <v>85</v>
      </c>
      <c r="G83" s="34">
        <v>4</v>
      </c>
      <c r="H83" s="35">
        <v>1</v>
      </c>
      <c r="I83" s="16">
        <f>4098*(0.6108*EXP(17.27*Tomato!C82/(Tomato!C82+237.3)))/(Tomato!C82+237.3)^2</f>
        <v>0.18383500912050901</v>
      </c>
      <c r="J83" s="16">
        <f t="shared" si="41"/>
        <v>0.34280460912050903</v>
      </c>
      <c r="K83" s="16">
        <f t="shared" si="42"/>
        <v>4.7547753962618131</v>
      </c>
      <c r="L83" s="16">
        <f t="shared" si="43"/>
        <v>2.9839174771655594</v>
      </c>
      <c r="M83" s="16">
        <f t="shared" si="44"/>
        <v>3.8693464367136863</v>
      </c>
      <c r="N83" s="16">
        <f t="shared" si="45"/>
        <v>3.2889444712066331</v>
      </c>
      <c r="O83" s="16">
        <f t="shared" si="46"/>
        <v>0.38280179445014167</v>
      </c>
      <c r="P83" s="16">
        <f t="shared" si="47"/>
        <v>0.96752764767151667</v>
      </c>
      <c r="Q83" s="16">
        <f t="shared" si="48"/>
        <v>1.7388580624791454</v>
      </c>
      <c r="R83" s="16">
        <f t="shared" si="49"/>
        <v>39.794750099425983</v>
      </c>
      <c r="S83" s="16">
        <f t="shared" si="50"/>
        <v>13.290634872452067</v>
      </c>
      <c r="T83" s="16">
        <f t="shared" si="51"/>
        <v>11.445784935225877</v>
      </c>
      <c r="U83" s="16">
        <f t="shared" si="52"/>
        <v>29.888245009674876</v>
      </c>
      <c r="V83" s="16">
        <f t="shared" si="53"/>
        <v>8.8132544001239257</v>
      </c>
      <c r="W83" s="16">
        <f t="shared" si="54"/>
        <v>0.58051446424000097</v>
      </c>
      <c r="X83" s="16">
        <f t="shared" si="55"/>
        <v>3.1653189698982471</v>
      </c>
      <c r="Y83" s="16">
        <f t="shared" si="56"/>
        <v>4.8375364725627934</v>
      </c>
      <c r="Z83">
        <v>0.75</v>
      </c>
      <c r="AB83">
        <f t="shared" si="57"/>
        <v>2.3739892274236851</v>
      </c>
      <c r="AC83" s="58">
        <v>4.4000000000000004</v>
      </c>
      <c r="AD83">
        <f t="shared" si="37"/>
        <v>3.4707199999999996</v>
      </c>
      <c r="AE83">
        <v>0</v>
      </c>
      <c r="AF83">
        <v>0</v>
      </c>
      <c r="AH83">
        <f t="shared" si="59"/>
        <v>101.97872838604243</v>
      </c>
      <c r="AN83">
        <f t="shared" si="60"/>
        <v>73</v>
      </c>
    </row>
    <row r="84" spans="1:40" ht="15.6">
      <c r="A84" s="1">
        <v>44390</v>
      </c>
      <c r="B84">
        <f t="shared" si="61"/>
        <v>194</v>
      </c>
      <c r="C84">
        <f t="shared" si="40"/>
        <v>28.549999999999997</v>
      </c>
      <c r="D84" s="31">
        <v>32.799999999999997</v>
      </c>
      <c r="E84" s="30">
        <v>24.3</v>
      </c>
      <c r="F84" s="33">
        <v>78</v>
      </c>
      <c r="G84" s="34">
        <v>4</v>
      </c>
      <c r="H84" s="35">
        <v>7.1</v>
      </c>
      <c r="I84" s="16">
        <f>4098*(0.6108*EXP(17.27*Tomato!C83/(Tomato!C83+237.3)))/(Tomato!C83+237.3)^2</f>
        <v>0.18868182684282603</v>
      </c>
      <c r="J84" s="16">
        <f t="shared" si="41"/>
        <v>0.34765142684282602</v>
      </c>
      <c r="K84" s="16">
        <f t="shared" si="42"/>
        <v>4.9739919933544527</v>
      </c>
      <c r="L84" s="16">
        <f t="shared" si="43"/>
        <v>3.0380717152215446</v>
      </c>
      <c r="M84" s="16">
        <f t="shared" si="44"/>
        <v>4.0060318542879987</v>
      </c>
      <c r="N84" s="16">
        <f t="shared" si="45"/>
        <v>3.1247048463446392</v>
      </c>
      <c r="O84" s="16">
        <f t="shared" si="46"/>
        <v>0.38026720383088269</v>
      </c>
      <c r="P84" s="16">
        <f t="shared" si="47"/>
        <v>0.96763357608408096</v>
      </c>
      <c r="Q84" s="16">
        <f t="shared" si="48"/>
        <v>1.7376183551696847</v>
      </c>
      <c r="R84" s="16">
        <f t="shared" si="49"/>
        <v>39.773297786887845</v>
      </c>
      <c r="S84" s="16">
        <f t="shared" si="50"/>
        <v>13.281159402570838</v>
      </c>
      <c r="T84" s="16">
        <f t="shared" si="51"/>
        <v>20.574565505098285</v>
      </c>
      <c r="U84" s="16">
        <f t="shared" si="52"/>
        <v>29.872133035819981</v>
      </c>
      <c r="V84" s="16">
        <f t="shared" si="53"/>
        <v>15.842415438925679</v>
      </c>
      <c r="W84" s="16">
        <f t="shared" si="54"/>
        <v>2.1821542939254708</v>
      </c>
      <c r="X84" s="16">
        <f t="shared" si="55"/>
        <v>5.0634891220669633</v>
      </c>
      <c r="Y84" s="16">
        <f t="shared" si="56"/>
        <v>5.0435787037996</v>
      </c>
      <c r="Z84">
        <v>0.75</v>
      </c>
      <c r="AB84">
        <f t="shared" si="57"/>
        <v>3.7976168415502225</v>
      </c>
      <c r="AC84" s="58">
        <v>7.8</v>
      </c>
      <c r="AD84">
        <f t="shared" si="37"/>
        <v>4.8796799999999987</v>
      </c>
      <c r="AE84">
        <v>0</v>
      </c>
      <c r="AF84">
        <v>0</v>
      </c>
      <c r="AH84">
        <f t="shared" si="59"/>
        <v>103.0607915444922</v>
      </c>
      <c r="AN84">
        <f t="shared" si="60"/>
        <v>74</v>
      </c>
    </row>
    <row r="85" spans="1:40" ht="15.6">
      <c r="A85" s="1">
        <v>44391</v>
      </c>
      <c r="B85">
        <f t="shared" si="61"/>
        <v>195</v>
      </c>
      <c r="C85">
        <f t="shared" si="40"/>
        <v>28.5</v>
      </c>
      <c r="D85" s="32">
        <v>32.6</v>
      </c>
      <c r="E85" s="30">
        <v>24.4</v>
      </c>
      <c r="F85" s="33">
        <v>72</v>
      </c>
      <c r="G85" s="34">
        <v>6</v>
      </c>
      <c r="H85" s="35">
        <v>5</v>
      </c>
      <c r="I85" s="16">
        <f>4098*(0.6108*EXP(17.27*Tomato!C84/(Tomato!C84+237.3)))/(Tomato!C84+237.3)^2</f>
        <v>0.19767751536034411</v>
      </c>
      <c r="J85" s="16">
        <f t="shared" si="41"/>
        <v>0.40245191536034414</v>
      </c>
      <c r="K85" s="16">
        <f t="shared" si="42"/>
        <v>4.9183812721762612</v>
      </c>
      <c r="L85" s="16">
        <f t="shared" si="43"/>
        <v>3.0563126530167612</v>
      </c>
      <c r="M85" s="16">
        <f t="shared" si="44"/>
        <v>3.9873469625965114</v>
      </c>
      <c r="N85" s="16">
        <f t="shared" si="45"/>
        <v>2.8708898130694882</v>
      </c>
      <c r="O85" s="16">
        <f t="shared" si="46"/>
        <v>0.3776200460498268</v>
      </c>
      <c r="P85" s="16">
        <f t="shared" si="47"/>
        <v>0.96774908564495621</v>
      </c>
      <c r="Q85" s="16">
        <f t="shared" si="48"/>
        <v>1.7363265435801769</v>
      </c>
      <c r="R85" s="16">
        <f t="shared" si="49"/>
        <v>39.750864569274462</v>
      </c>
      <c r="S85" s="16">
        <f t="shared" si="50"/>
        <v>13.271285683415366</v>
      </c>
      <c r="T85" s="16">
        <f t="shared" si="51"/>
        <v>17.425849831383431</v>
      </c>
      <c r="U85" s="16">
        <f t="shared" si="52"/>
        <v>29.855284343399276</v>
      </c>
      <c r="V85" s="16">
        <f t="shared" si="53"/>
        <v>13.417904370165243</v>
      </c>
      <c r="W85" s="16">
        <f t="shared" si="54"/>
        <v>1.8297671476234152</v>
      </c>
      <c r="X85" s="16">
        <f t="shared" si="55"/>
        <v>5.6691458640127763</v>
      </c>
      <c r="Y85" s="16">
        <f t="shared" si="56"/>
        <v>4.9456399420178156</v>
      </c>
      <c r="Z85">
        <v>0.75</v>
      </c>
      <c r="AB85">
        <f t="shared" si="57"/>
        <v>4.2518593980095822</v>
      </c>
      <c r="AC85" s="58">
        <v>2.6</v>
      </c>
      <c r="AD85">
        <f t="shared" si="37"/>
        <v>2.2755200000000002</v>
      </c>
      <c r="AE85">
        <v>0</v>
      </c>
      <c r="AF85">
        <v>0</v>
      </c>
      <c r="AH85">
        <f t="shared" si="59"/>
        <v>101.08445214648262</v>
      </c>
      <c r="AN85">
        <f t="shared" si="60"/>
        <v>75</v>
      </c>
    </row>
    <row r="86" spans="1:40" ht="15.6">
      <c r="A86" s="1">
        <v>44392</v>
      </c>
      <c r="B86">
        <f t="shared" si="61"/>
        <v>196</v>
      </c>
      <c r="C86">
        <f t="shared" si="40"/>
        <v>28.950000000000003</v>
      </c>
      <c r="D86" s="31">
        <v>33.6</v>
      </c>
      <c r="E86" s="30">
        <v>24.3</v>
      </c>
      <c r="F86" s="33">
        <v>67</v>
      </c>
      <c r="G86" s="34">
        <v>6</v>
      </c>
      <c r="H86" s="35">
        <v>7.7</v>
      </c>
      <c r="I86" s="16">
        <f>4098*(0.6108*EXP(17.27*Tomato!C85/(Tomato!C85+237.3)))/(Tomato!C85+237.3)^2</f>
        <v>0.1997248282483387</v>
      </c>
      <c r="J86" s="16">
        <f t="shared" si="41"/>
        <v>0.40449922824833873</v>
      </c>
      <c r="K86" s="16">
        <f t="shared" si="42"/>
        <v>5.2019304560289008</v>
      </c>
      <c r="L86" s="16">
        <f t="shared" si="43"/>
        <v>3.0380717152215446</v>
      </c>
      <c r="M86" s="16">
        <f t="shared" si="44"/>
        <v>4.1200010856252227</v>
      </c>
      <c r="N86" s="16">
        <f t="shared" si="45"/>
        <v>2.7604007273688995</v>
      </c>
      <c r="O86" s="16">
        <f t="shared" si="46"/>
        <v>0.37486110472185175</v>
      </c>
      <c r="P86" s="16">
        <f t="shared" si="47"/>
        <v>0.96787414216086132</v>
      </c>
      <c r="Q86" s="16">
        <f t="shared" si="48"/>
        <v>1.7349833609797678</v>
      </c>
      <c r="R86" s="16">
        <f t="shared" si="49"/>
        <v>39.727426918045339</v>
      </c>
      <c r="S86" s="16">
        <f t="shared" si="50"/>
        <v>13.261019319590583</v>
      </c>
      <c r="T86" s="16">
        <f t="shared" si="51"/>
        <v>21.465705670408337</v>
      </c>
      <c r="U86" s="16">
        <f t="shared" si="52"/>
        <v>29.837681261067129</v>
      </c>
      <c r="V86" s="16">
        <f t="shared" si="53"/>
        <v>16.52859336621442</v>
      </c>
      <c r="W86" s="16">
        <f t="shared" si="54"/>
        <v>2.7288115345037607</v>
      </c>
      <c r="X86" s="16">
        <f t="shared" si="55"/>
        <v>6.8290739997997134</v>
      </c>
      <c r="Y86" s="16">
        <f t="shared" si="56"/>
        <v>5.3149786705084168</v>
      </c>
      <c r="Z86">
        <v>0.75</v>
      </c>
      <c r="AB86">
        <f t="shared" si="57"/>
        <v>5.1218054998497848</v>
      </c>
      <c r="AC86" s="58">
        <v>0.8</v>
      </c>
      <c r="AD86">
        <f t="shared" si="37"/>
        <v>0.76928000000000007</v>
      </c>
      <c r="AE86">
        <v>0</v>
      </c>
      <c r="AF86">
        <v>0</v>
      </c>
      <c r="AH86">
        <f t="shared" si="59"/>
        <v>96.731926646632829</v>
      </c>
      <c r="AN86">
        <f t="shared" si="60"/>
        <v>76</v>
      </c>
    </row>
    <row r="87" spans="1:40" ht="15.6">
      <c r="A87" s="1">
        <v>44393</v>
      </c>
      <c r="B87">
        <f t="shared" si="61"/>
        <v>197</v>
      </c>
      <c r="C87">
        <f t="shared" si="40"/>
        <v>30.15</v>
      </c>
      <c r="D87" s="31">
        <v>35</v>
      </c>
      <c r="E87" s="30">
        <v>25.3</v>
      </c>
      <c r="F87" s="33">
        <v>67</v>
      </c>
      <c r="G87" s="34">
        <v>6</v>
      </c>
      <c r="H87" s="35">
        <v>10</v>
      </c>
      <c r="I87" s="16">
        <f>4098*(0.6108*EXP(17.27*Tomato!C86/(Tomato!C86+237.3)))/(Tomato!C86+237.3)^2</f>
        <v>0.20915998442580921</v>
      </c>
      <c r="J87" s="16">
        <f t="shared" si="41"/>
        <v>0.41393438442580921</v>
      </c>
      <c r="K87" s="16">
        <f t="shared" si="42"/>
        <v>5.6226812384961216</v>
      </c>
      <c r="L87" s="16">
        <f t="shared" si="43"/>
        <v>3.2248275907111101</v>
      </c>
      <c r="M87" s="16">
        <f t="shared" si="44"/>
        <v>4.4237544146036161</v>
      </c>
      <c r="N87" s="16">
        <f t="shared" si="45"/>
        <v>2.9639154577844229</v>
      </c>
      <c r="O87" s="16">
        <f t="shared" si="46"/>
        <v>0.37199119655213642</v>
      </c>
      <c r="P87" s="16">
        <f t="shared" si="47"/>
        <v>0.96800870861241373</v>
      </c>
      <c r="Q87" s="16">
        <f t="shared" si="48"/>
        <v>1.7335895612193406</v>
      </c>
      <c r="R87" s="16">
        <f t="shared" si="49"/>
        <v>39.70296051501554</v>
      </c>
      <c r="S87" s="16">
        <f t="shared" si="50"/>
        <v>13.250366073014069</v>
      </c>
      <c r="T87" s="16">
        <f t="shared" si="51"/>
        <v>24.907575459279315</v>
      </c>
      <c r="U87" s="16">
        <f t="shared" si="52"/>
        <v>29.819305524407572</v>
      </c>
      <c r="V87" s="16">
        <f t="shared" si="53"/>
        <v>19.178833103645072</v>
      </c>
      <c r="W87" s="16">
        <f t="shared" si="54"/>
        <v>3.1987291594534542</v>
      </c>
      <c r="X87" s="16">
        <f t="shared" si="55"/>
        <v>7.5261490907223223</v>
      </c>
      <c r="Y87" s="16">
        <f t="shared" si="56"/>
        <v>5.5639775575251145</v>
      </c>
      <c r="Z87">
        <v>0.75</v>
      </c>
      <c r="AB87">
        <f t="shared" si="57"/>
        <v>5.6446118180417422</v>
      </c>
      <c r="AC87" s="58">
        <v>3.8</v>
      </c>
      <c r="AD87">
        <f t="shared" si="37"/>
        <v>3.1068800000000003</v>
      </c>
      <c r="AE87">
        <v>0</v>
      </c>
      <c r="AF87">
        <v>0</v>
      </c>
      <c r="AH87">
        <f t="shared" si="59"/>
        <v>94.194194828591094</v>
      </c>
      <c r="AN87">
        <f t="shared" si="60"/>
        <v>77</v>
      </c>
    </row>
    <row r="88" spans="1:40" ht="15.6">
      <c r="A88" s="1">
        <v>44394</v>
      </c>
      <c r="B88">
        <f t="shared" si="61"/>
        <v>198</v>
      </c>
      <c r="C88">
        <f t="shared" si="40"/>
        <v>30.25</v>
      </c>
      <c r="D88" s="31">
        <v>35</v>
      </c>
      <c r="E88" s="30">
        <v>25.5</v>
      </c>
      <c r="F88" s="33">
        <v>70</v>
      </c>
      <c r="G88" s="34">
        <v>5</v>
      </c>
      <c r="H88" s="35">
        <v>11.5</v>
      </c>
      <c r="I88" s="16">
        <f>4098*(0.6108*EXP(17.27*Tomato!C87/(Tomato!C87+237.3)))/(Tomato!C87+237.3)^2</f>
        <v>0.22743235016149782</v>
      </c>
      <c r="J88" s="16">
        <f t="shared" si="41"/>
        <v>0.40930435016149785</v>
      </c>
      <c r="K88" s="16">
        <f t="shared" si="42"/>
        <v>5.6226812384961216</v>
      </c>
      <c r="L88" s="16">
        <f t="shared" si="43"/>
        <v>3.263356619324485</v>
      </c>
      <c r="M88" s="16">
        <f t="shared" si="44"/>
        <v>4.4430189289103037</v>
      </c>
      <c r="N88" s="16">
        <f t="shared" si="45"/>
        <v>3.1101132502372124</v>
      </c>
      <c r="O88" s="16">
        <f t="shared" si="46"/>
        <v>0.36901117109440001</v>
      </c>
      <c r="P88" s="16">
        <f t="shared" si="47"/>
        <v>0.96815274516508831</v>
      </c>
      <c r="Q88" s="16">
        <f t="shared" si="48"/>
        <v>1.7321459174053728</v>
      </c>
      <c r="R88" s="16">
        <f t="shared" si="49"/>
        <v>39.677440295180546</v>
      </c>
      <c r="S88" s="16">
        <f t="shared" si="50"/>
        <v>13.23933185277992</v>
      </c>
      <c r="T88" s="16">
        <f t="shared" si="51"/>
        <v>27.151746438472863</v>
      </c>
      <c r="U88" s="16">
        <f t="shared" si="52"/>
        <v>29.800138308098298</v>
      </c>
      <c r="V88" s="16">
        <f t="shared" si="53"/>
        <v>20.906844757624103</v>
      </c>
      <c r="W88" s="16">
        <f t="shared" si="54"/>
        <v>3.4093888432425259</v>
      </c>
      <c r="X88" s="16">
        <f t="shared" si="55"/>
        <v>7.221924671904663</v>
      </c>
      <c r="Y88" s="16">
        <f t="shared" si="56"/>
        <v>5.5142549354206745</v>
      </c>
      <c r="Z88">
        <v>0.75</v>
      </c>
      <c r="AB88">
        <f t="shared" si="57"/>
        <v>5.4164435039284973</v>
      </c>
      <c r="AC88" s="58">
        <v>0</v>
      </c>
      <c r="AD88">
        <f t="shared" si="37"/>
        <v>0</v>
      </c>
      <c r="AE88">
        <v>0</v>
      </c>
      <c r="AF88">
        <v>0</v>
      </c>
      <c r="AH88">
        <f t="shared" si="59"/>
        <v>88.777751324662603</v>
      </c>
      <c r="AN88">
        <f t="shared" si="60"/>
        <v>78</v>
      </c>
    </row>
    <row r="89" spans="1:40" ht="15.6">
      <c r="A89" s="1">
        <v>44395</v>
      </c>
      <c r="B89">
        <f t="shared" si="61"/>
        <v>199</v>
      </c>
      <c r="C89">
        <f t="shared" si="40"/>
        <v>30.15</v>
      </c>
      <c r="D89" s="31">
        <v>34.799999999999997</v>
      </c>
      <c r="E89" s="30">
        <v>25.5</v>
      </c>
      <c r="F89" s="33">
        <v>73</v>
      </c>
      <c r="G89" s="34">
        <v>4</v>
      </c>
      <c r="H89" s="35">
        <v>10</v>
      </c>
      <c r="I89" s="16">
        <f>4098*(0.6108*EXP(17.27*Tomato!C88/(Tomato!C88+237.3)))/(Tomato!C88+237.3)^2</f>
        <v>0.2167550737640033</v>
      </c>
      <c r="J89" s="16">
        <f t="shared" si="41"/>
        <v>0.37572467376400331</v>
      </c>
      <c r="K89" s="16">
        <f t="shared" si="42"/>
        <v>5.5608244417211337</v>
      </c>
      <c r="L89" s="16">
        <f t="shared" si="43"/>
        <v>3.263356619324485</v>
      </c>
      <c r="M89" s="16">
        <f t="shared" si="44"/>
        <v>4.4120905305228089</v>
      </c>
      <c r="N89" s="16">
        <f t="shared" si="45"/>
        <v>3.2208260872816505</v>
      </c>
      <c r="O89" s="16">
        <f t="shared" si="46"/>
        <v>0.36592191049941558</v>
      </c>
      <c r="P89" s="16">
        <f t="shared" si="47"/>
        <v>0.96830620918100885</v>
      </c>
      <c r="Q89" s="16">
        <f t="shared" si="48"/>
        <v>1.7306532205663676</v>
      </c>
      <c r="R89" s="16">
        <f t="shared" si="49"/>
        <v>39.650840491193335</v>
      </c>
      <c r="S89" s="16">
        <f t="shared" si="50"/>
        <v>13.227922704965867</v>
      </c>
      <c r="T89" s="16">
        <f t="shared" si="51"/>
        <v>24.900263866330604</v>
      </c>
      <c r="U89" s="16">
        <f t="shared" si="52"/>
        <v>29.780160259315664</v>
      </c>
      <c r="V89" s="16">
        <f t="shared" si="53"/>
        <v>19.173203177074566</v>
      </c>
      <c r="W89" s="16">
        <f t="shared" si="54"/>
        <v>2.8720377242057626</v>
      </c>
      <c r="X89" s="16">
        <f t="shared" si="55"/>
        <v>6.3730929096170534</v>
      </c>
      <c r="Y89" s="16">
        <f t="shared" si="56"/>
        <v>5.4408967247969695</v>
      </c>
      <c r="Z89">
        <v>0.75</v>
      </c>
      <c r="AB89">
        <f t="shared" si="57"/>
        <v>4.7798196822127901</v>
      </c>
      <c r="AC89" s="58">
        <v>0</v>
      </c>
      <c r="AD89">
        <f t="shared" si="37"/>
        <v>0</v>
      </c>
      <c r="AE89">
        <v>0</v>
      </c>
      <c r="AF89">
        <v>0</v>
      </c>
      <c r="AH89">
        <f t="shared" si="59"/>
        <v>83.997931642449814</v>
      </c>
      <c r="AN89">
        <f t="shared" si="60"/>
        <v>79</v>
      </c>
    </row>
    <row r="90" spans="1:40" ht="15.6">
      <c r="A90" s="1">
        <v>44396</v>
      </c>
      <c r="B90">
        <f t="shared" si="61"/>
        <v>200</v>
      </c>
      <c r="C90">
        <f t="shared" si="40"/>
        <v>29.85</v>
      </c>
      <c r="D90" s="31">
        <v>34.4</v>
      </c>
      <c r="E90" s="30">
        <v>25.3</v>
      </c>
      <c r="F90" s="33">
        <v>74</v>
      </c>
      <c r="G90" s="34">
        <v>6</v>
      </c>
      <c r="H90" s="35">
        <v>3.1</v>
      </c>
      <c r="I90" s="16">
        <f>4098*(0.6108*EXP(17.27*Tomato!C89/(Tomato!C89+237.3)))/(Tomato!C89+237.3)^2</f>
        <v>0.20969496361300413</v>
      </c>
      <c r="J90" s="16">
        <f t="shared" si="41"/>
        <v>0.41446936361300413</v>
      </c>
      <c r="K90" s="16">
        <f t="shared" si="42"/>
        <v>5.4388791379242765</v>
      </c>
      <c r="L90" s="16">
        <f t="shared" si="43"/>
        <v>3.2248275907111101</v>
      </c>
      <c r="M90" s="16">
        <f t="shared" si="44"/>
        <v>4.3318533643176931</v>
      </c>
      <c r="N90" s="16">
        <f t="shared" si="45"/>
        <v>3.2055714895950929</v>
      </c>
      <c r="O90" s="16">
        <f t="shared" si="46"/>
        <v>0.36272432925387504</v>
      </c>
      <c r="P90" s="16">
        <f t="shared" si="47"/>
        <v>0.96846905523157023</v>
      </c>
      <c r="Q90" s="16">
        <f t="shared" si="48"/>
        <v>1.7291122783162785</v>
      </c>
      <c r="R90" s="16">
        <f t="shared" si="49"/>
        <v>39.623134679459916</v>
      </c>
      <c r="S90" s="16">
        <f t="shared" si="50"/>
        <v>13.216144802417414</v>
      </c>
      <c r="T90" s="16">
        <f t="shared" si="51"/>
        <v>14.552816497617371</v>
      </c>
      <c r="U90" s="16">
        <f t="shared" si="52"/>
        <v>29.759351532355161</v>
      </c>
      <c r="V90" s="16">
        <f t="shared" si="53"/>
        <v>11.205668703165376</v>
      </c>
      <c r="W90" s="16">
        <f t="shared" si="54"/>
        <v>1.1469327914063741</v>
      </c>
      <c r="X90" s="16">
        <f t="shared" si="55"/>
        <v>5.3401385385476408</v>
      </c>
      <c r="Y90" s="16">
        <f t="shared" si="56"/>
        <v>5.3446642831488109</v>
      </c>
      <c r="Z90">
        <v>0.75</v>
      </c>
      <c r="AB90">
        <f t="shared" si="57"/>
        <v>4.0051039039107303</v>
      </c>
      <c r="AC90" s="58">
        <v>0</v>
      </c>
      <c r="AD90">
        <f t="shared" si="37"/>
        <v>0</v>
      </c>
      <c r="AE90">
        <v>0</v>
      </c>
      <c r="AF90">
        <v>0</v>
      </c>
      <c r="AH90">
        <f>AH89-AB90+AD90+AF90-AE90</f>
        <v>79.992827738539077</v>
      </c>
      <c r="AN90">
        <f t="shared" si="60"/>
        <v>80</v>
      </c>
    </row>
    <row r="91" spans="1:40" ht="15.6">
      <c r="A91" s="1">
        <v>44397</v>
      </c>
      <c r="B91">
        <f t="shared" si="61"/>
        <v>201</v>
      </c>
      <c r="C91">
        <f t="shared" si="40"/>
        <v>27.75</v>
      </c>
      <c r="D91" s="31">
        <v>31.2</v>
      </c>
      <c r="E91" s="30">
        <v>24.3</v>
      </c>
      <c r="F91" s="33">
        <v>88</v>
      </c>
      <c r="G91" s="34">
        <v>4</v>
      </c>
      <c r="H91" s="35">
        <v>0</v>
      </c>
      <c r="I91" s="16">
        <f>4098*(0.6108*EXP(17.27*Tomato!C90/(Tomato!C90+237.3)))/(Tomato!C90+237.3)^2</f>
        <v>0.23440079772556432</v>
      </c>
      <c r="J91" s="16">
        <f t="shared" si="41"/>
        <v>0.39337039772556437</v>
      </c>
      <c r="K91" s="16">
        <f t="shared" si="42"/>
        <v>4.5439995866454055</v>
      </c>
      <c r="L91" s="16">
        <f t="shared" si="43"/>
        <v>3.0380717152215446</v>
      </c>
      <c r="M91" s="16">
        <f t="shared" si="44"/>
        <v>3.7910356509334751</v>
      </c>
      <c r="N91" s="16">
        <f t="shared" si="45"/>
        <v>3.336111372821458</v>
      </c>
      <c r="O91" s="16">
        <f t="shared" si="46"/>
        <v>0.35941937390968143</v>
      </c>
      <c r="P91" s="16">
        <f t="shared" si="47"/>
        <v>0.96864123511088562</v>
      </c>
      <c r="Q91" s="16">
        <f t="shared" si="48"/>
        <v>1.7275239135192269</v>
      </c>
      <c r="R91" s="16">
        <f t="shared" si="49"/>
        <v>39.594295827816318</v>
      </c>
      <c r="S91" s="16">
        <f t="shared" si="50"/>
        <v>13.204004434541861</v>
      </c>
      <c r="T91" s="16">
        <f t="shared" si="51"/>
        <v>9.8985739569540794</v>
      </c>
      <c r="U91" s="16">
        <f t="shared" si="52"/>
        <v>29.737691824439722</v>
      </c>
      <c r="V91" s="16">
        <f t="shared" si="53"/>
        <v>7.6219019468546412</v>
      </c>
      <c r="W91" s="16">
        <f t="shared" si="54"/>
        <v>0.3369442284836196</v>
      </c>
      <c r="X91" s="16">
        <f t="shared" si="55"/>
        <v>2.7035794753124214</v>
      </c>
      <c r="Y91" s="16">
        <f t="shared" si="56"/>
        <v>4.4456324042381832</v>
      </c>
      <c r="Z91">
        <v>1.1499999999999999</v>
      </c>
      <c r="AB91">
        <f t="shared" si="57"/>
        <v>3.1091163966092843</v>
      </c>
      <c r="AC91" s="58">
        <v>1.6</v>
      </c>
      <c r="AD91">
        <f t="shared" si="37"/>
        <v>1.4771200000000002</v>
      </c>
      <c r="AE91">
        <v>0</v>
      </c>
      <c r="AF91">
        <f>132-AH90-AD91+AB91</f>
        <v>53.639168658070204</v>
      </c>
      <c r="AH91">
        <f>AH90-AB91+AD91+AF91-AE91</f>
        <v>132</v>
      </c>
      <c r="AJ91" t="s">
        <v>2</v>
      </c>
      <c r="AN91">
        <f t="shared" si="60"/>
        <v>81</v>
      </c>
    </row>
    <row r="92" spans="1:40" ht="15.6">
      <c r="A92" s="1">
        <v>44398</v>
      </c>
      <c r="B92">
        <f t="shared" si="61"/>
        <v>202</v>
      </c>
      <c r="C92">
        <f t="shared" si="40"/>
        <v>29</v>
      </c>
      <c r="D92" s="31">
        <v>33</v>
      </c>
      <c r="E92" s="30">
        <v>25</v>
      </c>
      <c r="F92" s="33">
        <v>87</v>
      </c>
      <c r="G92" s="34">
        <v>4</v>
      </c>
      <c r="H92" s="35">
        <v>0.5</v>
      </c>
      <c r="I92" s="16">
        <f>4098*(0.6108*EXP(17.27*Tomato!C91/(Tomato!C91+237.3)))/(Tomato!C91+237.3)^2</f>
        <v>0.2349895019498757</v>
      </c>
      <c r="J92" s="16">
        <f t="shared" si="41"/>
        <v>0.39395910194987571</v>
      </c>
      <c r="K92" s="16">
        <f t="shared" si="42"/>
        <v>5.030147795606851</v>
      </c>
      <c r="L92" s="16">
        <f t="shared" si="43"/>
        <v>3.1677777175068473</v>
      </c>
      <c r="M92" s="16">
        <f t="shared" si="44"/>
        <v>4.0989627565568494</v>
      </c>
      <c r="N92" s="16">
        <f t="shared" si="45"/>
        <v>3.5660975982044589</v>
      </c>
      <c r="O92" s="16">
        <f t="shared" si="46"/>
        <v>0.35600802280374932</v>
      </c>
      <c r="P92" s="16">
        <f t="shared" si="47"/>
        <v>0.96882269785005704</v>
      </c>
      <c r="Q92" s="16">
        <f t="shared" si="48"/>
        <v>1.7258889629596981</v>
      </c>
      <c r="R92" s="16">
        <f t="shared" si="49"/>
        <v>39.564296344746658</v>
      </c>
      <c r="S92" s="16">
        <f t="shared" si="50"/>
        <v>13.191507997144189</v>
      </c>
      <c r="T92" s="16">
        <f t="shared" si="51"/>
        <v>10.640880256059585</v>
      </c>
      <c r="U92" s="16">
        <f t="shared" si="52"/>
        <v>29.715160412685425</v>
      </c>
      <c r="V92" s="16">
        <f t="shared" si="53"/>
        <v>8.1934777971658814</v>
      </c>
      <c r="W92" s="16">
        <f t="shared" si="54"/>
        <v>0.41282776143507272</v>
      </c>
      <c r="X92" s="16">
        <f t="shared" si="55"/>
        <v>2.9796201461431417</v>
      </c>
      <c r="Y92" s="16">
        <f t="shared" si="56"/>
        <v>4.9145334099954079</v>
      </c>
      <c r="Z92">
        <v>1.1499999999999999</v>
      </c>
      <c r="AB92">
        <f t="shared" si="57"/>
        <v>3.4265631680646127</v>
      </c>
      <c r="AC92" s="58">
        <v>1</v>
      </c>
      <c r="AD92">
        <f t="shared" si="37"/>
        <v>0.95199999999999996</v>
      </c>
      <c r="AE92">
        <v>0</v>
      </c>
      <c r="AF92">
        <v>0</v>
      </c>
      <c r="AH92">
        <f t="shared" ref="AH92:AH120" si="63">AH91-AB92+AD92+AF92-AE92</f>
        <v>129.52543683193539</v>
      </c>
      <c r="AN92">
        <f t="shared" si="60"/>
        <v>82</v>
      </c>
    </row>
    <row r="93" spans="1:40" ht="15.6">
      <c r="A93" s="1">
        <v>44399</v>
      </c>
      <c r="B93">
        <f t="shared" si="61"/>
        <v>203</v>
      </c>
      <c r="C93">
        <f t="shared" si="40"/>
        <v>29.05</v>
      </c>
      <c r="D93" s="31">
        <v>32.6</v>
      </c>
      <c r="E93" s="30">
        <v>25.5</v>
      </c>
      <c r="F93" s="33">
        <v>81</v>
      </c>
      <c r="G93" s="34">
        <v>4</v>
      </c>
      <c r="H93" s="35">
        <v>7.1</v>
      </c>
      <c r="I93" s="16">
        <f>4098*(0.6108*EXP(17.27*Tomato!C92/(Tomato!C92+237.3)))/(Tomato!C92+237.3)^2</f>
        <v>0.24397006559464809</v>
      </c>
      <c r="J93" s="16">
        <f t="shared" si="41"/>
        <v>0.40293966559464811</v>
      </c>
      <c r="K93" s="16">
        <f t="shared" si="42"/>
        <v>4.9183812721762612</v>
      </c>
      <c r="L93" s="16">
        <f t="shared" si="43"/>
        <v>3.263356619324485</v>
      </c>
      <c r="M93" s="16">
        <f t="shared" si="44"/>
        <v>4.0908689457503726</v>
      </c>
      <c r="N93" s="16">
        <f t="shared" si="45"/>
        <v>3.3136038460578021</v>
      </c>
      <c r="O93" s="16">
        <f t="shared" si="46"/>
        <v>0.35249128576839656</v>
      </c>
      <c r="P93" s="16">
        <f t="shared" si="47"/>
        <v>0.96901338973226303</v>
      </c>
      <c r="Q93" s="16">
        <f t="shared" si="48"/>
        <v>1.7242082760222472</v>
      </c>
      <c r="R93" s="16">
        <f t="shared" si="49"/>
        <v>39.533108130098533</v>
      </c>
      <c r="S93" s="16">
        <f t="shared" si="50"/>
        <v>13.178661982335647</v>
      </c>
      <c r="T93" s="16">
        <f t="shared" si="51"/>
        <v>20.532501821047283</v>
      </c>
      <c r="U93" s="16">
        <f t="shared" si="52"/>
        <v>29.691736192191801</v>
      </c>
      <c r="V93" s="16">
        <f t="shared" si="53"/>
        <v>15.810026402206409</v>
      </c>
      <c r="W93" s="16">
        <f t="shared" si="54"/>
        <v>2.0339589634216479</v>
      </c>
      <c r="X93" s="16">
        <f t="shared" si="55"/>
        <v>4.9518124169410154</v>
      </c>
      <c r="Y93" s="16">
        <f t="shared" si="56"/>
        <v>4.6311380703366467</v>
      </c>
      <c r="Z93">
        <v>1.1499999999999999</v>
      </c>
      <c r="AB93">
        <f t="shared" si="57"/>
        <v>5.6945842794821671</v>
      </c>
      <c r="AC93" s="58">
        <v>1</v>
      </c>
      <c r="AD93">
        <f t="shared" si="37"/>
        <v>0.95199999999999996</v>
      </c>
      <c r="AE93">
        <v>0</v>
      </c>
      <c r="AF93">
        <v>0</v>
      </c>
      <c r="AH93">
        <f t="shared" si="63"/>
        <v>124.78285255245322</v>
      </c>
      <c r="AN93">
        <f t="shared" si="60"/>
        <v>83</v>
      </c>
    </row>
    <row r="94" spans="1:40" ht="15.6">
      <c r="A94" s="1">
        <v>44400</v>
      </c>
      <c r="B94">
        <f t="shared" si="61"/>
        <v>204</v>
      </c>
      <c r="C94">
        <f t="shared" si="40"/>
        <v>28.1</v>
      </c>
      <c r="D94" s="31">
        <v>31.2</v>
      </c>
      <c r="E94" s="30">
        <v>25</v>
      </c>
      <c r="F94" s="33">
        <v>88</v>
      </c>
      <c r="G94" s="34">
        <v>6</v>
      </c>
      <c r="H94" s="35">
        <v>0</v>
      </c>
      <c r="I94" s="16">
        <f>4098*(0.6108*EXP(17.27*Tomato!C93/(Tomato!C93+237.3)))/(Tomato!C93+237.3)^2</f>
        <v>0.24154756638329455</v>
      </c>
      <c r="J94" s="16">
        <f t="shared" si="41"/>
        <v>0.44632196638329458</v>
      </c>
      <c r="K94" s="16">
        <f t="shared" si="42"/>
        <v>4.5439995866454055</v>
      </c>
      <c r="L94" s="16">
        <f t="shared" si="43"/>
        <v>3.1677777175068473</v>
      </c>
      <c r="M94" s="16">
        <f t="shared" si="44"/>
        <v>3.8558886520761266</v>
      </c>
      <c r="N94" s="16">
        <f t="shared" si="45"/>
        <v>3.3931820138269915</v>
      </c>
      <c r="O94" s="16">
        <f t="shared" si="46"/>
        <v>0.34887020383241285</v>
      </c>
      <c r="P94" s="16">
        <f t="shared" si="47"/>
        <v>0.96921325430865979</v>
      </c>
      <c r="Q94" s="16">
        <f t="shared" si="48"/>
        <v>1.7224827133845912</v>
      </c>
      <c r="R94" s="16">
        <f t="shared" si="49"/>
        <v>39.500702627247954</v>
      </c>
      <c r="S94" s="16">
        <f t="shared" si="50"/>
        <v>13.165472968544647</v>
      </c>
      <c r="T94" s="16">
        <f t="shared" si="51"/>
        <v>9.8751756568119884</v>
      </c>
      <c r="U94" s="16">
        <f t="shared" si="52"/>
        <v>29.667397715220847</v>
      </c>
      <c r="V94" s="16">
        <f t="shared" si="53"/>
        <v>7.6038852557452312</v>
      </c>
      <c r="W94" s="16">
        <f t="shared" si="54"/>
        <v>0.32971729332459809</v>
      </c>
      <c r="X94" s="16">
        <f t="shared" si="55"/>
        <v>2.8585921404782586</v>
      </c>
      <c r="Y94" s="16">
        <f t="shared" si="56"/>
        <v>4.2364428313224121</v>
      </c>
      <c r="Z94">
        <v>1.1499999999999999</v>
      </c>
      <c r="AB94">
        <f t="shared" si="57"/>
        <v>3.2873809615499971</v>
      </c>
      <c r="AC94" s="58">
        <v>12</v>
      </c>
      <c r="AD94">
        <f t="shared" ref="AD94" si="64">(125+0.1*AC94*30)/30</f>
        <v>5.3666666666666663</v>
      </c>
      <c r="AE94">
        <v>0</v>
      </c>
      <c r="AF94">
        <v>0</v>
      </c>
      <c r="AH94">
        <f t="shared" si="63"/>
        <v>126.86213825756988</v>
      </c>
      <c r="AN94">
        <f t="shared" si="60"/>
        <v>84</v>
      </c>
    </row>
    <row r="95" spans="1:40" ht="15.6">
      <c r="A95" s="1">
        <v>44401</v>
      </c>
      <c r="B95">
        <f t="shared" si="61"/>
        <v>205</v>
      </c>
      <c r="C95">
        <f t="shared" si="40"/>
        <v>28.65</v>
      </c>
      <c r="D95" s="31">
        <v>32</v>
      </c>
      <c r="E95" s="30">
        <v>25.3</v>
      </c>
      <c r="F95" s="33">
        <v>80</v>
      </c>
      <c r="G95" s="34">
        <v>4</v>
      </c>
      <c r="H95" s="35">
        <v>0</v>
      </c>
      <c r="I95" s="16">
        <f>4098*(0.6108*EXP(17.27*Tomato!C94/(Tomato!C94+237.3)))/(Tomato!C94+237.3)^2</f>
        <v>0.23617063355931983</v>
      </c>
      <c r="J95" s="16">
        <f t="shared" si="41"/>
        <v>0.39514023355931982</v>
      </c>
      <c r="K95" s="16">
        <f t="shared" si="42"/>
        <v>4.7547753962618131</v>
      </c>
      <c r="L95" s="16">
        <f t="shared" si="43"/>
        <v>3.2248275907111101</v>
      </c>
      <c r="M95" s="16">
        <f t="shared" si="44"/>
        <v>3.9898014934864614</v>
      </c>
      <c r="N95" s="16">
        <f t="shared" si="45"/>
        <v>3.1918411947891694</v>
      </c>
      <c r="O95" s="16">
        <f t="shared" si="46"/>
        <v>0.34514584891289229</v>
      </c>
      <c r="P95" s="16">
        <f t="shared" si="47"/>
        <v>0.96942223241509162</v>
      </c>
      <c r="Q95" s="16">
        <f t="shared" si="48"/>
        <v>1.7207131457277896</v>
      </c>
      <c r="R95" s="16">
        <f t="shared" si="49"/>
        <v>39.467050876663144</v>
      </c>
      <c r="S95" s="16">
        <f t="shared" si="50"/>
        <v>13.151947610658263</v>
      </c>
      <c r="T95" s="16">
        <f t="shared" si="51"/>
        <v>9.8667627191657861</v>
      </c>
      <c r="U95" s="16">
        <f t="shared" si="52"/>
        <v>29.64212323142662</v>
      </c>
      <c r="V95" s="16">
        <f t="shared" si="53"/>
        <v>7.5974072937576551</v>
      </c>
      <c r="W95" s="16">
        <f t="shared" si="54"/>
        <v>0.36359061904462092</v>
      </c>
      <c r="X95" s="16">
        <f t="shared" si="55"/>
        <v>3.3874365784946914</v>
      </c>
      <c r="Y95" s="16">
        <f t="shared" si="56"/>
        <v>4.4529292436333385</v>
      </c>
      <c r="Z95">
        <v>1.1499999999999999</v>
      </c>
      <c r="AB95">
        <f t="shared" si="57"/>
        <v>3.8955520652688946</v>
      </c>
      <c r="AC95" s="58">
        <v>6.4</v>
      </c>
      <c r="AD95">
        <f t="shared" si="37"/>
        <v>4.4339199999999996</v>
      </c>
      <c r="AE95">
        <v>0</v>
      </c>
      <c r="AF95">
        <v>0</v>
      </c>
      <c r="AH95">
        <f t="shared" si="63"/>
        <v>127.40050619230098</v>
      </c>
      <c r="AN95">
        <f t="shared" si="60"/>
        <v>85</v>
      </c>
    </row>
    <row r="96" spans="1:40" ht="15.6">
      <c r="A96" s="1">
        <v>44402</v>
      </c>
      <c r="B96">
        <f t="shared" si="61"/>
        <v>206</v>
      </c>
      <c r="C96">
        <f t="shared" si="40"/>
        <v>28.950000000000003</v>
      </c>
      <c r="D96" s="31">
        <v>32.6</v>
      </c>
      <c r="E96" s="30">
        <v>25.3</v>
      </c>
      <c r="F96" s="33">
        <v>75</v>
      </c>
      <c r="G96" s="34">
        <v>4</v>
      </c>
      <c r="H96" s="35">
        <v>6.7</v>
      </c>
      <c r="I96" s="16">
        <f>4098*(0.6108*EXP(17.27*Tomato!C95/(Tomato!C95+237.3)))/(Tomato!C95+237.3)^2</f>
        <v>0.22514855067229991</v>
      </c>
      <c r="J96" s="16">
        <f t="shared" si="41"/>
        <v>0.38411815067229993</v>
      </c>
      <c r="K96" s="16">
        <f t="shared" si="42"/>
        <v>4.9183812721762612</v>
      </c>
      <c r="L96" s="16">
        <f t="shared" si="43"/>
        <v>3.2248275907111101</v>
      </c>
      <c r="M96" s="16">
        <f t="shared" si="44"/>
        <v>4.0716044314436859</v>
      </c>
      <c r="N96" s="16">
        <f t="shared" si="45"/>
        <v>3.0537033235827646</v>
      </c>
      <c r="O96" s="16">
        <f t="shared" si="46"/>
        <v>0.34131932349792377</v>
      </c>
      <c r="P96" s="16">
        <f t="shared" si="47"/>
        <v>0.9696402621896042</v>
      </c>
      <c r="Q96" s="16">
        <f t="shared" si="48"/>
        <v>1.7189004524670319</v>
      </c>
      <c r="R96" s="16">
        <f t="shared" si="49"/>
        <v>39.432123570812131</v>
      </c>
      <c r="S96" s="16">
        <f t="shared" si="50"/>
        <v>13.138092630321264</v>
      </c>
      <c r="T96" s="16">
        <f t="shared" si="51"/>
        <v>19.912581250899926</v>
      </c>
      <c r="U96" s="16">
        <f t="shared" si="52"/>
        <v>29.615890729094158</v>
      </c>
      <c r="V96" s="16">
        <f t="shared" si="53"/>
        <v>15.332687563192943</v>
      </c>
      <c r="W96" s="16">
        <f t="shared" si="54"/>
        <v>2.1738223332835731</v>
      </c>
      <c r="X96" s="16">
        <f t="shared" si="55"/>
        <v>5.2750894326656468</v>
      </c>
      <c r="Y96" s="16">
        <f t="shared" si="56"/>
        <v>4.6739193098738339</v>
      </c>
      <c r="Z96">
        <v>1.1499999999999999</v>
      </c>
      <c r="AB96">
        <f t="shared" si="57"/>
        <v>6.0663528475654935</v>
      </c>
      <c r="AC96" s="58">
        <v>0</v>
      </c>
      <c r="AD96">
        <f t="shared" si="37"/>
        <v>0</v>
      </c>
      <c r="AE96">
        <v>0</v>
      </c>
      <c r="AF96">
        <v>0</v>
      </c>
      <c r="AH96">
        <f t="shared" si="63"/>
        <v>121.33415334473548</v>
      </c>
      <c r="AN96">
        <f t="shared" si="60"/>
        <v>86</v>
      </c>
    </row>
    <row r="97" spans="1:40" ht="15.6">
      <c r="A97" s="1">
        <v>44403</v>
      </c>
      <c r="B97">
        <f t="shared" si="61"/>
        <v>207</v>
      </c>
      <c r="C97">
        <f t="shared" si="40"/>
        <v>29.1</v>
      </c>
      <c r="D97" s="31">
        <v>33</v>
      </c>
      <c r="E97" s="30">
        <v>25.2</v>
      </c>
      <c r="F97" s="33">
        <v>69</v>
      </c>
      <c r="G97" s="34">
        <v>6</v>
      </c>
      <c r="H97" s="35">
        <v>1.2</v>
      </c>
      <c r="I97" s="16">
        <f>4098*(0.6108*EXP(17.27*Tomato!C96/(Tomato!C96+237.3)))/(Tomato!C96+237.3)^2</f>
        <v>0.22232091572927459</v>
      </c>
      <c r="J97" s="16">
        <f t="shared" si="41"/>
        <v>0.42709531572927462</v>
      </c>
      <c r="K97" s="16">
        <f t="shared" si="42"/>
        <v>5.030147795606851</v>
      </c>
      <c r="L97" s="16">
        <f t="shared" si="43"/>
        <v>3.2057122429156886</v>
      </c>
      <c r="M97" s="16">
        <f t="shared" si="44"/>
        <v>4.1179300192612693</v>
      </c>
      <c r="N97" s="16">
        <f t="shared" si="45"/>
        <v>2.8413717132902758</v>
      </c>
      <c r="O97" s="16">
        <f t="shared" si="46"/>
        <v>0.33739176032023088</v>
      </c>
      <c r="P97" s="16">
        <f t="shared" si="47"/>
        <v>0.96986727909075776</v>
      </c>
      <c r="Q97" s="16">
        <f t="shared" si="48"/>
        <v>1.7170455205063579</v>
      </c>
      <c r="R97" s="16">
        <f t="shared" si="49"/>
        <v>39.395891110355649</v>
      </c>
      <c r="S97" s="16">
        <f t="shared" si="50"/>
        <v>13.123914806418023</v>
      </c>
      <c r="T97" s="16">
        <f t="shared" si="51"/>
        <v>11.650076717600308</v>
      </c>
      <c r="U97" s="16">
        <f t="shared" si="52"/>
        <v>29.588677977343711</v>
      </c>
      <c r="V97" s="16">
        <f t="shared" si="53"/>
        <v>8.9705590725522377</v>
      </c>
      <c r="W97" s="16">
        <f t="shared" si="54"/>
        <v>0.77352112446520904</v>
      </c>
      <c r="X97" s="16">
        <f t="shared" si="55"/>
        <v>5.3397221018622485</v>
      </c>
      <c r="Y97" s="16">
        <f t="shared" si="56"/>
        <v>4.8423822788150712</v>
      </c>
      <c r="Z97">
        <v>1.1499999999999999</v>
      </c>
      <c r="AB97">
        <f t="shared" si="57"/>
        <v>6.140680417141585</v>
      </c>
      <c r="AC97" s="59">
        <v>9.4</v>
      </c>
      <c r="AD97">
        <f t="shared" ref="AD97:AD101" si="65">(125+0.1*AC97*30)/30</f>
        <v>5.1066666666666665</v>
      </c>
      <c r="AE97">
        <v>0</v>
      </c>
      <c r="AF97">
        <v>0</v>
      </c>
      <c r="AH97">
        <f t="shared" si="63"/>
        <v>120.30013959426057</v>
      </c>
      <c r="AN97">
        <f t="shared" si="60"/>
        <v>87</v>
      </c>
    </row>
    <row r="98" spans="1:40" ht="15.6">
      <c r="A98" s="1">
        <v>44404</v>
      </c>
      <c r="B98">
        <f t="shared" si="61"/>
        <v>208</v>
      </c>
      <c r="C98">
        <f t="shared" si="40"/>
        <v>28.55</v>
      </c>
      <c r="D98" s="31">
        <v>31.5</v>
      </c>
      <c r="E98" s="30">
        <v>25.6</v>
      </c>
      <c r="F98" s="33">
        <v>80</v>
      </c>
      <c r="G98" s="34">
        <v>4</v>
      </c>
      <c r="H98" s="35">
        <v>5</v>
      </c>
      <c r="I98" s="16">
        <f>4098*(0.6108*EXP(17.27*Tomato!C97/(Tomato!C97+237.3)))/(Tomato!C97+237.3)^2</f>
        <v>0.22232091572927459</v>
      </c>
      <c r="J98" s="16">
        <f t="shared" si="41"/>
        <v>0.38129051572927464</v>
      </c>
      <c r="K98" s="16">
        <f t="shared" si="42"/>
        <v>4.6220689030255047</v>
      </c>
      <c r="L98" s="16">
        <f t="shared" si="43"/>
        <v>3.2827711697769288</v>
      </c>
      <c r="M98" s="16">
        <f t="shared" si="44"/>
        <v>3.9524200364012168</v>
      </c>
      <c r="N98" s="16">
        <f t="shared" si="45"/>
        <v>3.1619360291209735</v>
      </c>
      <c r="O98" s="16">
        <f t="shared" si="46"/>
        <v>0.33336432202185917</v>
      </c>
      <c r="P98" s="16">
        <f t="shared" si="47"/>
        <v>0.97010321591673199</v>
      </c>
      <c r="Q98" s="16">
        <f t="shared" si="48"/>
        <v>1.7151492430204271</v>
      </c>
      <c r="R98" s="16">
        <f t="shared" si="49"/>
        <v>39.358323661563226</v>
      </c>
      <c r="S98" s="16">
        <f t="shared" si="50"/>
        <v>13.109420965761228</v>
      </c>
      <c r="T98" s="16">
        <f t="shared" si="51"/>
        <v>17.345313579777368</v>
      </c>
      <c r="U98" s="16">
        <f t="shared" si="52"/>
        <v>29.560462569253673</v>
      </c>
      <c r="V98" s="16">
        <f t="shared" si="53"/>
        <v>13.355891456428575</v>
      </c>
      <c r="W98" s="16">
        <f t="shared" si="54"/>
        <v>1.6365719730330366</v>
      </c>
      <c r="X98" s="16">
        <f t="shared" si="55"/>
        <v>4.4551415575751143</v>
      </c>
      <c r="Y98" s="16">
        <f t="shared" si="56"/>
        <v>4.1581517647161306</v>
      </c>
      <c r="Z98">
        <v>1.1499999999999999</v>
      </c>
      <c r="AB98">
        <f t="shared" si="57"/>
        <v>5.1234127912113809</v>
      </c>
      <c r="AC98" s="59">
        <v>1.2</v>
      </c>
      <c r="AD98">
        <f t="shared" si="37"/>
        <v>1.1308800000000001</v>
      </c>
      <c r="AE98">
        <v>0</v>
      </c>
      <c r="AF98">
        <v>0</v>
      </c>
      <c r="AH98">
        <f t="shared" si="63"/>
        <v>116.3076068030492</v>
      </c>
      <c r="AN98">
        <f t="shared" si="60"/>
        <v>88</v>
      </c>
    </row>
    <row r="99" spans="1:40" ht="15.6">
      <c r="A99" s="1">
        <v>44405</v>
      </c>
      <c r="B99">
        <f t="shared" si="61"/>
        <v>209</v>
      </c>
      <c r="C99">
        <f t="shared" si="40"/>
        <v>28.4</v>
      </c>
      <c r="D99" s="31">
        <v>31.5</v>
      </c>
      <c r="E99" s="30">
        <v>25.3</v>
      </c>
      <c r="F99" s="33">
        <v>74</v>
      </c>
      <c r="G99" s="34">
        <v>6</v>
      </c>
      <c r="H99" s="35">
        <v>2</v>
      </c>
      <c r="I99" s="16">
        <f>4098*(0.6108*EXP(17.27*Tomato!C98/(Tomato!C98+237.3)))/(Tomato!C98+237.3)^2</f>
        <v>0.24215129129346122</v>
      </c>
      <c r="J99" s="16">
        <f t="shared" si="41"/>
        <v>0.44692569129346127</v>
      </c>
      <c r="K99" s="16">
        <f t="shared" si="42"/>
        <v>4.6220689030255047</v>
      </c>
      <c r="L99" s="16">
        <f t="shared" si="43"/>
        <v>3.2248275907111101</v>
      </c>
      <c r="M99" s="16">
        <f t="shared" si="44"/>
        <v>3.9234482468683076</v>
      </c>
      <c r="N99" s="16">
        <f t="shared" si="45"/>
        <v>2.9033517026825475</v>
      </c>
      <c r="O99" s="16">
        <f t="shared" si="46"/>
        <v>0.32923820081000915</v>
      </c>
      <c r="P99" s="16">
        <f t="shared" si="47"/>
        <v>0.97034800282521982</v>
      </c>
      <c r="Q99" s="16">
        <f t="shared" si="48"/>
        <v>1.713212518266251</v>
      </c>
      <c r="R99" s="16">
        <f t="shared" si="49"/>
        <v>39.319391214886103</v>
      </c>
      <c r="S99" s="16">
        <f t="shared" si="50"/>
        <v>13.094617974009562</v>
      </c>
      <c r="T99" s="16">
        <f t="shared" si="51"/>
        <v>12.8325616891459</v>
      </c>
      <c r="U99" s="16">
        <f t="shared" si="52"/>
        <v>29.531221965852353</v>
      </c>
      <c r="V99" s="16">
        <f t="shared" si="53"/>
        <v>9.8810725006423432</v>
      </c>
      <c r="W99" s="16">
        <f t="shared" si="54"/>
        <v>0.97400507136101933</v>
      </c>
      <c r="X99" s="16">
        <f t="shared" si="55"/>
        <v>4.7236029914998117</v>
      </c>
      <c r="Y99" s="16">
        <f t="shared" si="56"/>
        <v>4.2445592902020257</v>
      </c>
      <c r="Z99">
        <v>1.1499999999999999</v>
      </c>
      <c r="AB99">
        <f t="shared" si="57"/>
        <v>5.4321434402247828</v>
      </c>
      <c r="AC99" s="59">
        <v>29</v>
      </c>
      <c r="AD99">
        <f t="shared" si="65"/>
        <v>7.0666666666666664</v>
      </c>
      <c r="AE99">
        <v>0</v>
      </c>
      <c r="AF99">
        <v>0</v>
      </c>
      <c r="AH99">
        <f t="shared" si="63"/>
        <v>117.94213002949108</v>
      </c>
      <c r="AN99">
        <f t="shared" si="60"/>
        <v>89</v>
      </c>
    </row>
    <row r="100" spans="1:40" ht="15.6">
      <c r="A100" s="1">
        <v>44406</v>
      </c>
      <c r="B100">
        <f t="shared" si="61"/>
        <v>210</v>
      </c>
      <c r="C100">
        <f t="shared" si="40"/>
        <v>27.4</v>
      </c>
      <c r="D100" s="31">
        <v>31.8</v>
      </c>
      <c r="E100" s="30">
        <v>23</v>
      </c>
      <c r="F100" s="33">
        <v>92</v>
      </c>
      <c r="G100" s="34">
        <v>4</v>
      </c>
      <c r="H100" s="35">
        <v>0</v>
      </c>
      <c r="I100" s="16">
        <f>4098*(0.6108*EXP(17.27*Tomato!C99/(Tomato!C99+237.3)))/(Tomato!C99+237.3)^2</f>
        <v>0.26021820629367171</v>
      </c>
      <c r="J100" s="16">
        <f t="shared" si="41"/>
        <v>0.41918780629367169</v>
      </c>
      <c r="K100" s="16">
        <f t="shared" si="42"/>
        <v>4.7013009415600848</v>
      </c>
      <c r="L100" s="16">
        <f t="shared" si="43"/>
        <v>2.809437622397069</v>
      </c>
      <c r="M100" s="16">
        <f t="shared" si="44"/>
        <v>3.7553692819785769</v>
      </c>
      <c r="N100" s="16">
        <f t="shared" si="45"/>
        <v>3.4549397394202908</v>
      </c>
      <c r="O100" s="16">
        <f t="shared" si="46"/>
        <v>0.32501461810411797</v>
      </c>
      <c r="P100" s="16">
        <f t="shared" si="47"/>
        <v>0.97060156735410175</v>
      </c>
      <c r="Q100" s="16">
        <f t="shared" si="48"/>
        <v>1.7112362484275823</v>
      </c>
      <c r="R100" s="16">
        <f t="shared" si="49"/>
        <v>39.279063644617345</v>
      </c>
      <c r="S100" s="16">
        <f t="shared" si="50"/>
        <v>13.079512726835024</v>
      </c>
      <c r="T100" s="16">
        <f t="shared" si="51"/>
        <v>9.8197659111543363</v>
      </c>
      <c r="U100" s="16">
        <f t="shared" si="52"/>
        <v>29.500933540926301</v>
      </c>
      <c r="V100" s="16">
        <f t="shared" si="53"/>
        <v>7.5612197515888395</v>
      </c>
      <c r="W100" s="16">
        <f t="shared" si="54"/>
        <v>0.31757547142842252</v>
      </c>
      <c r="X100" s="16">
        <f t="shared" si="55"/>
        <v>2.4131678127885454</v>
      </c>
      <c r="Y100" s="16">
        <f t="shared" si="56"/>
        <v>4.9422976390493032</v>
      </c>
      <c r="Z100">
        <v>1.1499999999999999</v>
      </c>
      <c r="AB100">
        <f t="shared" si="57"/>
        <v>2.775142984706827</v>
      </c>
      <c r="AC100" s="59">
        <v>25.9</v>
      </c>
      <c r="AD100">
        <f t="shared" si="65"/>
        <v>6.7566666666666659</v>
      </c>
      <c r="AE100">
        <v>0</v>
      </c>
      <c r="AF100">
        <v>0</v>
      </c>
      <c r="AH100">
        <f t="shared" si="63"/>
        <v>121.92365371145091</v>
      </c>
      <c r="AN100">
        <f t="shared" si="60"/>
        <v>90</v>
      </c>
    </row>
    <row r="101" spans="1:40" ht="15.6">
      <c r="A101" s="1">
        <v>44407</v>
      </c>
      <c r="B101">
        <f t="shared" si="61"/>
        <v>211</v>
      </c>
      <c r="C101">
        <f t="shared" si="40"/>
        <v>27.9</v>
      </c>
      <c r="D101" s="31">
        <v>32</v>
      </c>
      <c r="E101" s="30">
        <v>23.8</v>
      </c>
      <c r="F101" s="33">
        <v>92</v>
      </c>
      <c r="G101" s="34">
        <v>4</v>
      </c>
      <c r="H101" s="35">
        <v>0</v>
      </c>
      <c r="I101" s="16">
        <f>4098*(0.6108*EXP(17.27*Tomato!C100/(Tomato!C100+237.3)))/(Tomato!C100+237.3)^2</f>
        <v>0.25575704908466146</v>
      </c>
      <c r="J101" s="16">
        <f t="shared" si="41"/>
        <v>0.4147266490846615</v>
      </c>
      <c r="K101" s="16">
        <f t="shared" si="42"/>
        <v>4.7547753962618131</v>
      </c>
      <c r="L101" s="16">
        <f t="shared" si="43"/>
        <v>2.9482843050220851</v>
      </c>
      <c r="M101" s="16">
        <f t="shared" si="44"/>
        <v>3.8515298506419491</v>
      </c>
      <c r="N101" s="16">
        <f t="shared" si="45"/>
        <v>3.5434074625905931</v>
      </c>
      <c r="O101" s="16">
        <f t="shared" si="46"/>
        <v>0.3206948241742929</v>
      </c>
      <c r="P101" s="16">
        <f t="shared" si="47"/>
        <v>0.97086383444289648</v>
      </c>
      <c r="Q101" s="16">
        <f t="shared" si="48"/>
        <v>1.7092213384944417</v>
      </c>
      <c r="R101" s="16">
        <f t="shared" si="49"/>
        <v>39.237310769565589</v>
      </c>
      <c r="S101" s="16">
        <f t="shared" si="50"/>
        <v>13.064112141358789</v>
      </c>
      <c r="T101" s="16">
        <f t="shared" si="51"/>
        <v>9.8093276923913972</v>
      </c>
      <c r="U101" s="16">
        <f t="shared" si="52"/>
        <v>29.469574626589928</v>
      </c>
      <c r="V101" s="16">
        <f t="shared" si="53"/>
        <v>7.5531823231413764</v>
      </c>
      <c r="W101" s="16">
        <f t="shared" si="54"/>
        <v>0.30637396615443768</v>
      </c>
      <c r="X101" s="16">
        <f t="shared" si="55"/>
        <v>2.4221082685204371</v>
      </c>
      <c r="Y101" s="16">
        <f t="shared" si="56"/>
        <v>4.8184833162811982</v>
      </c>
      <c r="Z101">
        <v>1.1499999999999999</v>
      </c>
      <c r="AB101">
        <f t="shared" si="57"/>
        <v>2.7854245087985023</v>
      </c>
      <c r="AC101" s="59">
        <v>10.36</v>
      </c>
      <c r="AD101">
        <f t="shared" si="65"/>
        <v>5.2026666666666674</v>
      </c>
      <c r="AE101">
        <v>0</v>
      </c>
      <c r="AF101">
        <v>0</v>
      </c>
      <c r="AH101">
        <f t="shared" si="63"/>
        <v>124.34089586931908</v>
      </c>
      <c r="AN101">
        <f t="shared" si="60"/>
        <v>91</v>
      </c>
    </row>
    <row r="102" spans="1:40" ht="15.6">
      <c r="A102" s="1">
        <v>44408</v>
      </c>
      <c r="B102">
        <f t="shared" si="61"/>
        <v>212</v>
      </c>
      <c r="C102">
        <f t="shared" si="40"/>
        <v>27.85</v>
      </c>
      <c r="D102" s="31">
        <v>32</v>
      </c>
      <c r="E102" s="30">
        <v>23.7</v>
      </c>
      <c r="F102" s="33">
        <v>66</v>
      </c>
      <c r="G102" s="34">
        <v>6</v>
      </c>
      <c r="H102" s="35">
        <v>4.5</v>
      </c>
      <c r="I102" s="16">
        <f>4098*(0.6108*EXP(17.27*Tomato!C101/(Tomato!C101+237.3)))/(Tomato!C101+237.3)^2</f>
        <v>0.24457886384257072</v>
      </c>
      <c r="J102" s="16">
        <f t="shared" si="41"/>
        <v>0.44935326384257074</v>
      </c>
      <c r="K102" s="16">
        <f t="shared" si="42"/>
        <v>4.7547753962618131</v>
      </c>
      <c r="L102" s="16">
        <f t="shared" si="43"/>
        <v>2.9306073746865935</v>
      </c>
      <c r="M102" s="16">
        <f t="shared" si="44"/>
        <v>3.8426913854742031</v>
      </c>
      <c r="N102" s="16">
        <f t="shared" si="45"/>
        <v>2.5361763144129741</v>
      </c>
      <c r="O102" s="16">
        <f t="shared" si="46"/>
        <v>0.31628009777120586</v>
      </c>
      <c r="P102" s="16">
        <f t="shared" si="47"/>
        <v>0.97113472645498033</v>
      </c>
      <c r="Q102" s="16">
        <f t="shared" si="48"/>
        <v>1.7071686951800362</v>
      </c>
      <c r="R102" s="16">
        <f t="shared" si="49"/>
        <v>39.194102414665174</v>
      </c>
      <c r="S102" s="16">
        <f t="shared" si="50"/>
        <v>13.048423147872889</v>
      </c>
      <c r="T102" s="16">
        <f t="shared" si="51"/>
        <v>16.556946098894681</v>
      </c>
      <c r="U102" s="16">
        <f t="shared" si="52"/>
        <v>29.437122559558425</v>
      </c>
      <c r="V102" s="16">
        <f t="shared" si="53"/>
        <v>12.748848496148904</v>
      </c>
      <c r="W102" s="16">
        <f t="shared" si="54"/>
        <v>1.9305628252552787</v>
      </c>
      <c r="X102" s="16">
        <f t="shared" si="55"/>
        <v>5.9178044050612213</v>
      </c>
      <c r="Y102" s="16">
        <f t="shared" si="56"/>
        <v>4.8371388086493639</v>
      </c>
      <c r="Z102">
        <v>1.1499999999999999</v>
      </c>
      <c r="AB102">
        <f t="shared" si="57"/>
        <v>6.8054750658204037</v>
      </c>
      <c r="AC102" s="59">
        <v>1</v>
      </c>
      <c r="AD102">
        <f t="shared" ref="AD102:AD106" si="66">(AC102*30)*(125-0.2*AC102*30)/(125*30)</f>
        <v>0.95199999999999996</v>
      </c>
      <c r="AE102">
        <v>0</v>
      </c>
      <c r="AF102">
        <v>0</v>
      </c>
      <c r="AH102">
        <f t="shared" si="63"/>
        <v>118.48742080349868</v>
      </c>
      <c r="AN102">
        <f t="shared" si="60"/>
        <v>92</v>
      </c>
    </row>
    <row r="103" spans="1:40" ht="15.6">
      <c r="A103" s="1">
        <v>44409</v>
      </c>
      <c r="B103">
        <f t="shared" si="61"/>
        <v>213</v>
      </c>
      <c r="C103">
        <f t="shared" si="40"/>
        <v>28.299999999999997</v>
      </c>
      <c r="D103" s="37">
        <v>32.799999999999997</v>
      </c>
      <c r="E103" s="36">
        <v>23.8</v>
      </c>
      <c r="F103" s="39">
        <v>74</v>
      </c>
      <c r="G103" s="40">
        <v>6</v>
      </c>
      <c r="H103" s="41">
        <v>8.5</v>
      </c>
      <c r="I103" s="16">
        <f>4098*(0.6108*EXP(17.27*Tomato!C102/(Tomato!C102+237.3)))/(Tomato!C102+237.3)^2</f>
        <v>0.22232091572927459</v>
      </c>
      <c r="J103" s="16">
        <f t="shared" si="41"/>
        <v>0.42709531572927462</v>
      </c>
      <c r="K103" s="16">
        <f t="shared" si="42"/>
        <v>4.9739919933544527</v>
      </c>
      <c r="L103" s="16">
        <f t="shared" si="43"/>
        <v>2.9482843050220851</v>
      </c>
      <c r="M103" s="16">
        <f t="shared" si="44"/>
        <v>3.9611381491882689</v>
      </c>
      <c r="N103" s="16">
        <f t="shared" si="45"/>
        <v>2.9312422303993189</v>
      </c>
      <c r="O103" s="16">
        <f t="shared" si="46"/>
        <v>0.31177174574755462</v>
      </c>
      <c r="P103" s="16">
        <f t="shared" si="47"/>
        <v>0.97141416320056928</v>
      </c>
      <c r="Q103" s="16">
        <f t="shared" si="48"/>
        <v>1.7050792258771064</v>
      </c>
      <c r="R103" s="16">
        <f t="shared" si="49"/>
        <v>39.149408473441774</v>
      </c>
      <c r="S103" s="16">
        <f t="shared" si="50"/>
        <v>13.032452681863234</v>
      </c>
      <c r="T103" s="16">
        <f t="shared" si="51"/>
        <v>22.554326230891014</v>
      </c>
      <c r="U103" s="16">
        <f t="shared" si="52"/>
        <v>29.403554728063177</v>
      </c>
      <c r="V103" s="16">
        <f t="shared" si="53"/>
        <v>17.36683119778608</v>
      </c>
      <c r="W103" s="16">
        <f t="shared" si="54"/>
        <v>2.7881992339251536</v>
      </c>
      <c r="X103" s="16">
        <f t="shared" si="55"/>
        <v>6.0073789211042712</v>
      </c>
      <c r="Y103" s="16">
        <f t="shared" si="56"/>
        <v>5.0808384192573728</v>
      </c>
      <c r="Z103">
        <v>1.1499999999999999</v>
      </c>
      <c r="AB103">
        <f t="shared" si="57"/>
        <v>6.9084857592699116</v>
      </c>
      <c r="AC103" s="61">
        <v>0</v>
      </c>
      <c r="AD103">
        <f t="shared" si="66"/>
        <v>0</v>
      </c>
      <c r="AE103">
        <v>0</v>
      </c>
      <c r="AF103">
        <v>0</v>
      </c>
      <c r="AH103">
        <f t="shared" si="63"/>
        <v>111.57893504422877</v>
      </c>
      <c r="AN103">
        <f t="shared" si="60"/>
        <v>93</v>
      </c>
    </row>
    <row r="104" spans="1:40" ht="15.6">
      <c r="A104" s="1">
        <v>44410</v>
      </c>
      <c r="B104">
        <f t="shared" si="61"/>
        <v>214</v>
      </c>
      <c r="C104">
        <f t="shared" si="40"/>
        <v>28.4</v>
      </c>
      <c r="D104" s="37">
        <v>33.4</v>
      </c>
      <c r="E104" s="36">
        <v>23.4</v>
      </c>
      <c r="F104" s="39">
        <v>72</v>
      </c>
      <c r="G104" s="40">
        <v>6</v>
      </c>
      <c r="H104" s="41">
        <v>1.5</v>
      </c>
      <c r="I104" s="16">
        <f>4098*(0.6108*EXP(17.27*Tomato!C103/(Tomato!C103+237.3)))/(Tomato!C103+237.3)^2</f>
        <v>0.23854784709770824</v>
      </c>
      <c r="J104" s="16">
        <f t="shared" si="41"/>
        <v>0.44332224709770829</v>
      </c>
      <c r="K104" s="16">
        <f t="shared" si="42"/>
        <v>5.1441125216319277</v>
      </c>
      <c r="L104" s="16">
        <f t="shared" si="43"/>
        <v>2.878130284758361</v>
      </c>
      <c r="M104" s="16">
        <f t="shared" si="44"/>
        <v>4.0111214031951441</v>
      </c>
      <c r="N104" s="16">
        <f t="shared" si="45"/>
        <v>2.8880074103005038</v>
      </c>
      <c r="O104" s="16">
        <f t="shared" si="46"/>
        <v>0.30717110267120773</v>
      </c>
      <c r="P104" s="16">
        <f t="shared" si="47"/>
        <v>0.97170206196045683</v>
      </c>
      <c r="Q104" s="16">
        <f t="shared" si="48"/>
        <v>1.7029538376555227</v>
      </c>
      <c r="R104" s="16">
        <f t="shared" si="49"/>
        <v>39.103198971249263</v>
      </c>
      <c r="S104" s="16">
        <f t="shared" si="50"/>
        <v>13.016207676347944</v>
      </c>
      <c r="T104" s="16">
        <f t="shared" si="51"/>
        <v>12.028944434236413</v>
      </c>
      <c r="U104" s="16">
        <f t="shared" si="52"/>
        <v>29.368848619346469</v>
      </c>
      <c r="V104" s="16">
        <f t="shared" si="53"/>
        <v>9.2622872143620381</v>
      </c>
      <c r="W104" s="16">
        <f t="shared" si="54"/>
        <v>0.84135600079636863</v>
      </c>
      <c r="X104" s="16">
        <f t="shared" si="55"/>
        <v>4.9061744650692134</v>
      </c>
      <c r="Y104" s="16">
        <f t="shared" si="56"/>
        <v>5.3609562430554911</v>
      </c>
      <c r="Z104">
        <v>1.1499999999999999</v>
      </c>
      <c r="AB104">
        <f t="shared" si="57"/>
        <v>5.6421006348295952</v>
      </c>
      <c r="AC104" s="61">
        <v>0</v>
      </c>
      <c r="AD104">
        <f t="shared" si="66"/>
        <v>0</v>
      </c>
      <c r="AE104">
        <v>0</v>
      </c>
      <c r="AF104">
        <v>0</v>
      </c>
      <c r="AH104">
        <f t="shared" si="63"/>
        <v>105.93683440939918</v>
      </c>
      <c r="AN104">
        <f t="shared" si="60"/>
        <v>94</v>
      </c>
    </row>
    <row r="105" spans="1:40" ht="15.6">
      <c r="A105" s="1">
        <v>44411</v>
      </c>
      <c r="B105">
        <f t="shared" si="61"/>
        <v>215</v>
      </c>
      <c r="C105">
        <f t="shared" si="40"/>
        <v>29.15</v>
      </c>
      <c r="D105" s="37">
        <v>32.799999999999997</v>
      </c>
      <c r="E105" s="36">
        <v>25.5</v>
      </c>
      <c r="F105" s="39">
        <v>77</v>
      </c>
      <c r="G105" s="40">
        <v>4</v>
      </c>
      <c r="H105" s="41">
        <v>7.8</v>
      </c>
      <c r="I105" s="16">
        <f>4098*(0.6108*EXP(17.27*Tomato!C104/(Tomato!C104+237.3)))/(Tomato!C104+237.3)^2</f>
        <v>0.23974396206806198</v>
      </c>
      <c r="J105" s="16">
        <f t="shared" si="41"/>
        <v>0.39871356206806197</v>
      </c>
      <c r="K105" s="16">
        <f t="shared" si="42"/>
        <v>4.9739919933544527</v>
      </c>
      <c r="L105" s="16">
        <f t="shared" si="43"/>
        <v>3.263356619324485</v>
      </c>
      <c r="M105" s="16">
        <f t="shared" si="44"/>
        <v>4.1186743063394688</v>
      </c>
      <c r="N105" s="16">
        <f t="shared" si="45"/>
        <v>3.1713792158813909</v>
      </c>
      <c r="O105" s="16">
        <f t="shared" si="46"/>
        <v>0.30247953043014375</v>
      </c>
      <c r="P105" s="16">
        <f t="shared" si="47"/>
        <v>0.97199833751050058</v>
      </c>
      <c r="Q105" s="16">
        <f t="shared" si="48"/>
        <v>1.7007934363027255</v>
      </c>
      <c r="R105" s="16">
        <f t="shared" si="49"/>
        <v>39.055444129189972</v>
      </c>
      <c r="S105" s="16">
        <f t="shared" si="50"/>
        <v>12.999695054543125</v>
      </c>
      <c r="T105" s="16">
        <f t="shared" si="51"/>
        <v>21.480769118584448</v>
      </c>
      <c r="U105" s="16">
        <f t="shared" si="52"/>
        <v>29.332981867669417</v>
      </c>
      <c r="V105" s="16">
        <f t="shared" si="53"/>
        <v>16.540192221310026</v>
      </c>
      <c r="W105" s="16">
        <f t="shared" si="54"/>
        <v>2.3736478630893791</v>
      </c>
      <c r="X105" s="16">
        <f t="shared" si="55"/>
        <v>5.382252610539151</v>
      </c>
      <c r="Y105" s="16">
        <f t="shared" si="56"/>
        <v>4.6490755807381712</v>
      </c>
      <c r="Z105">
        <v>1.1499999999999999</v>
      </c>
      <c r="AB105">
        <f t="shared" si="57"/>
        <v>6.1895905021200228</v>
      </c>
      <c r="AC105" s="61">
        <v>0.8</v>
      </c>
      <c r="AD105">
        <f t="shared" si="66"/>
        <v>0.76928000000000007</v>
      </c>
      <c r="AE105">
        <v>0</v>
      </c>
      <c r="AF105">
        <v>0</v>
      </c>
      <c r="AH105">
        <f t="shared" si="63"/>
        <v>100.51652390727915</v>
      </c>
      <c r="AN105">
        <f t="shared" si="60"/>
        <v>95</v>
      </c>
    </row>
    <row r="106" spans="1:40" ht="15.6">
      <c r="A106" s="1">
        <v>44412</v>
      </c>
      <c r="B106">
        <f t="shared" si="61"/>
        <v>216</v>
      </c>
      <c r="C106">
        <f t="shared" si="40"/>
        <v>27.65</v>
      </c>
      <c r="D106" s="37">
        <v>30</v>
      </c>
      <c r="E106" s="36">
        <v>25.3</v>
      </c>
      <c r="F106" s="39">
        <v>98</v>
      </c>
      <c r="G106" s="40">
        <v>4</v>
      </c>
      <c r="H106" s="41">
        <v>0</v>
      </c>
      <c r="I106" s="16">
        <f>4098*(0.6108*EXP(17.27*Tomato!C105/(Tomato!C105+237.3)))/(Tomato!C105+237.3)^2</f>
        <v>0.21510833905626109</v>
      </c>
      <c r="J106" s="16">
        <f t="shared" si="41"/>
        <v>0.37407793905626108</v>
      </c>
      <c r="K106" s="16">
        <f t="shared" si="42"/>
        <v>4.2430650587590133</v>
      </c>
      <c r="L106" s="16">
        <f t="shared" si="43"/>
        <v>3.2248275907111101</v>
      </c>
      <c r="M106" s="16">
        <f t="shared" si="44"/>
        <v>3.7339463247350615</v>
      </c>
      <c r="N106" s="16">
        <f t="shared" si="45"/>
        <v>3.6592673982403601</v>
      </c>
      <c r="O106" s="16">
        <f t="shared" si="46"/>
        <v>0.29769841782930334</v>
      </c>
      <c r="P106" s="16">
        <f t="shared" si="47"/>
        <v>0.97230290214685067</v>
      </c>
      <c r="Q106" s="16">
        <f t="shared" si="48"/>
        <v>1.6985989254083966</v>
      </c>
      <c r="R106" s="16">
        <f t="shared" si="49"/>
        <v>39.006114428627356</v>
      </c>
      <c r="S106" s="16">
        <f t="shared" si="50"/>
        <v>12.982921722866726</v>
      </c>
      <c r="T106" s="16">
        <f t="shared" si="51"/>
        <v>9.751528607156839</v>
      </c>
      <c r="U106" s="16">
        <f t="shared" si="52"/>
        <v>29.295932302764861</v>
      </c>
      <c r="V106" s="16">
        <f t="shared" si="53"/>
        <v>7.5086770275107666</v>
      </c>
      <c r="W106" s="16">
        <f t="shared" si="54"/>
        <v>0.28807544609987462</v>
      </c>
      <c r="X106" s="16">
        <f t="shared" si="55"/>
        <v>1.855079459821215</v>
      </c>
      <c r="Y106" s="16">
        <f t="shared" si="56"/>
        <v>3.6066459055570674</v>
      </c>
      <c r="Z106">
        <v>1.1499999999999999</v>
      </c>
      <c r="AB106">
        <f t="shared" si="57"/>
        <v>2.1333413787943973</v>
      </c>
      <c r="AC106" s="61">
        <v>4.2</v>
      </c>
      <c r="AD106">
        <f t="shared" si="66"/>
        <v>3.3532799999999998</v>
      </c>
      <c r="AE106">
        <v>0</v>
      </c>
      <c r="AF106">
        <v>0</v>
      </c>
      <c r="AH106">
        <f t="shared" si="63"/>
        <v>101.73646252848475</v>
      </c>
      <c r="AN106">
        <f t="shared" si="60"/>
        <v>96</v>
      </c>
    </row>
    <row r="107" spans="1:40" ht="15.6">
      <c r="A107" s="1">
        <v>44413</v>
      </c>
      <c r="B107">
        <f t="shared" si="61"/>
        <v>217</v>
      </c>
      <c r="C107">
        <f t="shared" si="40"/>
        <v>27.9</v>
      </c>
      <c r="D107" s="37">
        <v>32.799999999999997</v>
      </c>
      <c r="E107" s="36">
        <v>23</v>
      </c>
      <c r="F107" s="39">
        <v>75</v>
      </c>
      <c r="G107" s="40">
        <v>6</v>
      </c>
      <c r="H107" s="41">
        <v>5</v>
      </c>
      <c r="I107" s="16">
        <f>4098*(0.6108*EXP(17.27*Tomato!C106/(Tomato!C106+237.3)))/(Tomato!C106+237.3)^2</f>
        <v>0.2262880308332702</v>
      </c>
      <c r="J107" s="16">
        <f t="shared" si="41"/>
        <v>0.43106243083327023</v>
      </c>
      <c r="K107" s="16">
        <f t="shared" si="42"/>
        <v>4.9739919933544527</v>
      </c>
      <c r="L107" s="16">
        <f t="shared" si="43"/>
        <v>2.809437622397069</v>
      </c>
      <c r="M107" s="16">
        <f t="shared" si="44"/>
        <v>3.8917148078757609</v>
      </c>
      <c r="N107" s="16">
        <f t="shared" si="45"/>
        <v>2.9187861059068205</v>
      </c>
      <c r="O107" s="16">
        <f t="shared" si="46"/>
        <v>0.29282918017947446</v>
      </c>
      <c r="P107" s="16">
        <f t="shared" si="47"/>
        <v>0.97261566571191183</v>
      </c>
      <c r="Q107" s="16">
        <f t="shared" si="48"/>
        <v>1.6963712054945395</v>
      </c>
      <c r="R107" s="16">
        <f t="shared" si="49"/>
        <v>38.955180676196719</v>
      </c>
      <c r="S107" s="16">
        <f t="shared" si="50"/>
        <v>12.965894564289474</v>
      </c>
      <c r="T107" s="16">
        <f t="shared" si="51"/>
        <v>17.249881365810076</v>
      </c>
      <c r="U107" s="16">
        <f t="shared" si="52"/>
        <v>29.257677998664306</v>
      </c>
      <c r="V107" s="16">
        <f t="shared" si="53"/>
        <v>13.282408651673759</v>
      </c>
      <c r="W107" s="16">
        <f t="shared" si="54"/>
        <v>1.8137450204544385</v>
      </c>
      <c r="X107" s="16">
        <f t="shared" si="55"/>
        <v>5.1848139441273462</v>
      </c>
      <c r="Y107" s="16">
        <f t="shared" si="56"/>
        <v>5.2297684410357794</v>
      </c>
      <c r="Z107">
        <v>1.1499999999999999</v>
      </c>
      <c r="AB107">
        <f t="shared" si="57"/>
        <v>5.9625360357464476</v>
      </c>
      <c r="AC107" s="61">
        <v>47.4</v>
      </c>
      <c r="AD107">
        <f t="shared" ref="AD107:AD110" si="67">(125+0.1*AC107*30)/30</f>
        <v>8.9066666666666681</v>
      </c>
      <c r="AE107">
        <v>0</v>
      </c>
      <c r="AF107">
        <v>0</v>
      </c>
      <c r="AH107">
        <f t="shared" si="63"/>
        <v>104.68059315940496</v>
      </c>
      <c r="AN107">
        <f t="shared" si="60"/>
        <v>97</v>
      </c>
    </row>
    <row r="108" spans="1:40" ht="15.6">
      <c r="A108" s="1">
        <v>44414</v>
      </c>
      <c r="B108">
        <f t="shared" si="61"/>
        <v>218</v>
      </c>
      <c r="C108">
        <f t="shared" si="40"/>
        <v>27.6</v>
      </c>
      <c r="D108" s="37">
        <v>32.200000000000003</v>
      </c>
      <c r="E108" s="36">
        <v>23</v>
      </c>
      <c r="F108" s="39">
        <v>77</v>
      </c>
      <c r="G108" s="40">
        <v>5</v>
      </c>
      <c r="H108" s="41">
        <v>0</v>
      </c>
      <c r="I108" s="16">
        <f>4098*(0.6108*EXP(17.27*Tomato!C107/(Tomato!C107+237.3)))/(Tomato!C107+237.3)^2</f>
        <v>0.23205834344969087</v>
      </c>
      <c r="J108" s="16">
        <f t="shared" si="41"/>
        <v>0.41393034344969093</v>
      </c>
      <c r="K108" s="16">
        <f t="shared" si="42"/>
        <v>4.8087773652629577</v>
      </c>
      <c r="L108" s="16">
        <f t="shared" si="43"/>
        <v>2.809437622397069</v>
      </c>
      <c r="M108" s="16">
        <f t="shared" si="44"/>
        <v>3.8091074938300133</v>
      </c>
      <c r="N108" s="16">
        <f t="shared" si="45"/>
        <v>2.9330127702491104</v>
      </c>
      <c r="O108" s="16">
        <f t="shared" si="46"/>
        <v>0.28787325887832887</v>
      </c>
      <c r="P108" s="16">
        <f t="shared" si="47"/>
        <v>0.97293653562103155</v>
      </c>
      <c r="Q108" s="16">
        <f t="shared" si="48"/>
        <v>1.6941111731919325</v>
      </c>
      <c r="R108" s="16">
        <f t="shared" si="49"/>
        <v>38.902614069216682</v>
      </c>
      <c r="S108" s="16">
        <f t="shared" si="50"/>
        <v>12.948620432040249</v>
      </c>
      <c r="T108" s="16">
        <f t="shared" si="51"/>
        <v>9.7256535173041705</v>
      </c>
      <c r="U108" s="16">
        <f t="shared" si="52"/>
        <v>29.21819732282588</v>
      </c>
      <c r="V108" s="16">
        <f t="shared" si="53"/>
        <v>7.4887532083242112</v>
      </c>
      <c r="W108" s="16">
        <f t="shared" si="54"/>
        <v>0.40013411676918492</v>
      </c>
      <c r="X108" s="16">
        <f t="shared" si="55"/>
        <v>3.755676098573574</v>
      </c>
      <c r="Y108" s="16">
        <f t="shared" si="56"/>
        <v>5.0270887264721145</v>
      </c>
      <c r="Z108">
        <v>1.1499999999999999</v>
      </c>
      <c r="AB108">
        <f t="shared" si="57"/>
        <v>4.3190275133596101</v>
      </c>
      <c r="AC108" s="61">
        <v>9</v>
      </c>
      <c r="AD108">
        <f t="shared" si="67"/>
        <v>5.0666666666666664</v>
      </c>
      <c r="AE108">
        <v>0</v>
      </c>
      <c r="AF108">
        <v>0</v>
      </c>
      <c r="AH108">
        <f t="shared" si="63"/>
        <v>105.42823231271201</v>
      </c>
      <c r="AN108">
        <f t="shared" si="60"/>
        <v>98</v>
      </c>
    </row>
    <row r="109" spans="1:40" ht="15.6">
      <c r="A109" s="1">
        <v>44415</v>
      </c>
      <c r="B109">
        <f t="shared" si="61"/>
        <v>219</v>
      </c>
      <c r="C109">
        <f t="shared" si="40"/>
        <v>27.6</v>
      </c>
      <c r="D109" s="37">
        <v>32</v>
      </c>
      <c r="E109" s="36">
        <v>23.2</v>
      </c>
      <c r="F109" s="39">
        <v>79</v>
      </c>
      <c r="G109" s="40">
        <v>3</v>
      </c>
      <c r="H109" s="41">
        <v>0</v>
      </c>
      <c r="I109" s="16">
        <f>4098*(0.6108*EXP(17.27*Tomato!C108/(Tomato!C108+237.3)))/(Tomato!C108+237.3)^2</f>
        <v>0.23205834344969092</v>
      </c>
      <c r="J109" s="16">
        <f t="shared" si="41"/>
        <v>0.36812554344969095</v>
      </c>
      <c r="K109" s="16">
        <f t="shared" si="42"/>
        <v>4.7547753962618131</v>
      </c>
      <c r="L109" s="16">
        <f t="shared" si="43"/>
        <v>2.8436029029276386</v>
      </c>
      <c r="M109" s="16">
        <f t="shared" si="44"/>
        <v>3.7991891495947261</v>
      </c>
      <c r="N109" s="16">
        <f t="shared" si="45"/>
        <v>3.0013594281798337</v>
      </c>
      <c r="O109" s="16">
        <f t="shared" si="46"/>
        <v>0.28283212098373894</v>
      </c>
      <c r="P109" s="16">
        <f t="shared" si="47"/>
        <v>0.97326541688990797</v>
      </c>
      <c r="Q109" s="16">
        <f t="shared" si="48"/>
        <v>1.6918197204637357</v>
      </c>
      <c r="R109" s="16">
        <f t="shared" si="49"/>
        <v>38.848386261401693</v>
      </c>
      <c r="S109" s="16">
        <f t="shared" si="50"/>
        <v>12.931106143671865</v>
      </c>
      <c r="T109" s="16">
        <f t="shared" si="51"/>
        <v>9.7120965653504232</v>
      </c>
      <c r="U109" s="16">
        <f t="shared" si="52"/>
        <v>29.177468985488353</v>
      </c>
      <c r="V109" s="16">
        <f t="shared" si="53"/>
        <v>7.4783143553198261</v>
      </c>
      <c r="W109" s="16">
        <f t="shared" si="54"/>
        <v>0.38900020716233108</v>
      </c>
      <c r="X109" s="16">
        <f t="shared" si="55"/>
        <v>3.1345984109271603</v>
      </c>
      <c r="Y109" s="16">
        <f t="shared" si="56"/>
        <v>4.9097363481108278</v>
      </c>
      <c r="Z109">
        <v>1.1499999999999999</v>
      </c>
      <c r="AB109">
        <f t="shared" si="57"/>
        <v>3.6047881725662339</v>
      </c>
      <c r="AC109" s="61">
        <v>5.4</v>
      </c>
      <c r="AD109">
        <f t="shared" ref="AD109:AD114" si="68">(AC109*30)*(125-0.2*AC109*30)/(125*30)</f>
        <v>4.0003199999999994</v>
      </c>
      <c r="AE109">
        <v>0</v>
      </c>
      <c r="AF109">
        <v>0</v>
      </c>
      <c r="AH109">
        <f t="shared" si="63"/>
        <v>105.82376414014578</v>
      </c>
      <c r="AN109">
        <f t="shared" si="60"/>
        <v>99</v>
      </c>
    </row>
    <row r="110" spans="1:40" ht="15.6">
      <c r="A110" s="1">
        <v>44416</v>
      </c>
      <c r="B110">
        <f t="shared" si="61"/>
        <v>220</v>
      </c>
      <c r="C110">
        <f t="shared" si="40"/>
        <v>27.75</v>
      </c>
      <c r="D110" s="37">
        <v>32</v>
      </c>
      <c r="E110" s="36">
        <v>23.5</v>
      </c>
      <c r="F110" s="39">
        <v>75</v>
      </c>
      <c r="G110" s="40">
        <v>3</v>
      </c>
      <c r="H110" s="41">
        <v>2</v>
      </c>
      <c r="I110" s="16">
        <f>4098*(0.6108*EXP(17.27*Tomato!C109/(Tomato!C109+237.3)))/(Tomato!C109+237.3)^2</f>
        <v>0.22119824570984212</v>
      </c>
      <c r="J110" s="16">
        <f t="shared" si="41"/>
        <v>0.35726544570984209</v>
      </c>
      <c r="K110" s="16">
        <f t="shared" si="42"/>
        <v>4.7547753962618131</v>
      </c>
      <c r="L110" s="16">
        <f t="shared" si="43"/>
        <v>2.8955307729089892</v>
      </c>
      <c r="M110" s="16">
        <f t="shared" si="44"/>
        <v>3.8251530845854012</v>
      </c>
      <c r="N110" s="16">
        <f t="shared" si="45"/>
        <v>2.8688648134390506</v>
      </c>
      <c r="O110" s="16">
        <f t="shared" si="46"/>
        <v>0.27770725877949665</v>
      </c>
      <c r="P110" s="16">
        <f t="shared" si="47"/>
        <v>0.97360221216270648</v>
      </c>
      <c r="Q110" s="16">
        <f t="shared" si="48"/>
        <v>1.6894977338768291</v>
      </c>
      <c r="R110" s="16">
        <f t="shared" si="49"/>
        <v>38.792469428772186</v>
      </c>
      <c r="S110" s="16">
        <f t="shared" si="50"/>
        <v>12.913358475491687</v>
      </c>
      <c r="T110" s="16">
        <f t="shared" si="51"/>
        <v>12.702174706208529</v>
      </c>
      <c r="U110" s="16">
        <f t="shared" si="52"/>
        <v>29.135472089173636</v>
      </c>
      <c r="V110" s="16">
        <f t="shared" si="53"/>
        <v>9.7806745237805686</v>
      </c>
      <c r="W110" s="16">
        <f t="shared" si="54"/>
        <v>0.98768804165057933</v>
      </c>
      <c r="X110" s="16">
        <f t="shared" si="55"/>
        <v>3.8398666902837673</v>
      </c>
      <c r="Y110" s="16">
        <f t="shared" si="56"/>
        <v>4.8342963499725373</v>
      </c>
      <c r="Z110">
        <v>1.1499999999999999</v>
      </c>
      <c r="AB110">
        <f t="shared" si="57"/>
        <v>4.4158466938263317</v>
      </c>
      <c r="AC110" s="61">
        <v>17</v>
      </c>
      <c r="AD110">
        <f t="shared" si="67"/>
        <v>5.8666666666666663</v>
      </c>
      <c r="AE110">
        <v>0</v>
      </c>
      <c r="AF110">
        <v>0</v>
      </c>
      <c r="AH110">
        <f t="shared" si="63"/>
        <v>107.27458411298612</v>
      </c>
      <c r="AN110">
        <f t="shared" si="60"/>
        <v>100</v>
      </c>
    </row>
    <row r="111" spans="1:40" ht="15.6">
      <c r="A111" s="1">
        <v>44417</v>
      </c>
      <c r="B111">
        <f t="shared" si="61"/>
        <v>221</v>
      </c>
      <c r="C111">
        <f t="shared" si="40"/>
        <v>28.35</v>
      </c>
      <c r="D111" s="37">
        <v>33.200000000000003</v>
      </c>
      <c r="E111" s="36">
        <v>23.5</v>
      </c>
      <c r="F111" s="39">
        <v>83</v>
      </c>
      <c r="G111" s="40">
        <v>8</v>
      </c>
      <c r="H111" s="41">
        <v>1</v>
      </c>
      <c r="I111" s="16">
        <f>4098*(0.6108*EXP(17.27*Tomato!C110/(Tomato!C110+237.3)))/(Tomato!C110+237.3)^2</f>
        <v>0.23795166976480819</v>
      </c>
      <c r="J111" s="16">
        <f t="shared" si="41"/>
        <v>0.4885308697648082</v>
      </c>
      <c r="K111" s="16">
        <f t="shared" si="42"/>
        <v>5.0868531413725142</v>
      </c>
      <c r="L111" s="16">
        <f t="shared" si="43"/>
        <v>2.8955307729089892</v>
      </c>
      <c r="M111" s="16">
        <f t="shared" si="44"/>
        <v>3.9911919571407517</v>
      </c>
      <c r="N111" s="16">
        <f t="shared" si="45"/>
        <v>3.3126893244268238</v>
      </c>
      <c r="O111" s="16">
        <f t="shared" si="46"/>
        <v>0.27250018933356718</v>
      </c>
      <c r="P111" s="16">
        <f t="shared" si="47"/>
        <v>0.9739468217408791</v>
      </c>
      <c r="Q111" s="16">
        <f t="shared" si="48"/>
        <v>1.6871460939212808</v>
      </c>
      <c r="R111" s="16">
        <f t="shared" si="49"/>
        <v>38.734836335657839</v>
      </c>
      <c r="S111" s="16">
        <f t="shared" si="50"/>
        <v>12.895384157360109</v>
      </c>
      <c r="T111" s="16">
        <f t="shared" si="51"/>
        <v>11.185596730803589</v>
      </c>
      <c r="U111" s="16">
        <f t="shared" si="52"/>
        <v>29.092186178259176</v>
      </c>
      <c r="V111" s="16">
        <f t="shared" si="53"/>
        <v>8.6129094827187629</v>
      </c>
      <c r="W111" s="16">
        <f t="shared" si="54"/>
        <v>0.58447132044160166</v>
      </c>
      <c r="X111" s="16">
        <f t="shared" si="55"/>
        <v>3.83070108360443</v>
      </c>
      <c r="Y111" s="16">
        <f t="shared" si="56"/>
        <v>5.2245308373361885</v>
      </c>
      <c r="Z111">
        <v>1.1499999999999999</v>
      </c>
      <c r="AB111">
        <f t="shared" si="57"/>
        <v>4.405306246145094</v>
      </c>
      <c r="AC111" s="61">
        <v>0</v>
      </c>
      <c r="AD111">
        <f t="shared" si="68"/>
        <v>0</v>
      </c>
      <c r="AE111">
        <v>0</v>
      </c>
      <c r="AF111">
        <v>0</v>
      </c>
      <c r="AH111">
        <f t="shared" si="63"/>
        <v>102.86927786684103</v>
      </c>
      <c r="AN111">
        <f t="shared" si="60"/>
        <v>101</v>
      </c>
    </row>
    <row r="112" spans="1:40" ht="15.6">
      <c r="A112" s="1">
        <v>44418</v>
      </c>
      <c r="B112">
        <f t="shared" si="61"/>
        <v>222</v>
      </c>
      <c r="C112">
        <f t="shared" si="40"/>
        <v>30</v>
      </c>
      <c r="D112" s="37">
        <v>34.6</v>
      </c>
      <c r="E112" s="36">
        <v>25.4</v>
      </c>
      <c r="F112" s="39">
        <v>73</v>
      </c>
      <c r="G112" s="40">
        <v>5</v>
      </c>
      <c r="H112" s="41">
        <v>8.5</v>
      </c>
      <c r="I112" s="16">
        <f>4098*(0.6108*EXP(17.27*Tomato!C111/(Tomato!C111+237.3)))/(Tomato!C111+237.3)^2</f>
        <v>0.24154756638329455</v>
      </c>
      <c r="J112" s="16">
        <f t="shared" si="41"/>
        <v>0.42341956638329459</v>
      </c>
      <c r="K112" s="16">
        <f t="shared" si="42"/>
        <v>5.4995586494348254</v>
      </c>
      <c r="L112" s="16">
        <f t="shared" si="43"/>
        <v>3.2440422381586771</v>
      </c>
      <c r="M112" s="16">
        <f t="shared" si="44"/>
        <v>4.3718004437967508</v>
      </c>
      <c r="N112" s="16">
        <f t="shared" si="45"/>
        <v>3.1914143239716282</v>
      </c>
      <c r="O112" s="16">
        <f t="shared" si="46"/>
        <v>0.26721245404900296</v>
      </c>
      <c r="P112" s="16">
        <f t="shared" si="47"/>
        <v>0.97429914361267811</v>
      </c>
      <c r="Q112" s="16">
        <f t="shared" si="48"/>
        <v>1.684765674378172</v>
      </c>
      <c r="R112" s="16">
        <f t="shared" si="49"/>
        <v>38.67546040068585</v>
      </c>
      <c r="S112" s="16">
        <f t="shared" si="50"/>
        <v>12.87718986785864</v>
      </c>
      <c r="T112" s="16">
        <f t="shared" si="51"/>
        <v>22.433350860623186</v>
      </c>
      <c r="U112" s="16">
        <f t="shared" si="52"/>
        <v>29.047591288539113</v>
      </c>
      <c r="V112" s="16">
        <f t="shared" si="53"/>
        <v>17.273680162679852</v>
      </c>
      <c r="W112" s="16">
        <f t="shared" si="54"/>
        <v>2.582110355579152</v>
      </c>
      <c r="X112" s="16">
        <f t="shared" si="55"/>
        <v>6.208330188183008</v>
      </c>
      <c r="Y112" s="16">
        <f t="shared" si="56"/>
        <v>5.2619328521451987</v>
      </c>
      <c r="Z112">
        <v>1.1499999999999999</v>
      </c>
      <c r="AB112">
        <f t="shared" si="57"/>
        <v>7.1395797164104584</v>
      </c>
      <c r="AC112" s="61">
        <v>3</v>
      </c>
      <c r="AD112">
        <f t="shared" si="68"/>
        <v>2.5680000000000001</v>
      </c>
      <c r="AE112">
        <v>0</v>
      </c>
      <c r="AF112">
        <v>0</v>
      </c>
      <c r="AH112">
        <f t="shared" si="63"/>
        <v>98.297698150430577</v>
      </c>
      <c r="AN112">
        <f t="shared" si="60"/>
        <v>102</v>
      </c>
    </row>
    <row r="113" spans="1:40" ht="15.6">
      <c r="A113" s="1">
        <v>44419</v>
      </c>
      <c r="B113">
        <f t="shared" si="61"/>
        <v>223</v>
      </c>
      <c r="C113">
        <f t="shared" si="40"/>
        <v>30.1</v>
      </c>
      <c r="D113" s="37">
        <v>34.5</v>
      </c>
      <c r="E113" s="36">
        <v>25.7</v>
      </c>
      <c r="F113" s="39">
        <v>70</v>
      </c>
      <c r="G113" s="40">
        <v>5</v>
      </c>
      <c r="H113" s="41">
        <v>6</v>
      </c>
      <c r="I113" s="16">
        <f>4098*(0.6108*EXP(17.27*Tomato!C112/(Tomato!C112+237.3)))/(Tomato!C112+237.3)^2</f>
        <v>0.23735674310788871</v>
      </c>
      <c r="J113" s="16">
        <f t="shared" si="41"/>
        <v>0.41922874310788871</v>
      </c>
      <c r="K113" s="16">
        <f t="shared" si="42"/>
        <v>5.4691459026600384</v>
      </c>
      <c r="L113" s="16">
        <f t="shared" si="43"/>
        <v>3.3022863265902909</v>
      </c>
      <c r="M113" s="16">
        <f t="shared" si="44"/>
        <v>4.3857161146251649</v>
      </c>
      <c r="N113" s="16">
        <f t="shared" si="45"/>
        <v>3.0700012802376153</v>
      </c>
      <c r="O113" s="16">
        <f t="shared" si="46"/>
        <v>0.26184561820765651</v>
      </c>
      <c r="P113" s="16">
        <f t="shared" si="47"/>
        <v>0.97465907348335301</v>
      </c>
      <c r="Q113" s="16">
        <f t="shared" si="48"/>
        <v>1.6823573417358344</v>
      </c>
      <c r="R113" s="16">
        <f t="shared" si="49"/>
        <v>38.614315762645262</v>
      </c>
      <c r="S113" s="16">
        <f t="shared" si="50"/>
        <v>12.858782229828034</v>
      </c>
      <c r="T113" s="16">
        <f t="shared" si="51"/>
        <v>18.66243726156975</v>
      </c>
      <c r="U113" s="16">
        <f t="shared" si="52"/>
        <v>29.001667996692348</v>
      </c>
      <c r="V113" s="16">
        <f t="shared" si="53"/>
        <v>14.370076691408707</v>
      </c>
      <c r="W113" s="16">
        <f t="shared" si="54"/>
        <v>2.039637992427056</v>
      </c>
      <c r="X113" s="16">
        <f t="shared" si="55"/>
        <v>5.9869474679385073</v>
      </c>
      <c r="Y113" s="16">
        <f t="shared" si="56"/>
        <v>5.1488850028160531</v>
      </c>
      <c r="Z113">
        <v>1.1499999999999999</v>
      </c>
      <c r="AB113">
        <f t="shared" si="57"/>
        <v>6.8849895881292831</v>
      </c>
      <c r="AC113" s="61">
        <v>0.6</v>
      </c>
      <c r="AD113">
        <f t="shared" si="68"/>
        <v>0.58272000000000013</v>
      </c>
      <c r="AE113">
        <v>0</v>
      </c>
      <c r="AF113">
        <v>0</v>
      </c>
      <c r="AH113">
        <f t="shared" si="63"/>
        <v>91.995428562301285</v>
      </c>
      <c r="AN113">
        <f t="shared" si="60"/>
        <v>103</v>
      </c>
    </row>
    <row r="114" spans="1:40" ht="15.6">
      <c r="A114" s="1">
        <v>44420</v>
      </c>
      <c r="B114">
        <f t="shared" si="61"/>
        <v>224</v>
      </c>
      <c r="C114">
        <f t="shared" si="40"/>
        <v>29.6</v>
      </c>
      <c r="D114" s="37">
        <v>33.200000000000003</v>
      </c>
      <c r="E114" s="36">
        <v>26</v>
      </c>
      <c r="F114" s="39">
        <v>81</v>
      </c>
      <c r="G114" s="40">
        <v>4</v>
      </c>
      <c r="H114" s="41">
        <v>1.2</v>
      </c>
      <c r="I114" s="16">
        <f>4098*(0.6108*EXP(17.27*Tomato!C113/(Tomato!C113+237.3)))/(Tomato!C113+237.3)^2</f>
        <v>0.25323671897088917</v>
      </c>
      <c r="J114" s="16">
        <f t="shared" si="41"/>
        <v>0.41220631897088922</v>
      </c>
      <c r="K114" s="16">
        <f t="shared" si="42"/>
        <v>5.0868531413725142</v>
      </c>
      <c r="L114" s="16">
        <f t="shared" si="43"/>
        <v>3.3614398286025637</v>
      </c>
      <c r="M114" s="16">
        <f t="shared" si="44"/>
        <v>4.2241464849875392</v>
      </c>
      <c r="N114" s="16">
        <f t="shared" si="45"/>
        <v>3.4215586528399071</v>
      </c>
      <c r="O114" s="16">
        <f t="shared" si="46"/>
        <v>0.25640127050682399</v>
      </c>
      <c r="P114" s="16">
        <f t="shared" si="47"/>
        <v>0.97502650480602404</v>
      </c>
      <c r="Q114" s="16">
        <f t="shared" si="48"/>
        <v>1.6799219546544029</v>
      </c>
      <c r="R114" s="16">
        <f t="shared" si="49"/>
        <v>38.551377346115601</v>
      </c>
      <c r="S114" s="16">
        <f t="shared" si="50"/>
        <v>12.840167806275691</v>
      </c>
      <c r="T114" s="16">
        <f t="shared" si="51"/>
        <v>11.439287024557018</v>
      </c>
      <c r="U114" s="16">
        <f t="shared" si="52"/>
        <v>28.954397469573582</v>
      </c>
      <c r="V114" s="16">
        <f t="shared" si="53"/>
        <v>8.8082510089089041</v>
      </c>
      <c r="W114" s="16">
        <f t="shared" si="54"/>
        <v>0.61262988273178265</v>
      </c>
      <c r="X114" s="16">
        <f t="shared" si="55"/>
        <v>3.6145733233400152</v>
      </c>
      <c r="Y114" s="16">
        <f t="shared" si="56"/>
        <v>4.6012145869364804</v>
      </c>
      <c r="Z114">
        <v>1.1499999999999999</v>
      </c>
      <c r="AB114">
        <f t="shared" si="57"/>
        <v>4.156759321841017</v>
      </c>
      <c r="AC114" s="60">
        <v>0.8</v>
      </c>
      <c r="AD114">
        <f t="shared" si="68"/>
        <v>0.76928000000000007</v>
      </c>
      <c r="AE114">
        <v>0</v>
      </c>
      <c r="AF114">
        <v>0</v>
      </c>
      <c r="AH114">
        <f t="shared" si="63"/>
        <v>88.607949240460258</v>
      </c>
      <c r="AN114">
        <f t="shared" si="60"/>
        <v>104</v>
      </c>
    </row>
    <row r="115" spans="1:40" ht="15.6">
      <c r="A115" s="1">
        <v>44421</v>
      </c>
      <c r="B115">
        <f t="shared" si="61"/>
        <v>225</v>
      </c>
      <c r="C115">
        <f t="shared" si="40"/>
        <v>27.7</v>
      </c>
      <c r="D115" s="37">
        <v>31.4</v>
      </c>
      <c r="E115" s="36">
        <v>24</v>
      </c>
      <c r="F115" s="39">
        <v>90</v>
      </c>
      <c r="G115" s="40">
        <v>3</v>
      </c>
      <c r="H115" s="41">
        <v>3</v>
      </c>
      <c r="I115" s="16">
        <f>4098*(0.6108*EXP(17.27*Tomato!C114/(Tomato!C114+237.3)))/(Tomato!C114+237.3)^2</f>
        <v>0.23974396206806198</v>
      </c>
      <c r="J115" s="16">
        <f t="shared" si="41"/>
        <v>0.37581116206806198</v>
      </c>
      <c r="K115" s="16">
        <f t="shared" si="42"/>
        <v>4.5959173166475438</v>
      </c>
      <c r="L115" s="16">
        <f t="shared" si="43"/>
        <v>2.9839174771655594</v>
      </c>
      <c r="M115" s="16">
        <f t="shared" si="44"/>
        <v>3.7899173969065516</v>
      </c>
      <c r="N115" s="16">
        <f t="shared" si="45"/>
        <v>3.4109256572158966</v>
      </c>
      <c r="O115" s="16">
        <f t="shared" si="46"/>
        <v>0.25088102258895656</v>
      </c>
      <c r="P115" s="16">
        <f t="shared" si="47"/>
        <v>0.97540132881322283</v>
      </c>
      <c r="Q115" s="16">
        <f t="shared" si="48"/>
        <v>1.6774603634784362</v>
      </c>
      <c r="R115" s="16">
        <f t="shared" si="49"/>
        <v>38.486620926747335</v>
      </c>
      <c r="S115" s="16">
        <f t="shared" si="50"/>
        <v>12.821353096650467</v>
      </c>
      <c r="T115" s="16">
        <f t="shared" si="51"/>
        <v>14.124294770192543</v>
      </c>
      <c r="U115" s="16">
        <f t="shared" si="52"/>
        <v>28.905761513242851</v>
      </c>
      <c r="V115" s="16">
        <f t="shared" si="53"/>
        <v>10.875706973048258</v>
      </c>
      <c r="W115" s="16">
        <f t="shared" si="54"/>
        <v>1.0139556723399108</v>
      </c>
      <c r="X115" s="16">
        <f t="shared" si="55"/>
        <v>3.1767486140941301</v>
      </c>
      <c r="Y115" s="16">
        <f t="shared" si="56"/>
        <v>4.4701802756688034</v>
      </c>
      <c r="Z115">
        <v>1.1499999999999999</v>
      </c>
      <c r="AB115">
        <f t="shared" si="57"/>
        <v>3.6532609062082493</v>
      </c>
      <c r="AC115" s="60">
        <v>23</v>
      </c>
      <c r="AD115">
        <f t="shared" ref="AD115:AD116" si="69">(125+0.1*AC115*30)/30</f>
        <v>6.4666666666666668</v>
      </c>
      <c r="AE115">
        <v>0</v>
      </c>
      <c r="AF115">
        <v>0</v>
      </c>
      <c r="AH115">
        <f t="shared" si="63"/>
        <v>91.42135500091868</v>
      </c>
      <c r="AN115">
        <f t="shared" si="60"/>
        <v>105</v>
      </c>
    </row>
    <row r="116" spans="1:40" ht="15.6">
      <c r="A116" s="1">
        <v>44422</v>
      </c>
      <c r="B116">
        <f t="shared" si="61"/>
        <v>226</v>
      </c>
      <c r="C116">
        <f t="shared" si="40"/>
        <v>30.2</v>
      </c>
      <c r="D116" s="38">
        <v>34.4</v>
      </c>
      <c r="E116" s="36">
        <v>26</v>
      </c>
      <c r="F116" s="39">
        <v>78</v>
      </c>
      <c r="G116" s="40">
        <v>3</v>
      </c>
      <c r="H116" s="41">
        <v>3.4</v>
      </c>
      <c r="I116" s="16">
        <f>4098*(0.6108*EXP(17.27*Tomato!C115/(Tomato!C115+237.3)))/(Tomato!C115+237.3)^2</f>
        <v>0.2245806202310468</v>
      </c>
      <c r="J116" s="16">
        <f t="shared" si="41"/>
        <v>0.3606478202310468</v>
      </c>
      <c r="K116" s="16">
        <f t="shared" si="42"/>
        <v>5.4388791379242765</v>
      </c>
      <c r="L116" s="16">
        <f t="shared" si="43"/>
        <v>3.3614398286025637</v>
      </c>
      <c r="M116" s="16">
        <f t="shared" si="44"/>
        <v>4.4001594832634199</v>
      </c>
      <c r="N116" s="16">
        <f t="shared" si="45"/>
        <v>3.4321243969454676</v>
      </c>
      <c r="O116" s="16">
        <f t="shared" si="46"/>
        <v>0.24528650856458042</v>
      </c>
      <c r="P116" s="16">
        <f t="shared" si="47"/>
        <v>0.97578343454908911</v>
      </c>
      <c r="Q116" s="16">
        <f t="shared" si="48"/>
        <v>1.6749734097972255</v>
      </c>
      <c r="R116" s="16">
        <f t="shared" si="49"/>
        <v>38.420023196079811</v>
      </c>
      <c r="S116" s="16">
        <f t="shared" si="50"/>
        <v>12.802344533481978</v>
      </c>
      <c r="T116" s="16">
        <f t="shared" si="51"/>
        <v>14.706730663752332</v>
      </c>
      <c r="U116" s="16">
        <f t="shared" si="52"/>
        <v>28.8557426216477</v>
      </c>
      <c r="V116" s="16">
        <f t="shared" si="53"/>
        <v>11.324182611089295</v>
      </c>
      <c r="W116" s="16">
        <f t="shared" si="54"/>
        <v>1.1331828251932257</v>
      </c>
      <c r="X116" s="16">
        <f t="shared" si="55"/>
        <v>4.1992707161832428</v>
      </c>
      <c r="Y116" s="16">
        <f t="shared" si="56"/>
        <v>5.0156416746110892</v>
      </c>
      <c r="Z116">
        <v>1.1499999999999999</v>
      </c>
      <c r="AB116">
        <f t="shared" si="57"/>
        <v>4.8291613236107285</v>
      </c>
      <c r="AC116" s="60">
        <v>10.199999999999999</v>
      </c>
      <c r="AD116">
        <f t="shared" si="69"/>
        <v>5.1866666666666665</v>
      </c>
      <c r="AE116">
        <v>0</v>
      </c>
      <c r="AF116">
        <v>0</v>
      </c>
      <c r="AH116">
        <f t="shared" si="63"/>
        <v>91.778860343974614</v>
      </c>
      <c r="AN116">
        <f t="shared" si="60"/>
        <v>106</v>
      </c>
    </row>
    <row r="117" spans="1:40" ht="15.6">
      <c r="A117" s="1">
        <v>44423</v>
      </c>
      <c r="B117">
        <f t="shared" si="61"/>
        <v>227</v>
      </c>
      <c r="C117">
        <f t="shared" si="40"/>
        <v>30.3</v>
      </c>
      <c r="D117" s="37">
        <v>35</v>
      </c>
      <c r="E117" s="36">
        <v>25.6</v>
      </c>
      <c r="F117" s="39">
        <v>73</v>
      </c>
      <c r="G117" s="40">
        <v>7</v>
      </c>
      <c r="H117" s="41">
        <v>5</v>
      </c>
      <c r="I117" s="16">
        <f>4098*(0.6108*EXP(17.27*Tomato!C116/(Tomato!C116+237.3)))/(Tomato!C116+237.3)^2</f>
        <v>0.22458062023104683</v>
      </c>
      <c r="J117" s="16">
        <f t="shared" si="41"/>
        <v>0.45225742023104687</v>
      </c>
      <c r="K117" s="16">
        <f t="shared" si="42"/>
        <v>5.6226812384961216</v>
      </c>
      <c r="L117" s="16">
        <f t="shared" si="43"/>
        <v>3.2827711697769288</v>
      </c>
      <c r="M117" s="16">
        <f t="shared" si="44"/>
        <v>4.4527262041365248</v>
      </c>
      <c r="N117" s="16">
        <f t="shared" si="45"/>
        <v>3.2504901290196631</v>
      </c>
      <c r="O117" s="16">
        <f t="shared" si="46"/>
        <v>0.23961938452856521</v>
      </c>
      <c r="P117" s="16">
        <f t="shared" si="47"/>
        <v>0.97617270890221663</v>
      </c>
      <c r="Q117" s="16">
        <f t="shared" si="48"/>
        <v>1.6724619260522735</v>
      </c>
      <c r="R117" s="16">
        <f t="shared" si="49"/>
        <v>38.351561825781502</v>
      </c>
      <c r="S117" s="16">
        <f t="shared" si="50"/>
        <v>12.783148479380435</v>
      </c>
      <c r="T117" s="16">
        <f t="shared" si="51"/>
        <v>17.088304358318535</v>
      </c>
      <c r="U117" s="16">
        <f t="shared" si="52"/>
        <v>28.804324024871452</v>
      </c>
      <c r="V117" s="16">
        <f t="shared" si="53"/>
        <v>13.157994355905272</v>
      </c>
      <c r="W117" s="16">
        <f t="shared" si="54"/>
        <v>1.6444972685310633</v>
      </c>
      <c r="X117" s="16">
        <f t="shared" si="55"/>
        <v>6.0520855723216274</v>
      </c>
      <c r="Y117" s="16">
        <f t="shared" si="56"/>
        <v>5.3073784548007756</v>
      </c>
      <c r="Z117">
        <v>1.1499999999999999</v>
      </c>
      <c r="AB117">
        <f t="shared" si="57"/>
        <v>6.9598984081698712</v>
      </c>
      <c r="AC117" s="60">
        <v>4</v>
      </c>
      <c r="AD117">
        <f t="shared" ref="AD117:AD127" si="70">(AC117*30)*(125-0.2*AC117*30)/(125*30)</f>
        <v>3.2320000000000002</v>
      </c>
      <c r="AE117">
        <v>0</v>
      </c>
      <c r="AF117">
        <v>0</v>
      </c>
      <c r="AH117">
        <f t="shared" si="63"/>
        <v>88.050961935804736</v>
      </c>
      <c r="AN117">
        <f t="shared" si="60"/>
        <v>107</v>
      </c>
    </row>
    <row r="118" spans="1:40" ht="15.6">
      <c r="A118" s="1">
        <v>44424</v>
      </c>
      <c r="B118">
        <f t="shared" si="61"/>
        <v>228</v>
      </c>
      <c r="C118">
        <f t="shared" si="40"/>
        <v>30.3</v>
      </c>
      <c r="D118" s="37">
        <v>35</v>
      </c>
      <c r="E118" s="36">
        <v>25.6</v>
      </c>
      <c r="F118" s="39">
        <v>80</v>
      </c>
      <c r="G118" s="40">
        <v>8</v>
      </c>
      <c r="H118" s="41">
        <v>2.8</v>
      </c>
      <c r="I118" s="16">
        <f>4098*(0.6108*EXP(17.27*Tomato!C117/(Tomato!C117+237.3)))/(Tomato!C117+237.3)^2</f>
        <v>0.23264210672547564</v>
      </c>
      <c r="J118" s="16">
        <f t="shared" si="41"/>
        <v>0.48322130672547564</v>
      </c>
      <c r="K118" s="16">
        <f t="shared" si="42"/>
        <v>5.6226812384961216</v>
      </c>
      <c r="L118" s="16">
        <f t="shared" si="43"/>
        <v>3.2827711697769288</v>
      </c>
      <c r="M118" s="16">
        <f t="shared" si="44"/>
        <v>4.4527262041365248</v>
      </c>
      <c r="N118" s="16">
        <f t="shared" si="45"/>
        <v>3.5621809633092201</v>
      </c>
      <c r="O118" s="16">
        <f t="shared" si="46"/>
        <v>0.23388132806988449</v>
      </c>
      <c r="P118" s="16">
        <f t="shared" si="47"/>
        <v>0.9765690366391363</v>
      </c>
      <c r="Q118" s="16">
        <f t="shared" si="48"/>
        <v>1.6699267351913196</v>
      </c>
      <c r="R118" s="16">
        <f t="shared" si="49"/>
        <v>38.281215531196942</v>
      </c>
      <c r="S118" s="16">
        <f t="shared" si="50"/>
        <v>12.763771224392253</v>
      </c>
      <c r="T118" s="16">
        <f t="shared" si="51"/>
        <v>13.769196263544455</v>
      </c>
      <c r="U118" s="16">
        <f t="shared" si="52"/>
        <v>28.751489736860773</v>
      </c>
      <c r="V118" s="16">
        <f t="shared" si="53"/>
        <v>10.602281122929231</v>
      </c>
      <c r="W118" s="16">
        <f t="shared" si="54"/>
        <v>0.93547055536775225</v>
      </c>
      <c r="X118" s="16">
        <f t="shared" si="55"/>
        <v>4.8457732696124109</v>
      </c>
      <c r="Y118" s="16">
        <f t="shared" si="56"/>
        <v>5.2976434038542397</v>
      </c>
      <c r="Z118">
        <v>1.1499999999999999</v>
      </c>
      <c r="AB118">
        <f t="shared" si="57"/>
        <v>5.572639260054272</v>
      </c>
      <c r="AC118" s="60">
        <v>0</v>
      </c>
      <c r="AD118">
        <f t="shared" si="70"/>
        <v>0</v>
      </c>
      <c r="AE118">
        <v>0</v>
      </c>
      <c r="AF118">
        <v>0</v>
      </c>
      <c r="AH118">
        <f t="shared" si="63"/>
        <v>82.478322675750462</v>
      </c>
      <c r="AN118">
        <f t="shared" si="60"/>
        <v>108</v>
      </c>
    </row>
    <row r="119" spans="1:40" ht="15.6">
      <c r="A119" s="1">
        <v>44425</v>
      </c>
      <c r="B119">
        <f t="shared" si="61"/>
        <v>229</v>
      </c>
      <c r="C119">
        <f t="shared" si="40"/>
        <v>28.35</v>
      </c>
      <c r="D119" s="37">
        <v>31.4</v>
      </c>
      <c r="E119" s="36">
        <v>25.3</v>
      </c>
      <c r="F119" s="39">
        <v>92</v>
      </c>
      <c r="G119" s="40">
        <v>8</v>
      </c>
      <c r="H119" s="41">
        <v>0.5</v>
      </c>
      <c r="I119" s="16">
        <f>4098*(0.6108*EXP(17.27*Tomato!C118/(Tomato!C118+237.3)))/(Tomato!C118+237.3)^2</f>
        <v>0.2167550737640033</v>
      </c>
      <c r="J119" s="16">
        <f t="shared" si="41"/>
        <v>0.46733427376400327</v>
      </c>
      <c r="K119" s="16">
        <f t="shared" si="42"/>
        <v>4.5959173166475438</v>
      </c>
      <c r="L119" s="16">
        <f t="shared" si="43"/>
        <v>3.2248275907111101</v>
      </c>
      <c r="M119" s="16">
        <f t="shared" si="44"/>
        <v>3.9103724536793267</v>
      </c>
      <c r="N119" s="16">
        <f t="shared" si="45"/>
        <v>3.5975426573849809</v>
      </c>
      <c r="O119" s="16">
        <f t="shared" si="46"/>
        <v>0.22807403777501517</v>
      </c>
      <c r="P119" s="16">
        <f t="shared" si="47"/>
        <v>0.97697230043842764</v>
      </c>
      <c r="Q119" s="16">
        <f t="shared" si="48"/>
        <v>1.6673686503681717</v>
      </c>
      <c r="R119" s="16">
        <f t="shared" si="49"/>
        <v>38.208964134083672</v>
      </c>
      <c r="S119" s="16">
        <f t="shared" si="50"/>
        <v>12.744218983705771</v>
      </c>
      <c r="T119" s="16">
        <f t="shared" si="51"/>
        <v>10.301776257745644</v>
      </c>
      <c r="U119" s="16">
        <f t="shared" si="52"/>
        <v>28.697224602544882</v>
      </c>
      <c r="V119" s="16">
        <f t="shared" si="53"/>
        <v>7.9323677184641461</v>
      </c>
      <c r="W119" s="16">
        <f t="shared" si="54"/>
        <v>0.40642547603263973</v>
      </c>
      <c r="X119" s="16">
        <f t="shared" si="55"/>
        <v>2.5014906442517386</v>
      </c>
      <c r="Y119" s="16">
        <f t="shared" si="56"/>
        <v>4.0868611776375836</v>
      </c>
      <c r="Z119">
        <v>1.1499999999999999</v>
      </c>
      <c r="AB119">
        <f t="shared" si="57"/>
        <v>2.8767142408894992</v>
      </c>
      <c r="AC119" s="60">
        <v>1</v>
      </c>
      <c r="AD119">
        <f t="shared" si="70"/>
        <v>0.95199999999999996</v>
      </c>
      <c r="AE119">
        <v>0</v>
      </c>
      <c r="AF119">
        <v>0</v>
      </c>
      <c r="AH119">
        <f t="shared" si="63"/>
        <v>80.553608434860962</v>
      </c>
      <c r="AN119">
        <f t="shared" si="60"/>
        <v>109</v>
      </c>
    </row>
    <row r="120" spans="1:40" ht="15.6">
      <c r="A120" s="1">
        <v>44426</v>
      </c>
      <c r="B120">
        <f t="shared" si="61"/>
        <v>230</v>
      </c>
      <c r="C120">
        <f t="shared" si="40"/>
        <v>27.25</v>
      </c>
      <c r="D120" s="37">
        <v>29.5</v>
      </c>
      <c r="E120" s="36">
        <v>25</v>
      </c>
      <c r="F120" s="39">
        <v>91</v>
      </c>
      <c r="G120" s="40">
        <v>5</v>
      </c>
      <c r="H120" s="41">
        <v>0</v>
      </c>
      <c r="I120" s="16">
        <f>4098*(0.6108*EXP(17.27*Tomato!C119/(Tomato!C119+237.3)))/(Tomato!C119+237.3)^2</f>
        <v>0.23147581029180006</v>
      </c>
      <c r="J120" s="16">
        <f t="shared" si="41"/>
        <v>0.41334781029180012</v>
      </c>
      <c r="K120" s="16">
        <f t="shared" si="42"/>
        <v>4.1228854693811812</v>
      </c>
      <c r="L120" s="16">
        <f t="shared" si="43"/>
        <v>3.1677777175068473</v>
      </c>
      <c r="M120" s="16">
        <f t="shared" si="44"/>
        <v>3.6453315934440145</v>
      </c>
      <c r="N120" s="16">
        <f t="shared" si="45"/>
        <v>3.3172517500340533</v>
      </c>
      <c r="O120" s="16">
        <f t="shared" si="46"/>
        <v>0.22219923272511777</v>
      </c>
      <c r="P120" s="16">
        <f t="shared" si="47"/>
        <v>0.97738238092544871</v>
      </c>
      <c r="Q120" s="16">
        <f t="shared" si="48"/>
        <v>1.6647884746875066</v>
      </c>
      <c r="R120" s="16">
        <f t="shared" si="49"/>
        <v>38.134788624422718</v>
      </c>
      <c r="S120" s="16">
        <f t="shared" si="50"/>
        <v>12.724497895700686</v>
      </c>
      <c r="T120" s="16">
        <f t="shared" si="51"/>
        <v>9.5336971561056796</v>
      </c>
      <c r="U120" s="16">
        <f t="shared" si="52"/>
        <v>28.641514344258926</v>
      </c>
      <c r="V120" s="16">
        <f t="shared" si="53"/>
        <v>7.3409468102013733</v>
      </c>
      <c r="W120" s="16">
        <f t="shared" si="54"/>
        <v>0.33743201087532337</v>
      </c>
      <c r="X120" s="16">
        <f t="shared" si="55"/>
        <v>2.4014708562116236</v>
      </c>
      <c r="Y120" s="16">
        <f t="shared" si="56"/>
        <v>3.4198762786770684</v>
      </c>
      <c r="Z120">
        <v>1.1499999999999999</v>
      </c>
      <c r="AB120">
        <f t="shared" si="57"/>
        <v>2.7616914846433671</v>
      </c>
      <c r="AC120" s="60">
        <v>6</v>
      </c>
      <c r="AD120">
        <f t="shared" si="70"/>
        <v>4.2720000000000002</v>
      </c>
      <c r="AE120">
        <v>0</v>
      </c>
      <c r="AF120">
        <v>0</v>
      </c>
      <c r="AH120">
        <f t="shared" si="63"/>
        <v>82.063916950217603</v>
      </c>
      <c r="AN120">
        <f t="shared" si="60"/>
        <v>110</v>
      </c>
    </row>
    <row r="121" spans="1:40" ht="15.6">
      <c r="A121" s="1">
        <v>44427</v>
      </c>
      <c r="B121">
        <f t="shared" si="61"/>
        <v>231</v>
      </c>
      <c r="C121">
        <f t="shared" si="40"/>
        <v>28.1</v>
      </c>
      <c r="D121" s="37">
        <v>31.2</v>
      </c>
      <c r="E121" s="36">
        <v>25</v>
      </c>
      <c r="F121" s="39">
        <v>89</v>
      </c>
      <c r="G121" s="40">
        <v>10</v>
      </c>
      <c r="H121" s="41">
        <v>0</v>
      </c>
      <c r="I121" s="16">
        <f>4098*(0.6108*EXP(17.27*Tomato!C120/(Tomato!C120+237.3)))/(Tomato!C120+237.3)^2</f>
        <v>0.2589369890830428</v>
      </c>
      <c r="J121" s="16">
        <f t="shared" si="41"/>
        <v>0.55532098908304284</v>
      </c>
      <c r="K121" s="16">
        <f t="shared" si="42"/>
        <v>4.5439995866454055</v>
      </c>
      <c r="L121" s="16">
        <f t="shared" si="43"/>
        <v>3.1677777175068473</v>
      </c>
      <c r="M121" s="16">
        <f t="shared" si="44"/>
        <v>3.8558886520761266</v>
      </c>
      <c r="N121" s="16">
        <f t="shared" si="45"/>
        <v>3.4317409003477528</v>
      </c>
      <c r="O121" s="16">
        <f t="shared" si="46"/>
        <v>0.21625865198715344</v>
      </c>
      <c r="P121" s="16">
        <f t="shared" si="47"/>
        <v>0.97779915670767314</v>
      </c>
      <c r="Q121" s="16">
        <f t="shared" si="48"/>
        <v>1.6621870009937132</v>
      </c>
      <c r="R121" s="16">
        <f t="shared" si="49"/>
        <v>38.058671221186401</v>
      </c>
      <c r="S121" s="16">
        <f t="shared" si="50"/>
        <v>12.704614020334114</v>
      </c>
      <c r="T121" s="16">
        <f t="shared" si="51"/>
        <v>9.5146678052966003</v>
      </c>
      <c r="U121" s="16">
        <f t="shared" si="52"/>
        <v>28.584345607384257</v>
      </c>
      <c r="V121" s="16">
        <f t="shared" si="53"/>
        <v>7.3262942100783821</v>
      </c>
      <c r="W121" s="16">
        <f t="shared" si="54"/>
        <v>0.32385014615721203</v>
      </c>
      <c r="X121" s="16">
        <f t="shared" si="55"/>
        <v>2.8699955004903686</v>
      </c>
      <c r="Y121" s="16">
        <f t="shared" si="56"/>
        <v>4.0817852377499593</v>
      </c>
      <c r="Z121">
        <v>1.1499999999999999</v>
      </c>
      <c r="AB121">
        <f t="shared" si="57"/>
        <v>3.3004948255639235</v>
      </c>
      <c r="AC121" s="60">
        <v>0.4</v>
      </c>
      <c r="AD121">
        <f t="shared" si="70"/>
        <v>0.39231999999999995</v>
      </c>
      <c r="AE121">
        <v>0</v>
      </c>
      <c r="AF121">
        <f>132-AH120-AD121+AB121</f>
        <v>52.844257875346322</v>
      </c>
      <c r="AH121">
        <f>AH120-AB121+AD121+AF121-AE121</f>
        <v>132</v>
      </c>
      <c r="AJ121" t="s">
        <v>2</v>
      </c>
      <c r="AN121">
        <f t="shared" si="60"/>
        <v>111</v>
      </c>
    </row>
    <row r="122" spans="1:40" ht="15.6">
      <c r="A122" s="1">
        <v>44428</v>
      </c>
      <c r="B122">
        <f t="shared" si="61"/>
        <v>232</v>
      </c>
      <c r="C122">
        <f t="shared" si="40"/>
        <v>26.200000000000003</v>
      </c>
      <c r="D122" s="37">
        <v>28.6</v>
      </c>
      <c r="E122" s="36">
        <v>23.8</v>
      </c>
      <c r="F122" s="39">
        <v>95</v>
      </c>
      <c r="G122" s="40">
        <v>4</v>
      </c>
      <c r="H122" s="41">
        <v>0</v>
      </c>
      <c r="I122" s="16">
        <f>4098*(0.6108*EXP(17.27*Tomato!C121/(Tomato!C121+237.3)))/(Tomato!C121+237.3)^2</f>
        <v>0.25702507528174307</v>
      </c>
      <c r="J122" s="16">
        <f t="shared" si="41"/>
        <v>0.41599467528174305</v>
      </c>
      <c r="K122" s="16">
        <f t="shared" si="42"/>
        <v>3.9140092986798436</v>
      </c>
      <c r="L122" s="16">
        <f t="shared" si="43"/>
        <v>2.9482843050220851</v>
      </c>
      <c r="M122" s="16">
        <f t="shared" si="44"/>
        <v>3.4311468018509643</v>
      </c>
      <c r="N122" s="16">
        <f t="shared" si="45"/>
        <v>3.259589461758416</v>
      </c>
      <c r="O122" s="16">
        <f t="shared" si="46"/>
        <v>0.21025405409908277</v>
      </c>
      <c r="P122" s="16">
        <f t="shared" si="47"/>
        <v>0.9782225044106253</v>
      </c>
      <c r="Q122" s="16">
        <f t="shared" si="48"/>
        <v>1.659565011702774</v>
      </c>
      <c r="R122" s="16">
        <f t="shared" si="49"/>
        <v>37.980595431947243</v>
      </c>
      <c r="S122" s="16">
        <f t="shared" si="50"/>
        <v>12.684573337855598</v>
      </c>
      <c r="T122" s="16">
        <f t="shared" si="51"/>
        <v>9.4951488579868109</v>
      </c>
      <c r="U122" s="16">
        <f t="shared" si="52"/>
        <v>28.525706005118295</v>
      </c>
      <c r="V122" s="16">
        <f t="shared" si="53"/>
        <v>7.3112646206498448</v>
      </c>
      <c r="W122" s="16">
        <f t="shared" si="54"/>
        <v>0.34146780686349804</v>
      </c>
      <c r="X122" s="16">
        <f t="shared" si="55"/>
        <v>2.0912294930227491</v>
      </c>
      <c r="Y122" s="16">
        <f t="shared" si="56"/>
        <v>3.4357619309089085</v>
      </c>
      <c r="Z122">
        <v>1.1499999999999999</v>
      </c>
      <c r="AB122">
        <f t="shared" si="57"/>
        <v>2.4049139169761613</v>
      </c>
      <c r="AC122" s="60">
        <v>5.4</v>
      </c>
      <c r="AD122">
        <f t="shared" si="70"/>
        <v>4.0003199999999994</v>
      </c>
      <c r="AE122">
        <v>0</v>
      </c>
      <c r="AF122">
        <v>0</v>
      </c>
      <c r="AH122">
        <f t="shared" ref="AH122:AH153" si="71">AH121-AB122+AD122+AF122-AE122</f>
        <v>133.59540608302382</v>
      </c>
      <c r="AN122">
        <f t="shared" si="60"/>
        <v>112</v>
      </c>
    </row>
    <row r="123" spans="1:40" ht="15.6">
      <c r="A123" s="1">
        <v>44429</v>
      </c>
      <c r="B123">
        <f t="shared" si="61"/>
        <v>233</v>
      </c>
      <c r="C123">
        <f t="shared" si="40"/>
        <v>27.15</v>
      </c>
      <c r="D123" s="37">
        <v>30.8</v>
      </c>
      <c r="E123" s="36">
        <v>23.5</v>
      </c>
      <c r="F123" s="39">
        <v>80</v>
      </c>
      <c r="G123" s="40">
        <v>6</v>
      </c>
      <c r="H123" s="41">
        <v>0</v>
      </c>
      <c r="I123" s="16">
        <f>4098*(0.6108*EXP(17.27*Tomato!C122/(Tomato!C122+237.3)))/(Tomato!C122+237.3)^2</f>
        <v>0.21675507376400333</v>
      </c>
      <c r="J123" s="16">
        <f t="shared" si="41"/>
        <v>0.42152947376400335</v>
      </c>
      <c r="K123" s="16">
        <f t="shared" si="42"/>
        <v>4.4416910990407947</v>
      </c>
      <c r="L123" s="16">
        <f t="shared" si="43"/>
        <v>2.8955307729089892</v>
      </c>
      <c r="M123" s="16">
        <f t="shared" si="44"/>
        <v>3.668610935974892</v>
      </c>
      <c r="N123" s="16">
        <f t="shared" si="45"/>
        <v>2.9348887487799136</v>
      </c>
      <c r="O123" s="16">
        <f t="shared" si="46"/>
        <v>0.20418721654930097</v>
      </c>
      <c r="P123" s="16">
        <f t="shared" si="47"/>
        <v>0.9786522987144014</v>
      </c>
      <c r="Q123" s="16">
        <f t="shared" si="48"/>
        <v>1.6569232786761052</v>
      </c>
      <c r="R123" s="16">
        <f t="shared" si="49"/>
        <v>37.900546111212634</v>
      </c>
      <c r="S123" s="16">
        <f t="shared" si="50"/>
        <v>12.664381747842842</v>
      </c>
      <c r="T123" s="16">
        <f t="shared" si="51"/>
        <v>9.4751365278031585</v>
      </c>
      <c r="U123" s="16">
        <f t="shared" si="52"/>
        <v>28.46558416228736</v>
      </c>
      <c r="V123" s="16">
        <f t="shared" si="53"/>
        <v>7.2958551264084326</v>
      </c>
      <c r="W123" s="16">
        <f t="shared" si="54"/>
        <v>0.39723524536147287</v>
      </c>
      <c r="X123" s="16">
        <f t="shared" si="55"/>
        <v>3.5567280884597192</v>
      </c>
      <c r="Y123" s="16">
        <f t="shared" si="56"/>
        <v>4.3194116274085559</v>
      </c>
      <c r="Z123">
        <v>1.1499999999999999</v>
      </c>
      <c r="AB123">
        <f t="shared" si="57"/>
        <v>4.0902373017286768</v>
      </c>
      <c r="AC123" s="60">
        <v>7.2</v>
      </c>
      <c r="AD123">
        <f t="shared" si="70"/>
        <v>4.7116799999999994</v>
      </c>
      <c r="AE123">
        <v>0</v>
      </c>
      <c r="AF123">
        <v>0</v>
      </c>
      <c r="AH123">
        <f t="shared" si="71"/>
        <v>134.21684878129514</v>
      </c>
      <c r="AN123">
        <f t="shared" si="60"/>
        <v>113</v>
      </c>
    </row>
    <row r="124" spans="1:40" ht="15.6">
      <c r="A124" s="1">
        <v>44430</v>
      </c>
      <c r="B124">
        <f t="shared" si="61"/>
        <v>234</v>
      </c>
      <c r="C124">
        <f t="shared" si="40"/>
        <v>28.400000000000002</v>
      </c>
      <c r="D124" s="37">
        <v>33.200000000000003</v>
      </c>
      <c r="E124" s="36">
        <v>23.6</v>
      </c>
      <c r="F124" s="39">
        <v>73</v>
      </c>
      <c r="G124" s="40">
        <v>8</v>
      </c>
      <c r="H124" s="41">
        <v>9</v>
      </c>
      <c r="I124" s="16">
        <f>4098*(0.6108*EXP(17.27*Tomato!C123/(Tomato!C123+237.3)))/(Tomato!C123+237.3)^2</f>
        <v>0.2251485506723</v>
      </c>
      <c r="J124" s="16">
        <f t="shared" si="41"/>
        <v>0.4757277506723</v>
      </c>
      <c r="K124" s="16">
        <f t="shared" si="42"/>
        <v>5.0868531413725142</v>
      </c>
      <c r="L124" s="16">
        <f t="shared" si="43"/>
        <v>2.9130230003400173</v>
      </c>
      <c r="M124" s="16">
        <f t="shared" si="44"/>
        <v>3.999938070856266</v>
      </c>
      <c r="N124" s="16">
        <f t="shared" si="45"/>
        <v>2.9199547917250741</v>
      </c>
      <c r="O124" s="16">
        <f t="shared" si="46"/>
        <v>0.19805993525046467</v>
      </c>
      <c r="P124" s="16">
        <f t="shared" si="47"/>
        <v>0.97908841239076705</v>
      </c>
      <c r="Q124" s="16">
        <f t="shared" si="48"/>
        <v>1.654262563135215</v>
      </c>
      <c r="R124" s="16">
        <f t="shared" si="49"/>
        <v>37.818509517371339</v>
      </c>
      <c r="S124" s="16">
        <f t="shared" si="50"/>
        <v>12.644045068549413</v>
      </c>
      <c r="T124" s="16">
        <f t="shared" si="51"/>
        <v>22.914188137432994</v>
      </c>
      <c r="U124" s="16">
        <f t="shared" si="52"/>
        <v>28.403969758116915</v>
      </c>
      <c r="V124" s="16">
        <f t="shared" si="53"/>
        <v>17.643924865823404</v>
      </c>
      <c r="W124" s="16">
        <f t="shared" si="54"/>
        <v>3.0243866544167624</v>
      </c>
      <c r="X124" s="16">
        <f t="shared" si="55"/>
        <v>6.4759601460585028</v>
      </c>
      <c r="Y124" s="16">
        <f t="shared" si="56"/>
        <v>5.0800735470316809</v>
      </c>
      <c r="Z124">
        <v>1.1499999999999999</v>
      </c>
      <c r="AB124">
        <f t="shared" si="57"/>
        <v>7.4473541679672772</v>
      </c>
      <c r="AC124" s="60">
        <v>0</v>
      </c>
      <c r="AD124">
        <f t="shared" si="70"/>
        <v>0</v>
      </c>
      <c r="AE124">
        <v>0</v>
      </c>
      <c r="AF124">
        <v>0</v>
      </c>
      <c r="AH124">
        <f t="shared" si="71"/>
        <v>126.76949461332786</v>
      </c>
      <c r="AN124">
        <f t="shared" si="60"/>
        <v>114</v>
      </c>
    </row>
    <row r="125" spans="1:40" ht="15.6">
      <c r="A125" s="1">
        <v>44431</v>
      </c>
      <c r="B125">
        <f t="shared" si="61"/>
        <v>235</v>
      </c>
      <c r="C125">
        <f t="shared" si="40"/>
        <v>29.05</v>
      </c>
      <c r="D125" s="37">
        <v>34.6</v>
      </c>
      <c r="E125" s="36">
        <v>23.5</v>
      </c>
      <c r="F125" s="39">
        <v>72</v>
      </c>
      <c r="G125" s="40">
        <v>8</v>
      </c>
      <c r="H125" s="41">
        <v>7.5</v>
      </c>
      <c r="I125" s="16">
        <f>4098*(0.6108*EXP(17.27*Tomato!C124/(Tomato!C124+237.3)))/(Tomato!C124+237.3)^2</f>
        <v>0.24702681337018534</v>
      </c>
      <c r="J125" s="16">
        <f t="shared" si="41"/>
        <v>0.49760601337018534</v>
      </c>
      <c r="K125" s="16">
        <f t="shared" si="42"/>
        <v>5.4995586494348254</v>
      </c>
      <c r="L125" s="16">
        <f t="shared" si="43"/>
        <v>2.8955307729089892</v>
      </c>
      <c r="M125" s="16">
        <f t="shared" si="44"/>
        <v>4.1975447111719077</v>
      </c>
      <c r="N125" s="16">
        <f t="shared" si="45"/>
        <v>3.0222321920437736</v>
      </c>
      <c r="O125" s="16">
        <f t="shared" si="46"/>
        <v>0.19187402400786208</v>
      </c>
      <c r="P125" s="16">
        <f t="shared" si="47"/>
        <v>0.97953071634081945</v>
      </c>
      <c r="Q125" s="16">
        <f t="shared" si="48"/>
        <v>1.6515836156159882</v>
      </c>
      <c r="R125" s="16">
        <f t="shared" si="49"/>
        <v>37.734473368138396</v>
      </c>
      <c r="S125" s="16">
        <f t="shared" si="50"/>
        <v>12.623569036555324</v>
      </c>
      <c r="T125" s="16">
        <f t="shared" si="51"/>
        <v>20.64314828723084</v>
      </c>
      <c r="U125" s="16">
        <f t="shared" si="52"/>
        <v>28.340853567874021</v>
      </c>
      <c r="V125" s="16">
        <f t="shared" si="53"/>
        <v>15.895224181167746</v>
      </c>
      <c r="W125" s="16">
        <f t="shared" si="54"/>
        <v>2.507555793388569</v>
      </c>
      <c r="X125" s="16">
        <f t="shared" si="55"/>
        <v>6.5040688177260302</v>
      </c>
      <c r="Y125" s="16">
        <f t="shared" si="56"/>
        <v>5.5271006970458867</v>
      </c>
      <c r="Z125">
        <v>1.1499999999999999</v>
      </c>
      <c r="AB125">
        <f t="shared" si="57"/>
        <v>7.4796791403849339</v>
      </c>
      <c r="AC125" s="60">
        <v>0</v>
      </c>
      <c r="AD125">
        <f t="shared" si="70"/>
        <v>0</v>
      </c>
      <c r="AE125">
        <v>0</v>
      </c>
      <c r="AF125">
        <v>0</v>
      </c>
      <c r="AH125">
        <f t="shared" si="71"/>
        <v>119.28981547294293</v>
      </c>
      <c r="AN125">
        <f t="shared" si="60"/>
        <v>115</v>
      </c>
    </row>
    <row r="126" spans="1:40" ht="15.6">
      <c r="A126" s="1">
        <v>44432</v>
      </c>
      <c r="B126">
        <f t="shared" si="61"/>
        <v>236</v>
      </c>
      <c r="C126">
        <f t="shared" si="40"/>
        <v>28.75</v>
      </c>
      <c r="D126" s="37">
        <v>34</v>
      </c>
      <c r="E126" s="36">
        <v>23.5</v>
      </c>
      <c r="F126" s="39">
        <v>75</v>
      </c>
      <c r="G126" s="40">
        <v>6</v>
      </c>
      <c r="H126" s="41">
        <v>4</v>
      </c>
      <c r="I126" s="16">
        <f>4098*(0.6108*EXP(17.27*Tomato!C125/(Tomato!C125+237.3)))/(Tomato!C125+237.3)^2</f>
        <v>0.26604960033055691</v>
      </c>
      <c r="J126" s="16">
        <f t="shared" si="41"/>
        <v>0.47082400033055694</v>
      </c>
      <c r="K126" s="16">
        <f t="shared" si="42"/>
        <v>5.3192602098598769</v>
      </c>
      <c r="L126" s="16">
        <f t="shared" si="43"/>
        <v>2.8955307729089892</v>
      </c>
      <c r="M126" s="16">
        <f t="shared" si="44"/>
        <v>4.1073954913844331</v>
      </c>
      <c r="N126" s="16">
        <f t="shared" si="45"/>
        <v>3.0805466185383246</v>
      </c>
      <c r="O126" s="16">
        <f t="shared" si="46"/>
        <v>0.18563131398248886</v>
      </c>
      <c r="P126" s="16">
        <f t="shared" si="47"/>
        <v>0.97997907963320363</v>
      </c>
      <c r="Q126" s="16">
        <f t="shared" si="48"/>
        <v>1.6488871759613528</v>
      </c>
      <c r="R126" s="16">
        <f t="shared" si="49"/>
        <v>37.648426894387541</v>
      </c>
      <c r="S126" s="16">
        <f t="shared" si="50"/>
        <v>12.602959306710977</v>
      </c>
      <c r="T126" s="16">
        <f t="shared" si="51"/>
        <v>15.386644287062643</v>
      </c>
      <c r="U126" s="16">
        <f t="shared" si="52"/>
        <v>28.276227503298703</v>
      </c>
      <c r="V126" s="16">
        <f t="shared" si="53"/>
        <v>11.847716101038236</v>
      </c>
      <c r="W126" s="16">
        <f t="shared" si="54"/>
        <v>1.4797706756691464</v>
      </c>
      <c r="X126" s="16">
        <f t="shared" si="55"/>
        <v>5.0193603970331866</v>
      </c>
      <c r="Y126" s="16">
        <f t="shared" si="56"/>
        <v>5.3290423091483392</v>
      </c>
      <c r="Z126">
        <v>1.1499999999999999</v>
      </c>
      <c r="AB126">
        <f t="shared" si="57"/>
        <v>5.7722644565881644</v>
      </c>
      <c r="AC126" s="60">
        <v>0</v>
      </c>
      <c r="AD126">
        <f t="shared" si="70"/>
        <v>0</v>
      </c>
      <c r="AE126">
        <v>0</v>
      </c>
      <c r="AF126">
        <v>0</v>
      </c>
      <c r="AH126">
        <f t="shared" si="71"/>
        <v>113.51755101635477</v>
      </c>
      <c r="AN126">
        <f t="shared" si="60"/>
        <v>116</v>
      </c>
    </row>
    <row r="127" spans="1:40" ht="15.6">
      <c r="A127" s="1">
        <v>44433</v>
      </c>
      <c r="B127">
        <f t="shared" si="61"/>
        <v>237</v>
      </c>
      <c r="C127">
        <f t="shared" si="40"/>
        <v>29.35</v>
      </c>
      <c r="D127" s="37">
        <v>34</v>
      </c>
      <c r="E127" s="36">
        <v>24.7</v>
      </c>
      <c r="F127" s="39">
        <v>88</v>
      </c>
      <c r="G127" s="40">
        <v>5</v>
      </c>
      <c r="H127" s="41">
        <v>0</v>
      </c>
      <c r="I127" s="16">
        <f>4098*(0.6108*EXP(17.27*Tomato!C126/(Tomato!C126+237.3)))/(Tomato!C126+237.3)^2</f>
        <v>0.26021820629367171</v>
      </c>
      <c r="J127" s="16">
        <f t="shared" si="41"/>
        <v>0.44209020629367174</v>
      </c>
      <c r="K127" s="16">
        <f t="shared" si="42"/>
        <v>5.3192602098598769</v>
      </c>
      <c r="L127" s="16">
        <f t="shared" si="43"/>
        <v>3.1116099111162523</v>
      </c>
      <c r="M127" s="16">
        <f t="shared" si="44"/>
        <v>4.2154350604880646</v>
      </c>
      <c r="N127" s="16">
        <f t="shared" si="45"/>
        <v>3.709582853229497</v>
      </c>
      <c r="O127" s="16">
        <f t="shared" si="46"/>
        <v>0.17933365314898661</v>
      </c>
      <c r="P127" s="16">
        <f t="shared" si="47"/>
        <v>0.98043336954287041</v>
      </c>
      <c r="Q127" s="16">
        <f t="shared" si="48"/>
        <v>1.6461739733510496</v>
      </c>
      <c r="R127" s="16">
        <f t="shared" si="49"/>
        <v>37.5603608922614</v>
      </c>
      <c r="S127" s="16">
        <f t="shared" si="50"/>
        <v>12.582221452364712</v>
      </c>
      <c r="T127" s="16">
        <f t="shared" si="51"/>
        <v>9.39009022306535</v>
      </c>
      <c r="U127" s="16">
        <f t="shared" si="52"/>
        <v>28.210084651741845</v>
      </c>
      <c r="V127" s="16">
        <f t="shared" si="53"/>
        <v>7.2303694717603193</v>
      </c>
      <c r="W127" s="16">
        <f t="shared" si="54"/>
        <v>0.28745572481045234</v>
      </c>
      <c r="X127" s="16">
        <f t="shared" si="55"/>
        <v>2.8144999760679599</v>
      </c>
      <c r="Y127" s="16">
        <f t="shared" si="56"/>
        <v>5.0680504207146662</v>
      </c>
      <c r="Z127">
        <v>1.1499999999999999</v>
      </c>
      <c r="AB127">
        <f t="shared" si="57"/>
        <v>3.2366749724781534</v>
      </c>
      <c r="AC127" s="60">
        <v>3.8</v>
      </c>
      <c r="AD127">
        <f t="shared" si="70"/>
        <v>3.1068800000000003</v>
      </c>
      <c r="AE127">
        <v>0</v>
      </c>
      <c r="AF127">
        <v>0</v>
      </c>
      <c r="AH127">
        <f t="shared" si="71"/>
        <v>113.38775604387662</v>
      </c>
      <c r="AN127">
        <f t="shared" si="60"/>
        <v>117</v>
      </c>
    </row>
    <row r="128" spans="1:40" ht="15.6">
      <c r="A128" s="1">
        <v>44434</v>
      </c>
      <c r="B128">
        <f t="shared" si="61"/>
        <v>238</v>
      </c>
      <c r="C128">
        <f t="shared" si="40"/>
        <v>28.65</v>
      </c>
      <c r="D128" s="37">
        <v>33.799999999999997</v>
      </c>
      <c r="E128" s="36">
        <v>23.5</v>
      </c>
      <c r="F128" s="39">
        <v>75</v>
      </c>
      <c r="G128" s="40">
        <v>8</v>
      </c>
      <c r="H128" s="41">
        <v>0</v>
      </c>
      <c r="I128" s="16">
        <f>4098*(0.6108*EXP(17.27*Tomato!C127/(Tomato!C127+237.3)))/(Tomato!C127+237.3)^2</f>
        <v>0.27066042882010366</v>
      </c>
      <c r="J128" s="16">
        <f t="shared" si="41"/>
        <v>0.52123962882010366</v>
      </c>
      <c r="K128" s="16">
        <f t="shared" si="42"/>
        <v>5.2603114929926225</v>
      </c>
      <c r="L128" s="16">
        <f t="shared" si="43"/>
        <v>2.8955307729089892</v>
      </c>
      <c r="M128" s="16">
        <f t="shared" si="44"/>
        <v>4.0779211329508058</v>
      </c>
      <c r="N128" s="16">
        <f t="shared" si="45"/>
        <v>3.0584408497131044</v>
      </c>
      <c r="O128" s="16">
        <f t="shared" si="46"/>
        <v>0.17298290574860128</v>
      </c>
      <c r="P128" s="16">
        <f t="shared" si="47"/>
        <v>0.98089345159036634</v>
      </c>
      <c r="Q128" s="16">
        <f t="shared" si="48"/>
        <v>1.6434447263671925</v>
      </c>
      <c r="R128" s="16">
        <f t="shared" si="49"/>
        <v>37.470267773452662</v>
      </c>
      <c r="S128" s="16">
        <f t="shared" si="50"/>
        <v>12.561360965863893</v>
      </c>
      <c r="T128" s="16">
        <f t="shared" si="51"/>
        <v>9.3675669433631654</v>
      </c>
      <c r="U128" s="16">
        <f t="shared" si="52"/>
        <v>28.142419313929356</v>
      </c>
      <c r="V128" s="16">
        <f t="shared" si="53"/>
        <v>7.2130265463896377</v>
      </c>
      <c r="W128" s="16">
        <f t="shared" si="54"/>
        <v>0.38534786570084839</v>
      </c>
      <c r="X128" s="16">
        <f t="shared" si="55"/>
        <v>4.5911595398579825</v>
      </c>
      <c r="Y128" s="16">
        <f t="shared" si="56"/>
        <v>5.241784067984022</v>
      </c>
      <c r="Z128">
        <v>1.1499999999999999</v>
      </c>
      <c r="AB128">
        <f t="shared" si="57"/>
        <v>5.2798334708366799</v>
      </c>
      <c r="AC128" s="61">
        <v>8.6999999999999993</v>
      </c>
      <c r="AD128">
        <f t="shared" ref="AD128:AD129" si="72">(125+0.1*AC128*30)/30</f>
        <v>5.0366666666666662</v>
      </c>
      <c r="AE128">
        <v>0</v>
      </c>
      <c r="AF128">
        <v>0</v>
      </c>
      <c r="AH128">
        <f t="shared" si="71"/>
        <v>113.1445892397066</v>
      </c>
      <c r="AN128">
        <f t="shared" si="60"/>
        <v>118</v>
      </c>
    </row>
    <row r="129" spans="1:40" ht="15.6">
      <c r="A129" s="1">
        <v>44435</v>
      </c>
      <c r="B129">
        <f t="shared" si="61"/>
        <v>239</v>
      </c>
      <c r="C129">
        <f t="shared" si="40"/>
        <v>28</v>
      </c>
      <c r="D129" s="37">
        <v>32.5</v>
      </c>
      <c r="E129" s="36">
        <v>23.5</v>
      </c>
      <c r="F129" s="39">
        <v>63</v>
      </c>
      <c r="G129" s="40">
        <v>6</v>
      </c>
      <c r="H129" s="41">
        <v>0</v>
      </c>
      <c r="I129" s="16">
        <f>4098*(0.6108*EXP(17.27*Tomato!C128/(Tomato!C128+237.3)))/(Tomato!C128+237.3)^2</f>
        <v>0.25449426933517388</v>
      </c>
      <c r="J129" s="16">
        <f t="shared" si="41"/>
        <v>0.45926866933517391</v>
      </c>
      <c r="K129" s="16">
        <f t="shared" si="42"/>
        <v>4.8907789302521092</v>
      </c>
      <c r="L129" s="16">
        <f t="shared" si="43"/>
        <v>2.8955307729089892</v>
      </c>
      <c r="M129" s="16">
        <f t="shared" si="44"/>
        <v>3.8931548515805492</v>
      </c>
      <c r="N129" s="16">
        <f t="shared" si="45"/>
        <v>2.452687556495746</v>
      </c>
      <c r="O129" s="16">
        <f t="shared" si="46"/>
        <v>0.16658095173732948</v>
      </c>
      <c r="P129" s="16">
        <f t="shared" si="47"/>
        <v>0.98135918958164214</v>
      </c>
      <c r="Q129" s="16">
        <f t="shared" si="48"/>
        <v>1.6407001430942811</v>
      </c>
      <c r="R129" s="16">
        <f t="shared" si="49"/>
        <v>37.378141613551193</v>
      </c>
      <c r="S129" s="16">
        <f t="shared" si="50"/>
        <v>12.540383259319347</v>
      </c>
      <c r="T129" s="16">
        <f t="shared" si="51"/>
        <v>9.3445354033877983</v>
      </c>
      <c r="U129" s="16">
        <f t="shared" si="52"/>
        <v>28.073227040273757</v>
      </c>
      <c r="V129" s="16">
        <f t="shared" si="53"/>
        <v>7.1952922606086052</v>
      </c>
      <c r="W129" s="16">
        <f t="shared" si="54"/>
        <v>0.4845462776319675</v>
      </c>
      <c r="X129" s="16">
        <f t="shared" si="55"/>
        <v>5.3074307632927278</v>
      </c>
      <c r="Y129" s="16">
        <f t="shared" si="56"/>
        <v>4.8193940475874939</v>
      </c>
      <c r="Z129">
        <v>1.1499999999999999</v>
      </c>
      <c r="AB129">
        <f t="shared" si="57"/>
        <v>6.1035453777866362</v>
      </c>
      <c r="AC129" s="61">
        <v>18</v>
      </c>
      <c r="AD129">
        <f t="shared" si="72"/>
        <v>5.9666666666666668</v>
      </c>
      <c r="AE129">
        <v>0</v>
      </c>
      <c r="AF129">
        <v>0</v>
      </c>
      <c r="AH129">
        <f t="shared" si="71"/>
        <v>113.00771052858664</v>
      </c>
      <c r="AN129">
        <f t="shared" si="60"/>
        <v>119</v>
      </c>
    </row>
    <row r="130" spans="1:40" ht="15.6">
      <c r="A130" s="1">
        <v>44436</v>
      </c>
      <c r="B130">
        <f t="shared" si="61"/>
        <v>240</v>
      </c>
      <c r="C130">
        <f t="shared" si="40"/>
        <v>29.2</v>
      </c>
      <c r="D130" s="37">
        <v>33</v>
      </c>
      <c r="E130" s="36">
        <v>25.4</v>
      </c>
      <c r="F130" s="39">
        <v>73</v>
      </c>
      <c r="G130" s="40">
        <v>6</v>
      </c>
      <c r="H130" s="41">
        <v>0</v>
      </c>
      <c r="I130" s="16">
        <f>4098*(0.6108*EXP(17.27*Tomato!C129/(Tomato!C129+237.3)))/(Tomato!C129+237.3)^2</f>
        <v>0.25073723833604161</v>
      </c>
      <c r="J130" s="16">
        <f t="shared" si="41"/>
        <v>0.45551163833604164</v>
      </c>
      <c r="K130" s="16">
        <f t="shared" si="42"/>
        <v>5.030147795606851</v>
      </c>
      <c r="L130" s="16">
        <f t="shared" si="43"/>
        <v>3.2440422381586771</v>
      </c>
      <c r="M130" s="16">
        <f t="shared" si="44"/>
        <v>4.137095016882764</v>
      </c>
      <c r="N130" s="16">
        <f t="shared" si="45"/>
        <v>3.0200793623244175</v>
      </c>
      <c r="O130" s="16">
        <f t="shared" si="46"/>
        <v>0.16012968622941126</v>
      </c>
      <c r="P130" s="16">
        <f t="shared" si="47"/>
        <v>0.9818304456483693</v>
      </c>
      <c r="Q130" s="16">
        <f t="shared" si="48"/>
        <v>1.6379409212523079</v>
      </c>
      <c r="R130" s="16">
        <f t="shared" si="49"/>
        <v>37.283978198355662</v>
      </c>
      <c r="S130" s="16">
        <f t="shared" si="50"/>
        <v>12.519293665622737</v>
      </c>
      <c r="T130" s="16">
        <f t="shared" si="51"/>
        <v>9.3209945495889155</v>
      </c>
      <c r="U130" s="16">
        <f t="shared" si="52"/>
        <v>28.002504665657003</v>
      </c>
      <c r="V130" s="16">
        <f t="shared" si="53"/>
        <v>7.1771658031834651</v>
      </c>
      <c r="W130" s="16">
        <f t="shared" si="54"/>
        <v>0.39413265237547629</v>
      </c>
      <c r="X130" s="16">
        <f t="shared" si="55"/>
        <v>4.4749880757268867</v>
      </c>
      <c r="Y130" s="16">
        <f t="shared" si="56"/>
        <v>4.5333045744598222</v>
      </c>
      <c r="Z130">
        <v>1.1499999999999999</v>
      </c>
      <c r="AB130">
        <f t="shared" si="57"/>
        <v>5.1462362870859195</v>
      </c>
      <c r="AC130" s="61">
        <v>1</v>
      </c>
      <c r="AD130">
        <f t="shared" ref="AD130" si="73">(AC130*30)*(125-0.2*AC130*30)/(125*30)</f>
        <v>0.95199999999999996</v>
      </c>
      <c r="AE130">
        <v>0</v>
      </c>
      <c r="AF130">
        <v>0</v>
      </c>
      <c r="AH130">
        <f t="shared" si="71"/>
        <v>108.81347424150073</v>
      </c>
      <c r="AN130">
        <f t="shared" si="60"/>
        <v>120</v>
      </c>
    </row>
    <row r="131" spans="1:40" ht="15.6">
      <c r="A131" s="1">
        <v>44437</v>
      </c>
      <c r="B131">
        <f t="shared" si="61"/>
        <v>241</v>
      </c>
      <c r="C131">
        <f t="shared" si="40"/>
        <v>28.9</v>
      </c>
      <c r="D131" s="37">
        <v>32.799999999999997</v>
      </c>
      <c r="E131" s="36">
        <v>25</v>
      </c>
      <c r="F131" s="39">
        <v>83</v>
      </c>
      <c r="G131" s="40">
        <v>5</v>
      </c>
      <c r="H131" s="41">
        <v>2.4</v>
      </c>
      <c r="I131" s="16">
        <f>4098*(0.6108*EXP(17.27*Tomato!C130/(Tomato!C130+237.3)))/(Tomato!C130+237.3)^2</f>
        <v>0.24764200037450079</v>
      </c>
      <c r="J131" s="16">
        <f t="shared" si="41"/>
        <v>0.42951400037450083</v>
      </c>
      <c r="K131" s="16">
        <f t="shared" si="42"/>
        <v>4.9739919933544527</v>
      </c>
      <c r="L131" s="16">
        <f t="shared" si="43"/>
        <v>3.1677777175068473</v>
      </c>
      <c r="M131" s="16">
        <f t="shared" si="44"/>
        <v>4.0708848554306503</v>
      </c>
      <c r="N131" s="16">
        <f t="shared" si="45"/>
        <v>3.3788344300074398</v>
      </c>
      <c r="O131" s="16">
        <f t="shared" si="46"/>
        <v>0.15363101893633607</v>
      </c>
      <c r="P131" s="16">
        <f t="shared" si="47"/>
        <v>0.98230708028875158</v>
      </c>
      <c r="Q131" s="16">
        <f t="shared" si="48"/>
        <v>1.6351677483615892</v>
      </c>
      <c r="R131" s="16">
        <f t="shared" si="49"/>
        <v>37.187775068050726</v>
      </c>
      <c r="S131" s="16">
        <f t="shared" si="50"/>
        <v>12.498097439706415</v>
      </c>
      <c r="T131" s="16">
        <f t="shared" si="51"/>
        <v>12.867513631501524</v>
      </c>
      <c r="U131" s="16">
        <f t="shared" si="52"/>
        <v>27.930250342610176</v>
      </c>
      <c r="V131" s="16">
        <f t="shared" si="53"/>
        <v>9.907985496256174</v>
      </c>
      <c r="W131" s="16">
        <f t="shared" si="54"/>
        <v>0.9184087660080047</v>
      </c>
      <c r="X131" s="16">
        <f t="shared" si="55"/>
        <v>3.7324402235229162</v>
      </c>
      <c r="Y131" s="16">
        <f t="shared" si="56"/>
        <v>4.5514772516635835</v>
      </c>
      <c r="Z131">
        <v>1.1499999999999999</v>
      </c>
      <c r="AB131">
        <f t="shared" si="57"/>
        <v>4.2923062570513535</v>
      </c>
      <c r="AC131" s="61">
        <v>13</v>
      </c>
      <c r="AD131">
        <f t="shared" ref="AD131" si="74">(125+0.1*AC131*30)/30</f>
        <v>5.4666666666666668</v>
      </c>
      <c r="AE131">
        <v>0</v>
      </c>
      <c r="AF131">
        <v>0</v>
      </c>
      <c r="AH131">
        <f t="shared" si="71"/>
        <v>109.98783465111605</v>
      </c>
      <c r="AN131">
        <f t="shared" si="60"/>
        <v>121</v>
      </c>
    </row>
    <row r="132" spans="1:40" ht="15.6">
      <c r="A132" s="1">
        <v>44438</v>
      </c>
      <c r="B132">
        <f t="shared" si="61"/>
        <v>242</v>
      </c>
      <c r="C132">
        <f t="shared" si="40"/>
        <v>28.450000000000003</v>
      </c>
      <c r="D132" s="37">
        <v>32.200000000000003</v>
      </c>
      <c r="E132" s="36">
        <v>24.7</v>
      </c>
      <c r="F132" s="39">
        <v>77</v>
      </c>
      <c r="G132" s="40">
        <v>6</v>
      </c>
      <c r="H132" s="41">
        <v>0</v>
      </c>
      <c r="I132" s="16" t="e">
        <f>4098*(0.6108*EXP(17.27*Tomato!#REF!/(Tomato!#REF!+237.3)))/(Tomato!#REF!+237.3)^2</f>
        <v>#REF!</v>
      </c>
      <c r="J132" s="16" t="e">
        <f t="shared" si="41"/>
        <v>#REF!</v>
      </c>
      <c r="K132" s="16">
        <f t="shared" si="42"/>
        <v>4.8087773652629577</v>
      </c>
      <c r="L132" s="16">
        <f t="shared" si="43"/>
        <v>3.1116099111162523</v>
      </c>
      <c r="M132" s="16">
        <f t="shared" si="44"/>
        <v>3.960193638189605</v>
      </c>
      <c r="N132" s="16">
        <f t="shared" si="45"/>
        <v>3.0493491014059959</v>
      </c>
      <c r="O132" s="16">
        <f t="shared" si="46"/>
        <v>0.14708687360152767</v>
      </c>
      <c r="P132" s="16">
        <f t="shared" si="47"/>
        <v>0.98278895240882114</v>
      </c>
      <c r="Q132" s="16">
        <f t="shared" si="48"/>
        <v>1.6323813019379365</v>
      </c>
      <c r="R132" s="16">
        <f t="shared" si="49"/>
        <v>37.089531559154729</v>
      </c>
      <c r="S132" s="16">
        <f t="shared" si="50"/>
        <v>12.476799760035183</v>
      </c>
      <c r="T132" s="16">
        <f t="shared" si="51"/>
        <v>9.2723828897886822</v>
      </c>
      <c r="U132" s="16">
        <f t="shared" si="52"/>
        <v>27.85646357281875</v>
      </c>
      <c r="V132" s="16">
        <f t="shared" si="53"/>
        <v>7.1397348251372854</v>
      </c>
      <c r="W132" s="16">
        <f t="shared" si="54"/>
        <v>0.38548261625931635</v>
      </c>
      <c r="X132" s="16" t="e">
        <f t="shared" si="55"/>
        <v>#REF!</v>
      </c>
      <c r="Y132" s="16">
        <f t="shared" si="56"/>
        <v>4.4084073327134012</v>
      </c>
      <c r="Z132">
        <v>1.1499999999999999</v>
      </c>
      <c r="AB132" t="e">
        <f t="shared" si="57"/>
        <v>#REF!</v>
      </c>
      <c r="AC132" s="61">
        <v>5</v>
      </c>
      <c r="AD132">
        <f t="shared" ref="AD132" si="75">(AC132*30)*(125-0.2*AC132*30)/(125*30)</f>
        <v>3.8</v>
      </c>
      <c r="AE132">
        <v>0</v>
      </c>
      <c r="AF132">
        <v>0</v>
      </c>
      <c r="AH132" t="e">
        <f t="shared" si="71"/>
        <v>#REF!</v>
      </c>
      <c r="AN132">
        <f t="shared" si="60"/>
        <v>122</v>
      </c>
    </row>
    <row r="133" spans="1:40" ht="15.6">
      <c r="A133" s="1">
        <v>44439</v>
      </c>
      <c r="B133">
        <f t="shared" si="61"/>
        <v>243</v>
      </c>
      <c r="C133">
        <f t="shared" si="40"/>
        <v>27.900000000000002</v>
      </c>
      <c r="D133" s="37">
        <v>32.200000000000003</v>
      </c>
      <c r="E133" s="36">
        <v>23.6</v>
      </c>
      <c r="F133" s="39">
        <v>79</v>
      </c>
      <c r="G133" s="40">
        <v>4</v>
      </c>
      <c r="H133" s="41">
        <v>2.2999999999999998</v>
      </c>
      <c r="I133" s="16" t="e">
        <f>4098*(0.6108*EXP(17.27*Tomato!#REF!/(Tomato!#REF!+237.3)))/(Tomato!#REF!+237.3)^2</f>
        <v>#REF!</v>
      </c>
      <c r="J133" s="16" t="e">
        <f t="shared" si="41"/>
        <v>#REF!</v>
      </c>
      <c r="K133" s="16">
        <f t="shared" si="42"/>
        <v>4.8087773652629577</v>
      </c>
      <c r="L133" s="16">
        <f t="shared" si="43"/>
        <v>2.9130230003400173</v>
      </c>
      <c r="M133" s="16">
        <f t="shared" si="44"/>
        <v>3.8609001828014877</v>
      </c>
      <c r="N133" s="16">
        <f t="shared" si="45"/>
        <v>3.0501111444131754</v>
      </c>
      <c r="O133" s="16">
        <f t="shared" si="46"/>
        <v>0.14049918743087525</v>
      </c>
      <c r="P133" s="16">
        <f t="shared" si="47"/>
        <v>0.98327591936420478</v>
      </c>
      <c r="Q133" s="16">
        <f t="shared" si="48"/>
        <v>1.6295822497167893</v>
      </c>
      <c r="R133" s="16">
        <f t="shared" si="49"/>
        <v>36.989248844145983</v>
      </c>
      <c r="S133" s="16">
        <f t="shared" si="50"/>
        <v>12.455405730319409</v>
      </c>
      <c r="T133" s="16">
        <f t="shared" si="51"/>
        <v>12.662506953928025</v>
      </c>
      <c r="U133" s="16">
        <f t="shared" si="52"/>
        <v>27.781145236884282</v>
      </c>
      <c r="V133" s="16">
        <f t="shared" si="53"/>
        <v>9.750130354524579</v>
      </c>
      <c r="W133" s="16">
        <f t="shared" si="54"/>
        <v>1.0218005388644564</v>
      </c>
      <c r="X133" s="16" t="e">
        <f t="shared" si="55"/>
        <v>#REF!</v>
      </c>
      <c r="Y133" s="16">
        <f t="shared" si="56"/>
        <v>4.651884645268427</v>
      </c>
      <c r="Z133">
        <v>1.1499999999999999</v>
      </c>
      <c r="AB133" t="e">
        <f t="shared" si="57"/>
        <v>#REF!</v>
      </c>
      <c r="AC133" s="61">
        <v>15.5</v>
      </c>
      <c r="AD133">
        <f t="shared" ref="AD133" si="76">(125+0.1*AC133*30)/30</f>
        <v>5.7166666666666668</v>
      </c>
      <c r="AE133">
        <v>0</v>
      </c>
      <c r="AF133">
        <v>0</v>
      </c>
      <c r="AH133" t="e">
        <f t="shared" si="71"/>
        <v>#REF!</v>
      </c>
      <c r="AN133">
        <f t="shared" si="60"/>
        <v>123</v>
      </c>
    </row>
    <row r="134" spans="1:40" ht="15.6">
      <c r="A134" s="1">
        <v>44440</v>
      </c>
      <c r="B134">
        <f t="shared" si="61"/>
        <v>244</v>
      </c>
      <c r="C134">
        <f t="shared" si="40"/>
        <v>27.55</v>
      </c>
      <c r="D134" s="43">
        <v>31.5</v>
      </c>
      <c r="E134" s="42">
        <v>23.6</v>
      </c>
      <c r="F134" s="45">
        <v>77</v>
      </c>
      <c r="G134" s="46">
        <v>6</v>
      </c>
      <c r="H134" s="47">
        <v>4.4000000000000004</v>
      </c>
      <c r="I134" s="16" t="e">
        <f>4098*(0.6108*EXP(17.27*Tomato!#REF!/(Tomato!#REF!+237.3)))/(Tomato!#REF!+237.3)^2</f>
        <v>#REF!</v>
      </c>
      <c r="J134" s="16" t="e">
        <f t="shared" si="41"/>
        <v>#REF!</v>
      </c>
      <c r="K134" s="16">
        <f t="shared" si="42"/>
        <v>4.6220689030255047</v>
      </c>
      <c r="L134" s="16">
        <f t="shared" si="43"/>
        <v>2.9130230003400173</v>
      </c>
      <c r="M134" s="16">
        <f t="shared" si="44"/>
        <v>3.7675459516827612</v>
      </c>
      <c r="N134" s="16">
        <f t="shared" si="45"/>
        <v>2.9010103827957261</v>
      </c>
      <c r="O134" s="16">
        <f t="shared" si="46"/>
        <v>0.13386991051927902</v>
      </c>
      <c r="P134" s="16">
        <f t="shared" si="47"/>
        <v>0.98376783700235015</v>
      </c>
      <c r="Q134" s="16">
        <f t="shared" si="48"/>
        <v>1.6267712499049178</v>
      </c>
      <c r="R134" s="16">
        <f t="shared" si="49"/>
        <v>36.886929968680342</v>
      </c>
      <c r="S134" s="16">
        <f t="shared" si="50"/>
        <v>12.433920381438863</v>
      </c>
      <c r="T134" s="16">
        <f t="shared" si="51"/>
        <v>15.748334194738321</v>
      </c>
      <c r="U134" s="16">
        <f t="shared" si="52"/>
        <v>27.704297622277057</v>
      </c>
      <c r="V134" s="16">
        <f t="shared" si="53"/>
        <v>12.126217329948508</v>
      </c>
      <c r="W134" s="16">
        <f t="shared" si="54"/>
        <v>1.7010675702831104</v>
      </c>
      <c r="X134" s="16" t="e">
        <f t="shared" si="55"/>
        <v>#REF!</v>
      </c>
      <c r="Y134" s="16">
        <f t="shared" si="56"/>
        <v>4.4121609579592231</v>
      </c>
      <c r="Z134">
        <v>1.1499999999999999</v>
      </c>
      <c r="AB134" t="e">
        <f t="shared" si="57"/>
        <v>#REF!</v>
      </c>
      <c r="AC134" s="63">
        <v>0</v>
      </c>
      <c r="AD134">
        <f t="shared" ref="AD134:AD138" si="77">(AC134*30)*(125-0.2*AC134*30)/(125*30)</f>
        <v>0</v>
      </c>
      <c r="AE134">
        <v>0</v>
      </c>
      <c r="AF134">
        <v>0</v>
      </c>
      <c r="AH134" t="e">
        <f t="shared" si="71"/>
        <v>#REF!</v>
      </c>
      <c r="AN134">
        <f t="shared" si="60"/>
        <v>124</v>
      </c>
    </row>
    <row r="135" spans="1:40" ht="15.6">
      <c r="A135" s="1">
        <v>44441</v>
      </c>
      <c r="B135">
        <f t="shared" si="61"/>
        <v>245</v>
      </c>
      <c r="C135">
        <f t="shared" si="40"/>
        <v>29.1</v>
      </c>
      <c r="D135" s="43">
        <v>33.200000000000003</v>
      </c>
      <c r="E135" s="42">
        <v>25</v>
      </c>
      <c r="F135" s="45">
        <v>73</v>
      </c>
      <c r="G135" s="46">
        <v>6</v>
      </c>
      <c r="H135" s="47">
        <v>5.2</v>
      </c>
      <c r="I135" s="16" t="e">
        <f>4098*(0.6108*EXP(17.27*Tomato!#REF!/(Tomato!#REF!+237.3)))/(Tomato!#REF!+237.3)^2</f>
        <v>#REF!</v>
      </c>
      <c r="J135" s="16" t="e">
        <f t="shared" si="41"/>
        <v>#REF!</v>
      </c>
      <c r="K135" s="16">
        <f t="shared" si="42"/>
        <v>5.0868531413725142</v>
      </c>
      <c r="L135" s="16">
        <f t="shared" si="43"/>
        <v>3.1677777175068473</v>
      </c>
      <c r="M135" s="16">
        <f t="shared" si="44"/>
        <v>4.1273154294396805</v>
      </c>
      <c r="N135" s="16">
        <f t="shared" si="45"/>
        <v>3.0129402634909668</v>
      </c>
      <c r="O135" s="16">
        <f t="shared" si="46"/>
        <v>0.12720100527338207</v>
      </c>
      <c r="P135" s="16">
        <f t="shared" si="47"/>
        <v>0.98426455970519755</v>
      </c>
      <c r="Q135" s="16">
        <f t="shared" si="48"/>
        <v>1.6239489514583199</v>
      </c>
      <c r="R135" s="16">
        <f t="shared" si="49"/>
        <v>36.782579886316263</v>
      </c>
      <c r="S135" s="16">
        <f t="shared" si="50"/>
        <v>12.412348673566775</v>
      </c>
      <c r="T135" s="16">
        <f t="shared" si="51"/>
        <v>16.900448487781048</v>
      </c>
      <c r="U135" s="16">
        <f t="shared" si="52"/>
        <v>27.62592444941669</v>
      </c>
      <c r="V135" s="16">
        <f t="shared" si="53"/>
        <v>13.013345335591408</v>
      </c>
      <c r="W135" s="16">
        <f t="shared" si="54"/>
        <v>1.8909814595563399</v>
      </c>
      <c r="X135" s="16" t="e">
        <f t="shared" si="55"/>
        <v>#REF!</v>
      </c>
      <c r="Y135" s="16">
        <f t="shared" si="56"/>
        <v>4.6356427030122598</v>
      </c>
      <c r="Z135">
        <v>1.1499999999999999</v>
      </c>
      <c r="AB135" t="e">
        <f t="shared" si="57"/>
        <v>#REF!</v>
      </c>
      <c r="AC135" s="63">
        <v>0</v>
      </c>
      <c r="AD135">
        <f t="shared" si="77"/>
        <v>0</v>
      </c>
      <c r="AE135">
        <v>0</v>
      </c>
      <c r="AF135">
        <v>0</v>
      </c>
      <c r="AH135" t="e">
        <f t="shared" si="71"/>
        <v>#REF!</v>
      </c>
      <c r="AN135">
        <f t="shared" si="60"/>
        <v>125</v>
      </c>
    </row>
    <row r="136" spans="1:40" ht="15.6">
      <c r="A136" s="1">
        <v>44442</v>
      </c>
      <c r="B136">
        <f t="shared" si="61"/>
        <v>246</v>
      </c>
      <c r="C136">
        <f t="shared" si="40"/>
        <v>29.7</v>
      </c>
      <c r="D136" s="43">
        <v>34</v>
      </c>
      <c r="E136" s="42">
        <v>25.4</v>
      </c>
      <c r="F136" s="45">
        <v>68</v>
      </c>
      <c r="G136" s="46">
        <v>4</v>
      </c>
      <c r="H136" s="47">
        <v>6.8</v>
      </c>
      <c r="I136" s="16" t="e">
        <f>4098*(0.6108*EXP(17.27*Tomato!#REF!/(Tomato!#REF!+237.3)))/(Tomato!#REF!+237.3)^2</f>
        <v>#REF!</v>
      </c>
      <c r="J136" s="16" t="e">
        <f t="shared" si="41"/>
        <v>#REF!</v>
      </c>
      <c r="K136" s="16">
        <f t="shared" si="42"/>
        <v>5.3192602098598769</v>
      </c>
      <c r="L136" s="16">
        <f t="shared" si="43"/>
        <v>3.2440422381586771</v>
      </c>
      <c r="M136" s="16">
        <f t="shared" si="44"/>
        <v>4.281651224009277</v>
      </c>
      <c r="N136" s="16">
        <f t="shared" si="45"/>
        <v>2.9115228323263085</v>
      </c>
      <c r="O136" s="16">
        <f t="shared" si="46"/>
        <v>0.12049444583065447</v>
      </c>
      <c r="P136" s="16">
        <f t="shared" si="47"/>
        <v>0.98476594043228627</v>
      </c>
      <c r="Q136" s="16">
        <f t="shared" si="48"/>
        <v>1.6211159943849358</v>
      </c>
      <c r="R136" s="16">
        <f t="shared" si="49"/>
        <v>36.676205490668465</v>
      </c>
      <c r="S136" s="16">
        <f t="shared" si="50"/>
        <v>12.390695498483586</v>
      </c>
      <c r="T136" s="16">
        <f t="shared" si="51"/>
        <v>19.232981898886074</v>
      </c>
      <c r="U136" s="16">
        <f t="shared" si="52"/>
        <v>27.546030895821456</v>
      </c>
      <c r="V136" s="16">
        <f t="shared" si="53"/>
        <v>14.809396062142277</v>
      </c>
      <c r="W136" s="16">
        <f t="shared" si="54"/>
        <v>2.4747074947759944</v>
      </c>
      <c r="X136" s="16" t="e">
        <f t="shared" si="55"/>
        <v>#REF!</v>
      </c>
      <c r="Y136" s="16">
        <f t="shared" si="56"/>
        <v>4.7941898896415518</v>
      </c>
      <c r="Z136">
        <v>0.83</v>
      </c>
      <c r="AB136" t="e">
        <f t="shared" si="57"/>
        <v>#REF!</v>
      </c>
      <c r="AC136" s="63">
        <v>0</v>
      </c>
      <c r="AD136">
        <f t="shared" si="77"/>
        <v>0</v>
      </c>
      <c r="AE136">
        <v>0</v>
      </c>
      <c r="AF136">
        <v>0</v>
      </c>
      <c r="AH136" t="e">
        <f t="shared" si="71"/>
        <v>#REF!</v>
      </c>
      <c r="AN136">
        <f t="shared" si="60"/>
        <v>126</v>
      </c>
    </row>
    <row r="137" spans="1:40" ht="15.6">
      <c r="A137" s="1">
        <v>44443</v>
      </c>
      <c r="B137">
        <f t="shared" si="61"/>
        <v>247</v>
      </c>
      <c r="C137">
        <f t="shared" si="40"/>
        <v>28.299999999999997</v>
      </c>
      <c r="D137" s="43">
        <v>31.2</v>
      </c>
      <c r="E137" s="42">
        <v>25.4</v>
      </c>
      <c r="F137" s="45">
        <v>84</v>
      </c>
      <c r="G137" s="46">
        <v>4</v>
      </c>
      <c r="H137" s="47">
        <v>3.5</v>
      </c>
      <c r="I137" s="16" t="e">
        <f>4098*(0.6108*EXP(17.27*Tomato!#REF!/(Tomato!#REF!+237.3)))/(Tomato!#REF!+237.3)^2</f>
        <v>#REF!</v>
      </c>
      <c r="J137" s="16" t="e">
        <f t="shared" si="41"/>
        <v>#REF!</v>
      </c>
      <c r="K137" s="16">
        <f t="shared" si="42"/>
        <v>4.5439995866454055</v>
      </c>
      <c r="L137" s="16">
        <f t="shared" si="43"/>
        <v>3.2440422381586771</v>
      </c>
      <c r="M137" s="16">
        <f t="shared" si="44"/>
        <v>3.8940209124020413</v>
      </c>
      <c r="N137" s="16">
        <f t="shared" si="45"/>
        <v>3.2709775664177148</v>
      </c>
      <c r="O137" s="16">
        <f t="shared" si="46"/>
        <v>0.11375221747500779</v>
      </c>
      <c r="P137" s="16">
        <f t="shared" si="47"/>
        <v>0.98527183076428138</v>
      </c>
      <c r="Q137" s="16">
        <f t="shared" si="48"/>
        <v>1.6182730100708165</v>
      </c>
      <c r="R137" s="16">
        <f t="shared" si="49"/>
        <v>36.567815644915925</v>
      </c>
      <c r="S137" s="16">
        <f t="shared" si="50"/>
        <v>12.368965682069936</v>
      </c>
      <c r="T137" s="16">
        <f t="shared" si="51"/>
        <v>14.315682986358372</v>
      </c>
      <c r="U137" s="16">
        <f t="shared" si="52"/>
        <v>27.464623618270551</v>
      </c>
      <c r="V137" s="16">
        <f t="shared" si="53"/>
        <v>11.023075899495947</v>
      </c>
      <c r="W137" s="16">
        <f t="shared" si="54"/>
        <v>1.2437608426535114</v>
      </c>
      <c r="X137" s="16" t="e">
        <f t="shared" si="55"/>
        <v>#REF!</v>
      </c>
      <c r="Y137" s="16">
        <f t="shared" si="56"/>
        <v>3.8097979176251937</v>
      </c>
      <c r="Z137">
        <v>0.83</v>
      </c>
      <c r="AB137" t="e">
        <f t="shared" si="57"/>
        <v>#REF!</v>
      </c>
      <c r="AC137" s="63">
        <v>0</v>
      </c>
      <c r="AD137">
        <f t="shared" si="77"/>
        <v>0</v>
      </c>
      <c r="AE137">
        <v>0</v>
      </c>
      <c r="AF137">
        <v>0</v>
      </c>
      <c r="AH137" t="e">
        <f t="shared" si="71"/>
        <v>#REF!</v>
      </c>
      <c r="AN137">
        <f t="shared" si="60"/>
        <v>127</v>
      </c>
    </row>
    <row r="138" spans="1:40" ht="15.6">
      <c r="A138" s="1">
        <v>44444</v>
      </c>
      <c r="B138">
        <f t="shared" si="61"/>
        <v>248</v>
      </c>
      <c r="C138">
        <f t="shared" si="40"/>
        <v>29.4</v>
      </c>
      <c r="D138" s="43">
        <v>34</v>
      </c>
      <c r="E138" s="42">
        <v>24.8</v>
      </c>
      <c r="F138" s="45">
        <v>69</v>
      </c>
      <c r="G138" s="46">
        <v>6</v>
      </c>
      <c r="H138" s="47">
        <v>7</v>
      </c>
      <c r="I138" s="16" t="e">
        <f>4098*(0.6108*EXP(17.27*Tomato!#REF!/(Tomato!#REF!+237.3)))/(Tomato!#REF!+237.3)^2</f>
        <v>#REF!</v>
      </c>
      <c r="J138" s="16" t="e">
        <f t="shared" si="41"/>
        <v>#REF!</v>
      </c>
      <c r="K138" s="16">
        <f t="shared" si="42"/>
        <v>5.3192602098598769</v>
      </c>
      <c r="L138" s="16">
        <f t="shared" si="43"/>
        <v>3.1302352193130303</v>
      </c>
      <c r="M138" s="16">
        <f t="shared" si="44"/>
        <v>4.2247477145864538</v>
      </c>
      <c r="N138" s="16">
        <f t="shared" si="45"/>
        <v>2.915075923064653</v>
      </c>
      <c r="O138" s="16">
        <f t="shared" si="46"/>
        <v>0.10697631604910884</v>
      </c>
      <c r="P138" s="16">
        <f t="shared" si="47"/>
        <v>0.98578208094690956</v>
      </c>
      <c r="Q138" s="16">
        <f t="shared" si="48"/>
        <v>1.6154206216283935</v>
      </c>
      <c r="R138" s="16">
        <f t="shared" si="49"/>
        <v>36.457421208594631</v>
      </c>
      <c r="S138" s="16">
        <f t="shared" si="50"/>
        <v>12.347163986968614</v>
      </c>
      <c r="T138" s="16">
        <f t="shared" si="51"/>
        <v>19.448791158411133</v>
      </c>
      <c r="U138" s="16">
        <f t="shared" si="52"/>
        <v>27.381710772927082</v>
      </c>
      <c r="V138" s="16">
        <f t="shared" si="53"/>
        <v>14.975569191976573</v>
      </c>
      <c r="W138" s="16">
        <f t="shared" si="54"/>
        <v>2.5295020518152693</v>
      </c>
      <c r="X138" s="16" t="e">
        <f t="shared" si="55"/>
        <v>#REF!</v>
      </c>
      <c r="Y138" s="16">
        <f t="shared" si="56"/>
        <v>4.8978993612508477</v>
      </c>
      <c r="Z138">
        <v>0.83</v>
      </c>
      <c r="AB138" t="e">
        <f t="shared" si="57"/>
        <v>#REF!</v>
      </c>
      <c r="AC138" s="63">
        <v>0</v>
      </c>
      <c r="AD138">
        <f t="shared" si="77"/>
        <v>0</v>
      </c>
      <c r="AE138">
        <v>0</v>
      </c>
      <c r="AF138">
        <v>0</v>
      </c>
      <c r="AH138" t="e">
        <f t="shared" si="71"/>
        <v>#REF!</v>
      </c>
      <c r="AN138">
        <f t="shared" si="60"/>
        <v>128</v>
      </c>
    </row>
    <row r="139" spans="1:40" ht="15.6">
      <c r="A139" s="1">
        <v>44445</v>
      </c>
      <c r="B139">
        <f t="shared" si="61"/>
        <v>249</v>
      </c>
      <c r="C139">
        <f t="shared" si="40"/>
        <v>28.200000000000003</v>
      </c>
      <c r="D139" s="43">
        <v>31.6</v>
      </c>
      <c r="E139" s="42">
        <v>24.8</v>
      </c>
      <c r="F139" s="45">
        <v>100</v>
      </c>
      <c r="G139" s="46">
        <v>5</v>
      </c>
      <c r="H139" s="47">
        <v>0</v>
      </c>
      <c r="I139" s="16" t="e">
        <f>4098*(0.6108*EXP(17.27*Tomato!#REF!/(Tomato!#REF!+237.3)))/(Tomato!#REF!+237.3)^2</f>
        <v>#REF!</v>
      </c>
      <c r="J139" s="16" t="e">
        <f t="shared" si="41"/>
        <v>#REF!</v>
      </c>
      <c r="K139" s="16">
        <f t="shared" si="42"/>
        <v>4.6483496796026218</v>
      </c>
      <c r="L139" s="16">
        <f t="shared" si="43"/>
        <v>3.1302352193130303</v>
      </c>
      <c r="M139" s="16">
        <f t="shared" si="44"/>
        <v>3.8892924494578258</v>
      </c>
      <c r="N139" s="16">
        <f t="shared" si="45"/>
        <v>3.8892924494578258</v>
      </c>
      <c r="O139" s="16">
        <f t="shared" si="46"/>
        <v>0.10016874736356739</v>
      </c>
      <c r="P139" s="16">
        <f t="shared" si="47"/>
        <v>0.98629653993528887</v>
      </c>
      <c r="Q139" s="16">
        <f t="shared" si="48"/>
        <v>1.6125594442655116</v>
      </c>
      <c r="R139" s="16">
        <f t="shared" si="49"/>
        <v>36.345035061610822</v>
      </c>
      <c r="S139" s="16">
        <f t="shared" si="50"/>
        <v>12.325295115405185</v>
      </c>
      <c r="T139" s="16">
        <f t="shared" si="51"/>
        <v>9.0862587654027056</v>
      </c>
      <c r="U139" s="16">
        <f t="shared" si="52"/>
        <v>27.297302033373423</v>
      </c>
      <c r="V139" s="16">
        <f t="shared" si="53"/>
        <v>6.9964192493600832</v>
      </c>
      <c r="W139" s="16">
        <f t="shared" si="54"/>
        <v>0.25697034047551115</v>
      </c>
      <c r="X139" s="16" t="e">
        <f t="shared" si="55"/>
        <v>#REF!</v>
      </c>
      <c r="Y139" s="16">
        <f t="shared" si="56"/>
        <v>4.0911497768400285</v>
      </c>
      <c r="Z139">
        <v>0.83</v>
      </c>
      <c r="AB139" t="e">
        <f t="shared" si="57"/>
        <v>#REF!</v>
      </c>
      <c r="AC139" s="63">
        <v>14</v>
      </c>
      <c r="AD139">
        <f t="shared" ref="AD139:AD141" si="78">(125+0.1*AC139*30)/30</f>
        <v>5.5666666666666664</v>
      </c>
      <c r="AE139">
        <v>0</v>
      </c>
      <c r="AF139">
        <v>0</v>
      </c>
      <c r="AH139" t="e">
        <f t="shared" si="71"/>
        <v>#REF!</v>
      </c>
      <c r="AN139">
        <f t="shared" si="60"/>
        <v>129</v>
      </c>
    </row>
    <row r="140" spans="1:40" ht="15.6">
      <c r="A140" s="1">
        <v>44446</v>
      </c>
      <c r="B140">
        <f t="shared" si="61"/>
        <v>250</v>
      </c>
      <c r="C140">
        <f t="shared" ref="C140:C190" si="79">(D140+E140)/2</f>
        <v>25.9</v>
      </c>
      <c r="D140" s="43">
        <v>27.4</v>
      </c>
      <c r="E140" s="42">
        <v>24.4</v>
      </c>
      <c r="F140" s="45">
        <v>97</v>
      </c>
      <c r="G140" s="46">
        <v>6</v>
      </c>
      <c r="H140" s="47">
        <v>0</v>
      </c>
      <c r="I140" s="16" t="e">
        <f>4098*(0.6108*EXP(17.27*Tomato!#REF!/(Tomato!#REF!+237.3)))/(Tomato!#REF!+237.3)^2</f>
        <v>#REF!</v>
      </c>
      <c r="J140" s="16" t="e">
        <f t="shared" ref="J140:J190" si="80">I140+0.06736*(1+0.34*G140)</f>
        <v>#REF!</v>
      </c>
      <c r="K140" s="16">
        <f t="shared" ref="K140:K190" si="81">0.6108*EXP(17.27*D140/(D140+237.3))</f>
        <v>3.6498676599831983</v>
      </c>
      <c r="L140" s="16">
        <f t="shared" ref="L140:L190" si="82">0.6108*EXP(17.27*E140/(E140+237.3))</f>
        <v>3.0563126530167612</v>
      </c>
      <c r="M140" s="16">
        <f t="shared" ref="M140:M190" si="83">(K140+L140)/2</f>
        <v>3.35309015649998</v>
      </c>
      <c r="N140" s="16">
        <f t="shared" ref="N140:N190" si="84">F140/100*((K140+L140)/2)</f>
        <v>3.2524974518049805</v>
      </c>
      <c r="O140" s="16">
        <f t="shared" ref="O140:O190" si="85">0.409*SIN(2*3.14*B140/365-1.39)</f>
        <v>9.3331526603175091E-2</v>
      </c>
      <c r="P140" s="16">
        <f t="shared" ref="P140:P190" si="86">1+0.033*COS(2*3.14*B140/365)</f>
        <v>0.98681505543864168</v>
      </c>
      <c r="Q140" s="16">
        <f t="shared" ref="Q140:Q190" si="87">ACOS(-TAN(22.57*3.14/180)*TAN(O140))</f>
        <v>1.609690085673904</v>
      </c>
      <c r="R140" s="16">
        <f t="shared" ref="R140:R190" si="88">(Q140*SIN(3.14*22.57/180)*SIN(O140)+COS(3.14*22.57/180)*COS(O140)*SIN(Q140))*P140*0.082*24*60/3.14</f>
        <v>36.230672125415872</v>
      </c>
      <c r="S140" s="16">
        <f t="shared" ref="S140:S190" si="89">24/3.14*Q140</f>
        <v>12.303363712157228</v>
      </c>
      <c r="T140" s="16">
        <f t="shared" ref="T140:T190" si="90">(0.25+0.5*H140/S140)*R140</f>
        <v>9.0576680313539679</v>
      </c>
      <c r="U140" s="16">
        <f t="shared" ref="U140:U190" si="91">(0.75+2*10^-5*53)*R140</f>
        <v>27.211408606514844</v>
      </c>
      <c r="V140" s="16">
        <f t="shared" ref="V140:V190" si="92">(1-0.23)*T140</f>
        <v>6.9744043841425558</v>
      </c>
      <c r="W140" s="16">
        <f t="shared" ref="W140:W190" si="93">4.903*(10^-9)*((D140+273.16)^4+(E140+273.16)^4)/2*(0.34-(0.14*SQRT(N140)))*(1.35*T140/U140-0.35)</f>
        <v>0.34109357934865775</v>
      </c>
      <c r="X140" s="16" t="e">
        <f t="shared" ref="X140:X190" si="94">(0.408*I140*(V140-W140)+(0.06736*900/(C140+273)*G140*(M140-N140)))/J140</f>
        <v>#REF!</v>
      </c>
      <c r="Y140" s="16">
        <f t="shared" ref="Y140:Y190" si="95">((0.0023*R140)*(C140+17.8)*(D140-E140)^0.5)*0.408</f>
        <v>2.5733950086456825</v>
      </c>
      <c r="Z140">
        <v>0.83</v>
      </c>
      <c r="AB140" t="e">
        <f t="shared" ref="AB140:AB190" si="96">X140*Z140</f>
        <v>#REF!</v>
      </c>
      <c r="AC140" s="63">
        <v>36</v>
      </c>
      <c r="AD140">
        <f t="shared" si="78"/>
        <v>7.7666666666666666</v>
      </c>
      <c r="AE140">
        <v>0</v>
      </c>
      <c r="AF140">
        <v>0</v>
      </c>
      <c r="AH140" t="e">
        <f t="shared" si="71"/>
        <v>#REF!</v>
      </c>
      <c r="AN140">
        <f t="shared" ref="AN140:AN190" si="97">AN139+1</f>
        <v>130</v>
      </c>
    </row>
    <row r="141" spans="1:40" ht="15.6">
      <c r="A141" s="1">
        <v>44447</v>
      </c>
      <c r="B141">
        <f t="shared" ref="B141:B190" si="98">1+B140</f>
        <v>251</v>
      </c>
      <c r="C141">
        <f t="shared" si="79"/>
        <v>26.9</v>
      </c>
      <c r="D141" s="43">
        <v>30.6</v>
      </c>
      <c r="E141" s="42">
        <v>23.2</v>
      </c>
      <c r="F141" s="45">
        <v>83</v>
      </c>
      <c r="G141" s="46">
        <v>6</v>
      </c>
      <c r="H141" s="47">
        <v>1</v>
      </c>
      <c r="I141" s="16" t="e">
        <f>4098*(0.6108*EXP(17.27*Tomato!#REF!/(Tomato!#REF!+237.3)))/(Tomato!#REF!+237.3)^2</f>
        <v>#REF!</v>
      </c>
      <c r="J141" s="16" t="e">
        <f t="shared" si="80"/>
        <v>#REF!</v>
      </c>
      <c r="K141" s="16">
        <f t="shared" si="81"/>
        <v>4.3912919467167955</v>
      </c>
      <c r="L141" s="16">
        <f t="shared" si="82"/>
        <v>2.8436029029276386</v>
      </c>
      <c r="M141" s="16">
        <f t="shared" si="83"/>
        <v>3.6174474248222168</v>
      </c>
      <c r="N141" s="16">
        <f t="shared" si="84"/>
        <v>3.00248136260244</v>
      </c>
      <c r="O141" s="16">
        <f t="shared" si="85"/>
        <v>8.6466677730365982E-2</v>
      </c>
      <c r="P141" s="16">
        <f t="shared" si="86"/>
        <v>0.98733747396537586</v>
      </c>
      <c r="Q141" s="16">
        <f t="shared" si="87"/>
        <v>1.6068131464357995</v>
      </c>
      <c r="R141" s="16">
        <f t="shared" si="88"/>
        <v>36.114349381289045</v>
      </c>
      <c r="S141" s="16">
        <f t="shared" si="89"/>
        <v>12.281374367662162</v>
      </c>
      <c r="T141" s="16">
        <f t="shared" si="90"/>
        <v>10.498876756757394</v>
      </c>
      <c r="U141" s="16">
        <f t="shared" si="91"/>
        <v>27.124043246310947</v>
      </c>
      <c r="V141" s="16">
        <f t="shared" si="92"/>
        <v>8.0841351027031934</v>
      </c>
      <c r="W141" s="16">
        <f t="shared" si="93"/>
        <v>0.66865696829735755</v>
      </c>
      <c r="X141" s="16" t="e">
        <f t="shared" si="94"/>
        <v>#REF!</v>
      </c>
      <c r="Y141" s="16">
        <f t="shared" si="95"/>
        <v>4.1208914744406915</v>
      </c>
      <c r="Z141">
        <v>0.83</v>
      </c>
      <c r="AB141" t="e">
        <f t="shared" si="96"/>
        <v>#REF!</v>
      </c>
      <c r="AC141" s="63">
        <v>16</v>
      </c>
      <c r="AD141">
        <f t="shared" si="78"/>
        <v>5.7666666666666666</v>
      </c>
      <c r="AE141">
        <v>0</v>
      </c>
      <c r="AF141">
        <v>0</v>
      </c>
      <c r="AH141" t="e">
        <f t="shared" si="71"/>
        <v>#REF!</v>
      </c>
      <c r="AN141">
        <f t="shared" si="97"/>
        <v>131</v>
      </c>
    </row>
    <row r="142" spans="1:40" ht="15.6">
      <c r="A142" s="1">
        <v>44448</v>
      </c>
      <c r="B142">
        <f t="shared" si="98"/>
        <v>252</v>
      </c>
      <c r="C142">
        <f t="shared" si="79"/>
        <v>27.450000000000003</v>
      </c>
      <c r="D142" s="43">
        <v>31.6</v>
      </c>
      <c r="E142" s="42">
        <v>23.3</v>
      </c>
      <c r="F142" s="45">
        <v>86</v>
      </c>
      <c r="G142" s="46">
        <v>4</v>
      </c>
      <c r="H142" s="47">
        <v>0</v>
      </c>
      <c r="I142" s="16" t="e">
        <f>4098*(0.6108*EXP(17.27*Tomato!#REF!/(Tomato!#REF!+237.3)))/(Tomato!#REF!+237.3)^2</f>
        <v>#REF!</v>
      </c>
      <c r="J142" s="16" t="e">
        <f t="shared" si="80"/>
        <v>#REF!</v>
      </c>
      <c r="K142" s="16">
        <f t="shared" si="81"/>
        <v>4.6483496796026218</v>
      </c>
      <c r="L142" s="16">
        <f t="shared" si="82"/>
        <v>2.8608211296876744</v>
      </c>
      <c r="M142" s="16">
        <f t="shared" si="83"/>
        <v>3.7545854046451481</v>
      </c>
      <c r="N142" s="16">
        <f t="shared" si="84"/>
        <v>3.2289434479948271</v>
      </c>
      <c r="O142" s="16">
        <f t="shared" si="85"/>
        <v>7.9576232886081635E-2</v>
      </c>
      <c r="P142" s="16">
        <f t="shared" si="86"/>
        <v>0.98786364086852163</v>
      </c>
      <c r="Q142" s="16">
        <f t="shared" si="87"/>
        <v>1.6039292204473776</v>
      </c>
      <c r="R142" s="16">
        <f t="shared" si="88"/>
        <v>35.996085885680714</v>
      </c>
      <c r="S142" s="16">
        <f t="shared" si="89"/>
        <v>12.259331621253843</v>
      </c>
      <c r="T142" s="16">
        <f t="shared" si="90"/>
        <v>8.9990214714201784</v>
      </c>
      <c r="U142" s="16">
        <f t="shared" si="91"/>
        <v>27.035220265299355</v>
      </c>
      <c r="V142" s="16">
        <f t="shared" si="92"/>
        <v>6.9292465329935373</v>
      </c>
      <c r="W142" s="16">
        <f t="shared" si="93"/>
        <v>0.35221370160651372</v>
      </c>
      <c r="X142" s="16" t="e">
        <f t="shared" si="94"/>
        <v>#REF!</v>
      </c>
      <c r="Y142" s="16">
        <f t="shared" si="95"/>
        <v>4.4035294806775349</v>
      </c>
      <c r="Z142">
        <v>0.83</v>
      </c>
      <c r="AB142" t="e">
        <f t="shared" si="96"/>
        <v>#REF!</v>
      </c>
      <c r="AC142" s="63">
        <v>0</v>
      </c>
      <c r="AD142">
        <f t="shared" ref="AD142:AD143" si="99">(AC142*30)*(125-0.2*AC142*30)/(125*30)</f>
        <v>0</v>
      </c>
      <c r="AE142">
        <v>0</v>
      </c>
      <c r="AF142">
        <v>0</v>
      </c>
      <c r="AH142" t="e">
        <f t="shared" si="71"/>
        <v>#REF!</v>
      </c>
      <c r="AN142">
        <f t="shared" si="97"/>
        <v>132</v>
      </c>
    </row>
    <row r="143" spans="1:40" ht="15.6">
      <c r="A143" s="1">
        <v>44449</v>
      </c>
      <c r="B143">
        <f t="shared" si="98"/>
        <v>253</v>
      </c>
      <c r="C143">
        <f t="shared" si="79"/>
        <v>28.5</v>
      </c>
      <c r="D143" s="43">
        <v>33</v>
      </c>
      <c r="E143" s="42">
        <v>24</v>
      </c>
      <c r="F143" s="45">
        <v>82</v>
      </c>
      <c r="G143" s="46">
        <v>6</v>
      </c>
      <c r="H143" s="47">
        <v>4</v>
      </c>
      <c r="I143" s="16" t="e">
        <f>4098*(0.6108*EXP(17.27*Tomato!#REF!/(Tomato!#REF!+237.3)))/(Tomato!#REF!+237.3)^2</f>
        <v>#REF!</v>
      </c>
      <c r="J143" s="16" t="e">
        <f t="shared" si="80"/>
        <v>#REF!</v>
      </c>
      <c r="K143" s="16">
        <f t="shared" si="81"/>
        <v>5.030147795606851</v>
      </c>
      <c r="L143" s="16">
        <f t="shared" si="82"/>
        <v>2.9839174771655594</v>
      </c>
      <c r="M143" s="16">
        <f t="shared" si="83"/>
        <v>4.0070326363862048</v>
      </c>
      <c r="N143" s="16">
        <f t="shared" si="84"/>
        <v>3.2857667618366877</v>
      </c>
      <c r="O143" s="16">
        <f t="shared" si="85"/>
        <v>7.2662231788215376E-2</v>
      </c>
      <c r="P143" s="16">
        <f t="shared" si="86"/>
        <v>0.9883934003915098</v>
      </c>
      <c r="Q143" s="16">
        <f t="shared" si="87"/>
        <v>1.6010388953577996</v>
      </c>
      <c r="R143" s="16">
        <f t="shared" si="88"/>
        <v>35.875902782573618</v>
      </c>
      <c r="S143" s="16">
        <f t="shared" si="89"/>
        <v>12.237239964518213</v>
      </c>
      <c r="T143" s="16">
        <f t="shared" si="90"/>
        <v>14.832373469421729</v>
      </c>
      <c r="U143" s="16">
        <f t="shared" si="91"/>
        <v>26.94495554387974</v>
      </c>
      <c r="V143" s="16">
        <f t="shared" si="92"/>
        <v>11.420927571454731</v>
      </c>
      <c r="W143" s="16">
        <f t="shared" si="93"/>
        <v>1.3781386943304101</v>
      </c>
      <c r="X143" s="16" t="e">
        <f t="shared" si="94"/>
        <v>#REF!</v>
      </c>
      <c r="Y143" s="16">
        <f t="shared" si="95"/>
        <v>4.6762000620751074</v>
      </c>
      <c r="Z143">
        <v>0.83</v>
      </c>
      <c r="AB143" t="e">
        <f t="shared" si="96"/>
        <v>#REF!</v>
      </c>
      <c r="AC143" s="63">
        <v>0</v>
      </c>
      <c r="AD143">
        <f t="shared" si="99"/>
        <v>0</v>
      </c>
      <c r="AE143">
        <v>0</v>
      </c>
      <c r="AF143">
        <v>0</v>
      </c>
      <c r="AH143" t="e">
        <f t="shared" si="71"/>
        <v>#REF!</v>
      </c>
      <c r="AN143">
        <f t="shared" si="97"/>
        <v>133</v>
      </c>
    </row>
    <row r="144" spans="1:40" ht="15.6">
      <c r="A144" s="1">
        <v>44450</v>
      </c>
      <c r="B144">
        <f t="shared" si="98"/>
        <v>254</v>
      </c>
      <c r="C144">
        <f t="shared" si="79"/>
        <v>28.55</v>
      </c>
      <c r="D144" s="43">
        <v>33</v>
      </c>
      <c r="E144" s="42">
        <v>24.1</v>
      </c>
      <c r="F144" s="45">
        <v>74</v>
      </c>
      <c r="G144" s="46">
        <v>4</v>
      </c>
      <c r="H144" s="47">
        <v>5.5</v>
      </c>
      <c r="I144" s="16" t="e">
        <f>4098*(0.6108*EXP(17.27*Tomato!#REF!/(Tomato!#REF!+237.3)))/(Tomato!#REF!+237.3)^2</f>
        <v>#REF!</v>
      </c>
      <c r="J144" s="16" t="e">
        <f t="shared" si="80"/>
        <v>#REF!</v>
      </c>
      <c r="K144" s="16">
        <f t="shared" si="81"/>
        <v>5.030147795606851</v>
      </c>
      <c r="L144" s="16">
        <f t="shared" si="82"/>
        <v>3.0018745443431598</v>
      </c>
      <c r="M144" s="16">
        <f t="shared" si="83"/>
        <v>4.0160111699750054</v>
      </c>
      <c r="N144" s="16">
        <f t="shared" si="84"/>
        <v>2.971848265781504</v>
      </c>
      <c r="O144" s="16">
        <f t="shared" si="85"/>
        <v>6.5726721127810445E-2</v>
      </c>
      <c r="P144" s="16">
        <f t="shared" si="86"/>
        <v>0.9889265957142801</v>
      </c>
      <c r="Q144" s="16">
        <f t="shared" si="87"/>
        <v>1.5981427530225627</v>
      </c>
      <c r="R144" s="16">
        <f t="shared" si="88"/>
        <v>35.753823312826661</v>
      </c>
      <c r="S144" s="16">
        <f t="shared" si="89"/>
        <v>12.215103844758442</v>
      </c>
      <c r="T144" s="16">
        <f t="shared" si="90"/>
        <v>16.987754087137485</v>
      </c>
      <c r="U144" s="16">
        <f t="shared" si="91"/>
        <v>26.853266537331589</v>
      </c>
      <c r="V144" s="16">
        <f t="shared" si="92"/>
        <v>13.080570647095865</v>
      </c>
      <c r="W144" s="16">
        <f t="shared" si="93"/>
        <v>2.0228067194406951</v>
      </c>
      <c r="X144" s="16" t="e">
        <f t="shared" si="94"/>
        <v>#REF!</v>
      </c>
      <c r="Y144" s="16">
        <f t="shared" si="95"/>
        <v>4.6393296276042566</v>
      </c>
      <c r="Z144">
        <v>0.83</v>
      </c>
      <c r="AB144" t="e">
        <f t="shared" si="96"/>
        <v>#REF!</v>
      </c>
      <c r="AC144" s="63">
        <v>15.4</v>
      </c>
      <c r="AD144">
        <f t="shared" ref="AD144" si="100">(125+0.1*AC144*30)/30</f>
        <v>5.7066666666666661</v>
      </c>
      <c r="AE144">
        <v>0</v>
      </c>
      <c r="AF144">
        <v>0</v>
      </c>
      <c r="AH144" t="e">
        <f t="shared" si="71"/>
        <v>#REF!</v>
      </c>
      <c r="AN144">
        <f t="shared" si="97"/>
        <v>134</v>
      </c>
    </row>
    <row r="145" spans="1:40" ht="15.6">
      <c r="A145" s="1">
        <v>44451</v>
      </c>
      <c r="B145">
        <f t="shared" si="98"/>
        <v>255</v>
      </c>
      <c r="C145">
        <f t="shared" si="79"/>
        <v>28.35</v>
      </c>
      <c r="D145" s="43">
        <v>32.6</v>
      </c>
      <c r="E145" s="42">
        <v>24.1</v>
      </c>
      <c r="F145" s="45">
        <v>75</v>
      </c>
      <c r="G145" s="46">
        <v>4</v>
      </c>
      <c r="H145" s="47">
        <v>3.1</v>
      </c>
      <c r="I145" s="16" t="e">
        <f>4098*(0.6108*EXP(17.27*Tomato!#REF!/(Tomato!#REF!+237.3)))/(Tomato!#REF!+237.3)^2</f>
        <v>#REF!</v>
      </c>
      <c r="J145" s="16" t="e">
        <f t="shared" si="80"/>
        <v>#REF!</v>
      </c>
      <c r="K145" s="16">
        <f t="shared" si="81"/>
        <v>4.9183812721762612</v>
      </c>
      <c r="L145" s="16">
        <f t="shared" si="82"/>
        <v>3.0018745443431598</v>
      </c>
      <c r="M145" s="16">
        <f t="shared" si="83"/>
        <v>3.9601279082597105</v>
      </c>
      <c r="N145" s="16">
        <f t="shared" si="84"/>
        <v>2.9700959311947828</v>
      </c>
      <c r="O145" s="16">
        <f t="shared" si="85"/>
        <v>5.8771753963197365E-2</v>
      </c>
      <c r="P145" s="16">
        <f t="shared" si="86"/>
        <v>0.98946306899970227</v>
      </c>
      <c r="Q145" s="16">
        <f t="shared" si="87"/>
        <v>1.5952413699699439</v>
      </c>
      <c r="R145" s="16">
        <f t="shared" si="88"/>
        <v>35.629872820470844</v>
      </c>
      <c r="S145" s="16">
        <f t="shared" si="89"/>
        <v>12.192927668560081</v>
      </c>
      <c r="T145" s="16">
        <f t="shared" si="90"/>
        <v>13.436840015805386</v>
      </c>
      <c r="U145" s="16">
        <f t="shared" si="91"/>
        <v>26.760172280542829</v>
      </c>
      <c r="V145" s="16">
        <f t="shared" si="92"/>
        <v>10.346366812170148</v>
      </c>
      <c r="W145" s="16">
        <f t="shared" si="93"/>
        <v>1.3131175887210536</v>
      </c>
      <c r="X145" s="16" t="e">
        <f t="shared" si="94"/>
        <v>#REF!</v>
      </c>
      <c r="Y145" s="16">
        <f t="shared" si="95"/>
        <v>4.4986627782776862</v>
      </c>
      <c r="Z145">
        <v>0.83</v>
      </c>
      <c r="AB145" t="e">
        <f t="shared" si="96"/>
        <v>#REF!</v>
      </c>
      <c r="AC145" s="62">
        <v>3.8</v>
      </c>
      <c r="AD145">
        <f t="shared" ref="AD145" si="101">(AC145*30)*(125-0.2*AC145*30)/(125*30)</f>
        <v>3.1068800000000003</v>
      </c>
      <c r="AE145">
        <v>0</v>
      </c>
      <c r="AF145">
        <v>0</v>
      </c>
      <c r="AH145" t="e">
        <f t="shared" si="71"/>
        <v>#REF!</v>
      </c>
      <c r="AN145">
        <f t="shared" si="97"/>
        <v>135</v>
      </c>
    </row>
    <row r="146" spans="1:40" ht="15.6">
      <c r="A146" s="1">
        <v>44452</v>
      </c>
      <c r="B146">
        <f t="shared" si="98"/>
        <v>256</v>
      </c>
      <c r="C146">
        <f t="shared" si="79"/>
        <v>25.7</v>
      </c>
      <c r="D146" s="43">
        <v>28.4</v>
      </c>
      <c r="E146" s="42">
        <v>23</v>
      </c>
      <c r="F146" s="45">
        <v>86</v>
      </c>
      <c r="G146" s="46">
        <v>6</v>
      </c>
      <c r="H146" s="47">
        <v>0</v>
      </c>
      <c r="I146" s="16" t="e">
        <f>4098*(0.6108*EXP(17.27*Tomato!#REF!/(Tomato!#REF!+237.3)))/(Tomato!#REF!+237.3)^2</f>
        <v>#REF!</v>
      </c>
      <c r="J146" s="16" t="e">
        <f t="shared" si="80"/>
        <v>#REF!</v>
      </c>
      <c r="K146" s="16">
        <f t="shared" si="81"/>
        <v>3.868863716528768</v>
      </c>
      <c r="L146" s="16">
        <f t="shared" si="82"/>
        <v>2.809437622397069</v>
      </c>
      <c r="M146" s="16">
        <f t="shared" si="83"/>
        <v>3.3391506694629185</v>
      </c>
      <c r="N146" s="16">
        <f t="shared" si="84"/>
        <v>2.8716695757381099</v>
      </c>
      <c r="O146" s="16">
        <f t="shared" si="85"/>
        <v>5.1799389112244777E-2</v>
      </c>
      <c r="P146" s="16">
        <f t="shared" si="86"/>
        <v>0.99000266144029947</v>
      </c>
      <c r="Q146" s="16">
        <f t="shared" si="87"/>
        <v>1.5923353178793187</v>
      </c>
      <c r="R146" s="16">
        <f t="shared" si="88"/>
        <v>35.50407875593406</v>
      </c>
      <c r="S146" s="16">
        <f t="shared" si="89"/>
        <v>12.170715805447022</v>
      </c>
      <c r="T146" s="16">
        <f t="shared" si="90"/>
        <v>8.876019688983515</v>
      </c>
      <c r="U146" s="16">
        <f t="shared" si="91"/>
        <v>26.665693390431834</v>
      </c>
      <c r="V146" s="16">
        <f t="shared" si="92"/>
        <v>6.8345351605173068</v>
      </c>
      <c r="W146" s="16">
        <f t="shared" si="93"/>
        <v>0.39956349182366729</v>
      </c>
      <c r="X146" s="16" t="e">
        <f t="shared" si="94"/>
        <v>#REF!</v>
      </c>
      <c r="Y146" s="16">
        <f t="shared" si="95"/>
        <v>3.3678472386955689</v>
      </c>
      <c r="Z146">
        <v>0.83</v>
      </c>
      <c r="AB146" t="e">
        <f t="shared" si="96"/>
        <v>#REF!</v>
      </c>
      <c r="AC146" s="62">
        <v>43</v>
      </c>
      <c r="AD146">
        <f t="shared" ref="AD146:AD149" si="102">(125+0.1*AC146*30)/30</f>
        <v>8.4666666666666668</v>
      </c>
      <c r="AE146">
        <v>0</v>
      </c>
      <c r="AF146">
        <v>0</v>
      </c>
      <c r="AH146" t="e">
        <f t="shared" si="71"/>
        <v>#REF!</v>
      </c>
      <c r="AN146">
        <f t="shared" si="97"/>
        <v>136</v>
      </c>
    </row>
    <row r="147" spans="1:40" ht="15.6">
      <c r="A147" s="1">
        <v>44453</v>
      </c>
      <c r="B147">
        <f t="shared" si="98"/>
        <v>257</v>
      </c>
      <c r="C147">
        <f t="shared" si="79"/>
        <v>25.7</v>
      </c>
      <c r="D147" s="44">
        <v>28.4</v>
      </c>
      <c r="E147" s="42">
        <v>23</v>
      </c>
      <c r="F147" s="45">
        <v>100</v>
      </c>
      <c r="G147" s="46">
        <v>4</v>
      </c>
      <c r="H147" s="47">
        <v>0</v>
      </c>
      <c r="I147" s="16">
        <f>4098*(0.6108*EXP(17.27*Tomato!C131/(Tomato!C131+237.3)))/(Tomato!C131+237.3)^2</f>
        <v>4.4450382862832649E-2</v>
      </c>
      <c r="J147" s="16">
        <f t="shared" si="80"/>
        <v>0.20341998286283267</v>
      </c>
      <c r="K147" s="16">
        <f t="shared" si="81"/>
        <v>3.868863716528768</v>
      </c>
      <c r="L147" s="16">
        <f t="shared" si="82"/>
        <v>2.809437622397069</v>
      </c>
      <c r="M147" s="16">
        <f t="shared" si="83"/>
        <v>3.3391506694629185</v>
      </c>
      <c r="N147" s="16">
        <f t="shared" si="84"/>
        <v>3.3391506694629185</v>
      </c>
      <c r="O147" s="16">
        <f t="shared" si="85"/>
        <v>4.4811690542905687E-2</v>
      </c>
      <c r="P147" s="16">
        <f t="shared" si="86"/>
        <v>0.99054521330525902</v>
      </c>
      <c r="Q147" s="16">
        <f t="shared" si="87"/>
        <v>1.5894251640701496</v>
      </c>
      <c r="R147" s="16">
        <f t="shared" si="88"/>
        <v>35.376470676176993</v>
      </c>
      <c r="S147" s="16">
        <f t="shared" si="89"/>
        <v>12.148472591618978</v>
      </c>
      <c r="T147" s="16">
        <f t="shared" si="90"/>
        <v>8.8441176690442482</v>
      </c>
      <c r="U147" s="16">
        <f t="shared" si="91"/>
        <v>26.569852066049492</v>
      </c>
      <c r="V147" s="16">
        <f t="shared" si="92"/>
        <v>6.8099706051640716</v>
      </c>
      <c r="W147" s="16">
        <f t="shared" si="93"/>
        <v>0.3273048984127927</v>
      </c>
      <c r="X147" s="16">
        <f t="shared" si="94"/>
        <v>0.5779572054880745</v>
      </c>
      <c r="Y147" s="16">
        <f t="shared" si="95"/>
        <v>3.3557425866639132</v>
      </c>
      <c r="Z147">
        <v>0.83</v>
      </c>
      <c r="AB147">
        <f t="shared" si="96"/>
        <v>0.47970448055510179</v>
      </c>
      <c r="AC147" s="62">
        <v>55</v>
      </c>
      <c r="AD147">
        <f t="shared" si="102"/>
        <v>9.6666666666666661</v>
      </c>
      <c r="AE147">
        <v>0</v>
      </c>
      <c r="AF147">
        <v>0</v>
      </c>
      <c r="AH147" t="e">
        <f t="shared" si="71"/>
        <v>#REF!</v>
      </c>
      <c r="AN147">
        <f t="shared" si="97"/>
        <v>137</v>
      </c>
    </row>
    <row r="148" spans="1:40" ht="15.6">
      <c r="A148" s="1">
        <v>44454</v>
      </c>
      <c r="B148">
        <f t="shared" si="98"/>
        <v>258</v>
      </c>
      <c r="C148">
        <f t="shared" si="79"/>
        <v>25.25</v>
      </c>
      <c r="D148" s="43">
        <v>27.5</v>
      </c>
      <c r="E148" s="42">
        <v>23</v>
      </c>
      <c r="F148" s="45">
        <v>98</v>
      </c>
      <c r="G148" s="46">
        <v>5</v>
      </c>
      <c r="H148" s="47">
        <v>0</v>
      </c>
      <c r="I148" s="16">
        <f>4098*(0.6108*EXP(17.27*Tomato!C132/(Tomato!C132+237.3)))/(Tomato!C132+237.3)^2</f>
        <v>4.4450382862832649E-2</v>
      </c>
      <c r="J148" s="16">
        <f t="shared" si="80"/>
        <v>0.22632238286283268</v>
      </c>
      <c r="K148" s="16">
        <f t="shared" si="81"/>
        <v>3.671270209291702</v>
      </c>
      <c r="L148" s="16">
        <f t="shared" si="82"/>
        <v>2.809437622397069</v>
      </c>
      <c r="M148" s="16">
        <f t="shared" si="83"/>
        <v>3.2403539158443855</v>
      </c>
      <c r="N148" s="16">
        <f t="shared" si="84"/>
        <v>3.1755468375274978</v>
      </c>
      <c r="O148" s="16">
        <f t="shared" si="85"/>
        <v>3.7810726762239122E-2</v>
      </c>
      <c r="P148" s="16">
        <f t="shared" si="86"/>
        <v>0.99109056398771544</v>
      </c>
      <c r="Q148" s="16">
        <f t="shared" si="87"/>
        <v>1.5865114720004678</v>
      </c>
      <c r="R148" s="16">
        <f t="shared" si="88"/>
        <v>35.247080241729243</v>
      </c>
      <c r="S148" s="16">
        <f t="shared" si="89"/>
        <v>12.126202333761537</v>
      </c>
      <c r="T148" s="16">
        <f t="shared" si="90"/>
        <v>8.8117700604323108</v>
      </c>
      <c r="U148" s="16">
        <f t="shared" si="91"/>
        <v>26.472672086353164</v>
      </c>
      <c r="V148" s="16">
        <f t="shared" si="92"/>
        <v>6.7850629465328796</v>
      </c>
      <c r="W148" s="16">
        <f t="shared" si="93"/>
        <v>0.34981363319480108</v>
      </c>
      <c r="X148" s="16">
        <f t="shared" si="94"/>
        <v>0.80669616710240621</v>
      </c>
      <c r="Y148" s="16">
        <f t="shared" si="95"/>
        <v>3.0205815058065859</v>
      </c>
      <c r="Z148">
        <v>0.83</v>
      </c>
      <c r="AB148">
        <f t="shared" si="96"/>
        <v>0.66955781869499709</v>
      </c>
      <c r="AC148" s="62">
        <v>28.1</v>
      </c>
      <c r="AD148">
        <f t="shared" si="102"/>
        <v>6.9766666666666675</v>
      </c>
      <c r="AE148">
        <v>0</v>
      </c>
      <c r="AF148">
        <v>0</v>
      </c>
      <c r="AH148" t="e">
        <f t="shared" si="71"/>
        <v>#REF!</v>
      </c>
      <c r="AN148">
        <f t="shared" si="97"/>
        <v>138</v>
      </c>
    </row>
    <row r="149" spans="1:40" ht="15.6">
      <c r="A149" s="1">
        <v>44455</v>
      </c>
      <c r="B149">
        <f t="shared" si="98"/>
        <v>259</v>
      </c>
      <c r="C149">
        <f t="shared" si="79"/>
        <v>26.85</v>
      </c>
      <c r="D149" s="43">
        <v>30.7</v>
      </c>
      <c r="E149" s="42">
        <v>23</v>
      </c>
      <c r="F149" s="45">
        <v>92</v>
      </c>
      <c r="G149" s="46">
        <v>6</v>
      </c>
      <c r="H149" s="47">
        <v>0</v>
      </c>
      <c r="I149" s="16">
        <f>4098*(0.6108*EXP(17.27*Tomato!C133/(Tomato!C133+237.3)))/(Tomato!C133+237.3)^2</f>
        <v>4.4450382862832649E-2</v>
      </c>
      <c r="J149" s="16">
        <f t="shared" si="80"/>
        <v>0.24922478286283267</v>
      </c>
      <c r="K149" s="16">
        <f t="shared" si="81"/>
        <v>4.4164290333261924</v>
      </c>
      <c r="L149" s="16">
        <f t="shared" si="82"/>
        <v>2.809437622397069</v>
      </c>
      <c r="M149" s="16">
        <f t="shared" si="83"/>
        <v>3.6129333278616307</v>
      </c>
      <c r="N149" s="16">
        <f t="shared" si="84"/>
        <v>3.3238986616327004</v>
      </c>
      <c r="O149" s="16">
        <f t="shared" si="85"/>
        <v>3.0798570204088164E-2</v>
      </c>
      <c r="P149" s="16">
        <f t="shared" si="86"/>
        <v>0.99163855205229434</v>
      </c>
      <c r="Q149" s="16">
        <f t="shared" si="87"/>
        <v>1.5835948017736736</v>
      </c>
      <c r="R149" s="16">
        <f t="shared" si="88"/>
        <v>35.115941210620974</v>
      </c>
      <c r="S149" s="16">
        <f t="shared" si="89"/>
        <v>12.103909312919798</v>
      </c>
      <c r="T149" s="16">
        <f t="shared" si="90"/>
        <v>8.7789853026552436</v>
      </c>
      <c r="U149" s="16">
        <f t="shared" si="91"/>
        <v>26.374178805648988</v>
      </c>
      <c r="V149" s="16">
        <f t="shared" si="92"/>
        <v>6.7598186830445375</v>
      </c>
      <c r="W149" s="16">
        <f t="shared" si="93"/>
        <v>0.33484828870505412</v>
      </c>
      <c r="X149" s="16">
        <f t="shared" si="94"/>
        <v>1.8743952968514284</v>
      </c>
      <c r="Y149" s="16">
        <f t="shared" si="95"/>
        <v>4.0828097027642301</v>
      </c>
      <c r="Z149">
        <v>0.83</v>
      </c>
      <c r="AB149">
        <f t="shared" si="96"/>
        <v>1.5557480963866854</v>
      </c>
      <c r="AC149" s="62">
        <v>50</v>
      </c>
      <c r="AD149">
        <f t="shared" si="102"/>
        <v>9.1666666666666661</v>
      </c>
      <c r="AE149">
        <v>0</v>
      </c>
      <c r="AF149">
        <v>0</v>
      </c>
      <c r="AH149" t="e">
        <f t="shared" si="71"/>
        <v>#REF!</v>
      </c>
      <c r="AN149">
        <f t="shared" si="97"/>
        <v>139</v>
      </c>
    </row>
    <row r="150" spans="1:40" ht="15.6">
      <c r="A150" s="1">
        <v>44456</v>
      </c>
      <c r="B150">
        <f t="shared" si="98"/>
        <v>260</v>
      </c>
      <c r="C150">
        <f t="shared" si="79"/>
        <v>27.75</v>
      </c>
      <c r="D150" s="43">
        <v>31.7</v>
      </c>
      <c r="E150" s="42">
        <v>23.8</v>
      </c>
      <c r="F150" s="45">
        <v>85</v>
      </c>
      <c r="G150" s="46">
        <v>4</v>
      </c>
      <c r="H150" s="47">
        <v>6</v>
      </c>
      <c r="I150" s="16">
        <f>4098*(0.6108*EXP(17.27*Tomato!C134/(Tomato!C134+237.3)))/(Tomato!C134+237.3)^2</f>
        <v>4.4450382862832649E-2</v>
      </c>
      <c r="J150" s="16">
        <f t="shared" si="80"/>
        <v>0.20341998286283267</v>
      </c>
      <c r="K150" s="16">
        <f t="shared" si="81"/>
        <v>4.6747601804976453</v>
      </c>
      <c r="L150" s="16">
        <f t="shared" si="82"/>
        <v>2.9482843050220851</v>
      </c>
      <c r="M150" s="16">
        <f t="shared" si="83"/>
        <v>3.8115222427598652</v>
      </c>
      <c r="N150" s="16">
        <f t="shared" si="84"/>
        <v>3.2397939063458852</v>
      </c>
      <c r="O150" s="16">
        <f t="shared" si="85"/>
        <v>2.3777296615595536E-2</v>
      </c>
      <c r="P150" s="16">
        <f t="shared" si="86"/>
        <v>0.99218901528289993</v>
      </c>
      <c r="Q150" s="16">
        <f t="shared" si="87"/>
        <v>1.5806757106525011</v>
      </c>
      <c r="R150" s="16">
        <f t="shared" si="88"/>
        <v>34.983089429211667</v>
      </c>
      <c r="S150" s="16">
        <f t="shared" si="89"/>
        <v>12.081597788426761</v>
      </c>
      <c r="T150" s="16">
        <f t="shared" si="90"/>
        <v>17.432476725840026</v>
      </c>
      <c r="U150" s="16">
        <f t="shared" si="91"/>
        <v>26.274399146703711</v>
      </c>
      <c r="V150" s="16">
        <f t="shared" si="92"/>
        <v>13.42300707889682</v>
      </c>
      <c r="W150" s="16">
        <f t="shared" si="93"/>
        <v>1.9325433066550146</v>
      </c>
      <c r="X150" s="16">
        <f t="shared" si="94"/>
        <v>3.2906070569210724</v>
      </c>
      <c r="Y150" s="16">
        <f t="shared" si="95"/>
        <v>4.2028906072506018</v>
      </c>
      <c r="Z150">
        <v>0.83</v>
      </c>
      <c r="AB150">
        <f t="shared" si="96"/>
        <v>2.7312038572444899</v>
      </c>
      <c r="AC150" s="62">
        <v>0</v>
      </c>
      <c r="AD150">
        <f t="shared" ref="AD150:AD151" si="103">(AC150*30)*(125-0.2*AC150*30)/(125*30)</f>
        <v>0</v>
      </c>
      <c r="AE150">
        <v>0</v>
      </c>
      <c r="AF150">
        <v>0</v>
      </c>
      <c r="AH150" t="e">
        <f t="shared" si="71"/>
        <v>#REF!</v>
      </c>
      <c r="AN150">
        <f t="shared" si="97"/>
        <v>140</v>
      </c>
    </row>
    <row r="151" spans="1:40" ht="15.6">
      <c r="A151" s="1">
        <v>44457</v>
      </c>
      <c r="B151">
        <f t="shared" si="98"/>
        <v>261</v>
      </c>
      <c r="C151">
        <f t="shared" si="79"/>
        <v>27.75</v>
      </c>
      <c r="D151" s="43">
        <v>31.5</v>
      </c>
      <c r="E151" s="42">
        <v>24</v>
      </c>
      <c r="F151" s="45">
        <v>81</v>
      </c>
      <c r="G151" s="46">
        <v>4</v>
      </c>
      <c r="H151" s="47">
        <v>3</v>
      </c>
      <c r="I151" s="16">
        <f>4098*(0.6108*EXP(17.27*Tomato!C135/(Tomato!C135+237.3)))/(Tomato!C135+237.3)^2</f>
        <v>4.4450382862832649E-2</v>
      </c>
      <c r="J151" s="16">
        <f t="shared" si="80"/>
        <v>0.20341998286283267</v>
      </c>
      <c r="K151" s="16">
        <f t="shared" si="81"/>
        <v>4.6220689030255047</v>
      </c>
      <c r="L151" s="16">
        <f t="shared" si="82"/>
        <v>2.9839174771655594</v>
      </c>
      <c r="M151" s="16">
        <f t="shared" si="83"/>
        <v>3.8029931900955321</v>
      </c>
      <c r="N151" s="16">
        <f t="shared" si="84"/>
        <v>3.0804244839773811</v>
      </c>
      <c r="O151" s="16">
        <f t="shared" si="85"/>
        <v>1.6748984442738042E-2</v>
      </c>
      <c r="P151" s="16">
        <f t="shared" si="86"/>
        <v>0.99274179073073476</v>
      </c>
      <c r="Q151" s="16">
        <f t="shared" si="87"/>
        <v>1.5777547535790066</v>
      </c>
      <c r="R151" s="16">
        <f t="shared" si="88"/>
        <v>34.84856281992451</v>
      </c>
      <c r="S151" s="16">
        <f t="shared" si="89"/>
        <v>12.059272001877758</v>
      </c>
      <c r="T151" s="16">
        <f t="shared" si="90"/>
        <v>13.046800726062608</v>
      </c>
      <c r="U151" s="16">
        <f t="shared" si="91"/>
        <v>26.173361591532501</v>
      </c>
      <c r="V151" s="16">
        <f t="shared" si="92"/>
        <v>10.046036559068209</v>
      </c>
      <c r="W151" s="16">
        <f t="shared" si="93"/>
        <v>1.2251156795447489</v>
      </c>
      <c r="X151" s="16">
        <f t="shared" si="94"/>
        <v>3.6504982015658594</v>
      </c>
      <c r="Y151" s="16">
        <f t="shared" si="95"/>
        <v>4.079358602064719</v>
      </c>
      <c r="Z151">
        <v>0.83</v>
      </c>
      <c r="AB151">
        <f t="shared" si="96"/>
        <v>3.0299135072996632</v>
      </c>
      <c r="AC151" s="62">
        <v>0</v>
      </c>
      <c r="AD151">
        <f t="shared" si="103"/>
        <v>0</v>
      </c>
      <c r="AE151">
        <v>0</v>
      </c>
      <c r="AF151">
        <v>0</v>
      </c>
      <c r="AH151" t="e">
        <f t="shared" si="71"/>
        <v>#REF!</v>
      </c>
      <c r="AN151">
        <f t="shared" si="97"/>
        <v>141</v>
      </c>
    </row>
    <row r="152" spans="1:40" ht="15.6">
      <c r="A152" s="1">
        <v>44458</v>
      </c>
      <c r="B152">
        <f t="shared" si="98"/>
        <v>262</v>
      </c>
      <c r="C152">
        <f t="shared" si="79"/>
        <v>27.45</v>
      </c>
      <c r="D152" s="43">
        <v>31.7</v>
      </c>
      <c r="E152" s="42">
        <v>23.2</v>
      </c>
      <c r="F152" s="45">
        <v>81</v>
      </c>
      <c r="G152" s="46">
        <v>4</v>
      </c>
      <c r="H152" s="47">
        <v>0</v>
      </c>
      <c r="I152" s="16">
        <f>4098*(0.6108*EXP(17.27*Tomato!C136/(Tomato!C136+237.3)))/(Tomato!C136+237.3)^2</f>
        <v>4.4450382862832649E-2</v>
      </c>
      <c r="J152" s="16">
        <f t="shared" si="80"/>
        <v>0.20341998286283267</v>
      </c>
      <c r="K152" s="16">
        <f t="shared" si="81"/>
        <v>4.6747601804976453</v>
      </c>
      <c r="L152" s="16">
        <f t="shared" si="82"/>
        <v>2.8436029029276386</v>
      </c>
      <c r="M152" s="16">
        <f t="shared" si="83"/>
        <v>3.7591815417126417</v>
      </c>
      <c r="N152" s="16">
        <f t="shared" si="84"/>
        <v>3.04493704878724</v>
      </c>
      <c r="O152" s="16">
        <f t="shared" si="85"/>
        <v>9.7157142150639288E-3</v>
      </c>
      <c r="P152" s="16">
        <f t="shared" si="86"/>
        <v>0.99329671476253623</v>
      </c>
      <c r="Q152" s="16">
        <f t="shared" si="87"/>
        <v>1.574832483699445</v>
      </c>
      <c r="R152" s="16">
        <f t="shared" si="88"/>
        <v>34.712401365900661</v>
      </c>
      <c r="S152" s="16">
        <f t="shared" si="89"/>
        <v>12.036936181142254</v>
      </c>
      <c r="T152" s="16">
        <f t="shared" si="90"/>
        <v>8.6781003414751652</v>
      </c>
      <c r="U152" s="16">
        <f t="shared" si="91"/>
        <v>26.07109616987335</v>
      </c>
      <c r="V152" s="16">
        <f t="shared" si="92"/>
        <v>6.6821372629358775</v>
      </c>
      <c r="W152" s="16">
        <f t="shared" si="93"/>
        <v>0.38120367033421393</v>
      </c>
      <c r="X152" s="16">
        <f t="shared" si="94"/>
        <v>3.395662433066104</v>
      </c>
      <c r="Y152" s="16">
        <f t="shared" si="95"/>
        <v>4.2973497799263844</v>
      </c>
      <c r="Z152">
        <v>0.83</v>
      </c>
      <c r="AB152">
        <f t="shared" si="96"/>
        <v>2.8183998194448661</v>
      </c>
      <c r="AC152" s="62">
        <v>16.2</v>
      </c>
      <c r="AD152">
        <f t="shared" ref="AD152:AD157" si="104">(125+0.1*AC152*30)/30</f>
        <v>5.7866666666666662</v>
      </c>
      <c r="AE152">
        <v>0</v>
      </c>
      <c r="AF152">
        <v>0</v>
      </c>
      <c r="AH152" t="e">
        <f t="shared" si="71"/>
        <v>#REF!</v>
      </c>
      <c r="AN152">
        <f t="shared" si="97"/>
        <v>142</v>
      </c>
    </row>
    <row r="153" spans="1:40" ht="15.6">
      <c r="A153" s="1">
        <v>44459</v>
      </c>
      <c r="B153">
        <f t="shared" si="98"/>
        <v>263</v>
      </c>
      <c r="C153">
        <f t="shared" si="79"/>
        <v>25.9</v>
      </c>
      <c r="D153" s="43">
        <v>28.8</v>
      </c>
      <c r="E153" s="42">
        <v>23</v>
      </c>
      <c r="F153" s="45">
        <v>82</v>
      </c>
      <c r="G153" s="46">
        <v>4</v>
      </c>
      <c r="H153" s="47">
        <v>0</v>
      </c>
      <c r="I153" s="16">
        <f>4098*(0.6108*EXP(17.27*Tomato!C137/(Tomato!C137+237.3)))/(Tomato!C137+237.3)^2</f>
        <v>4.4450382862832649E-2</v>
      </c>
      <c r="J153" s="16">
        <f t="shared" si="80"/>
        <v>0.20341998286283267</v>
      </c>
      <c r="K153" s="16">
        <f t="shared" si="81"/>
        <v>3.9596126295507381</v>
      </c>
      <c r="L153" s="16">
        <f t="shared" si="82"/>
        <v>2.809437622397069</v>
      </c>
      <c r="M153" s="16">
        <f t="shared" si="83"/>
        <v>3.3845251259739033</v>
      </c>
      <c r="N153" s="16">
        <f t="shared" si="84"/>
        <v>2.7753106032986006</v>
      </c>
      <c r="O153" s="16">
        <f t="shared" si="85"/>
        <v>2.6795679298097794E-3</v>
      </c>
      <c r="P153" s="16">
        <f t="shared" si="86"/>
        <v>0.99385362310901504</v>
      </c>
      <c r="Q153" s="16">
        <f t="shared" si="87"/>
        <v>1.5719094528929065</v>
      </c>
      <c r="R153" s="16">
        <f t="shared" si="88"/>
        <v>34.57464709259483</v>
      </c>
      <c r="S153" s="16">
        <f t="shared" si="89"/>
        <v>12.014594544404382</v>
      </c>
      <c r="T153" s="16">
        <f t="shared" si="90"/>
        <v>8.6436617731487075</v>
      </c>
      <c r="U153" s="16">
        <f t="shared" si="91"/>
        <v>25.967634445364272</v>
      </c>
      <c r="V153" s="16">
        <f t="shared" si="92"/>
        <v>6.6556195653245052</v>
      </c>
      <c r="W153" s="16">
        <f t="shared" si="93"/>
        <v>0.41631654297858206</v>
      </c>
      <c r="X153" s="16">
        <f t="shared" si="94"/>
        <v>2.9859751842646522</v>
      </c>
      <c r="Y153" s="16">
        <f t="shared" si="95"/>
        <v>3.4146106361044604</v>
      </c>
      <c r="Z153">
        <v>0.83</v>
      </c>
      <c r="AB153">
        <f t="shared" si="96"/>
        <v>2.4783594029396614</v>
      </c>
      <c r="AC153" s="62">
        <v>12.4</v>
      </c>
      <c r="AD153">
        <f t="shared" si="104"/>
        <v>5.4066666666666663</v>
      </c>
      <c r="AE153">
        <v>0</v>
      </c>
      <c r="AF153">
        <v>0</v>
      </c>
      <c r="AH153" t="e">
        <f t="shared" si="71"/>
        <v>#REF!</v>
      </c>
      <c r="AN153">
        <f t="shared" si="97"/>
        <v>143</v>
      </c>
    </row>
    <row r="154" spans="1:40" ht="15.6">
      <c r="A154" s="1">
        <v>44460</v>
      </c>
      <c r="B154">
        <f t="shared" si="98"/>
        <v>264</v>
      </c>
      <c r="C154">
        <f t="shared" si="79"/>
        <v>25</v>
      </c>
      <c r="D154" s="43">
        <v>26.8</v>
      </c>
      <c r="E154" s="42">
        <v>23.2</v>
      </c>
      <c r="F154" s="45">
        <v>98</v>
      </c>
      <c r="G154" s="46">
        <v>4</v>
      </c>
      <c r="H154" s="47">
        <v>0</v>
      </c>
      <c r="I154" s="16">
        <f>4098*(0.6108*EXP(17.27*Tomato!C138/(Tomato!C138+237.3)))/(Tomato!C138+237.3)^2</f>
        <v>4.4450382862832649E-2</v>
      </c>
      <c r="J154" s="16">
        <f t="shared" si="80"/>
        <v>0.20341998286283267</v>
      </c>
      <c r="K154" s="16">
        <f t="shared" si="81"/>
        <v>3.5237195928099276</v>
      </c>
      <c r="L154" s="16">
        <f t="shared" si="82"/>
        <v>2.8436029029276386</v>
      </c>
      <c r="M154" s="16">
        <f t="shared" si="83"/>
        <v>3.1836612478687831</v>
      </c>
      <c r="N154" s="16">
        <f t="shared" si="84"/>
        <v>3.1199880229114072</v>
      </c>
      <c r="O154" s="16">
        <f t="shared" si="85"/>
        <v>-4.3573715644133829E-3</v>
      </c>
      <c r="P154" s="16">
        <f t="shared" si="86"/>
        <v>0.9944123509134829</v>
      </c>
      <c r="Q154" s="16">
        <f t="shared" si="87"/>
        <v>1.5689862123026053</v>
      </c>
      <c r="R154" s="16">
        <f t="shared" si="88"/>
        <v>34.435344046339274</v>
      </c>
      <c r="S154" s="16">
        <f t="shared" si="89"/>
        <v>11.992251304223734</v>
      </c>
      <c r="T154" s="16">
        <f t="shared" si="90"/>
        <v>8.6088360115848186</v>
      </c>
      <c r="U154" s="16">
        <f t="shared" si="91"/>
        <v>25.863009499443574</v>
      </c>
      <c r="V154" s="16">
        <f t="shared" si="92"/>
        <v>6.6288037289203103</v>
      </c>
      <c r="W154" s="16">
        <f t="shared" si="93"/>
        <v>0.35704209690739169</v>
      </c>
      <c r="X154" s="16">
        <f t="shared" si="94"/>
        <v>0.81386746734212956</v>
      </c>
      <c r="Y154" s="16">
        <f t="shared" si="95"/>
        <v>2.6241426805735708</v>
      </c>
      <c r="Z154">
        <v>0.83</v>
      </c>
      <c r="AB154">
        <f t="shared" si="96"/>
        <v>0.67550999789396748</v>
      </c>
      <c r="AC154" s="62">
        <v>51.4</v>
      </c>
      <c r="AD154">
        <f t="shared" si="104"/>
        <v>9.3066666666666684</v>
      </c>
      <c r="AE154">
        <v>0</v>
      </c>
      <c r="AF154">
        <v>0</v>
      </c>
      <c r="AH154">
        <v>132</v>
      </c>
      <c r="AN154">
        <f t="shared" si="97"/>
        <v>144</v>
      </c>
    </row>
    <row r="155" spans="1:40" ht="15.6">
      <c r="A155" s="1">
        <v>44461</v>
      </c>
      <c r="B155">
        <f t="shared" si="98"/>
        <v>265</v>
      </c>
      <c r="C155">
        <f t="shared" si="79"/>
        <v>25.9</v>
      </c>
      <c r="D155" s="43">
        <v>28.3</v>
      </c>
      <c r="E155" s="42">
        <v>23.5</v>
      </c>
      <c r="F155" s="45">
        <v>90</v>
      </c>
      <c r="G155" s="46">
        <v>6</v>
      </c>
      <c r="H155" s="47">
        <v>0</v>
      </c>
      <c r="I155" s="16">
        <f>4098*(0.6108*EXP(17.27*Tomato!C139/(Tomato!C139+237.3)))/(Tomato!C139+237.3)^2</f>
        <v>4.4450382862832649E-2</v>
      </c>
      <c r="J155" s="16">
        <f t="shared" si="80"/>
        <v>0.24922478286283267</v>
      </c>
      <c r="K155" s="16">
        <f t="shared" si="81"/>
        <v>3.8464613723885481</v>
      </c>
      <c r="L155" s="16">
        <f t="shared" si="82"/>
        <v>2.8955307729089892</v>
      </c>
      <c r="M155" s="16">
        <f t="shared" si="83"/>
        <v>3.3709960726487687</v>
      </c>
      <c r="N155" s="16">
        <f t="shared" si="84"/>
        <v>3.0338964653838918</v>
      </c>
      <c r="O155" s="16">
        <f t="shared" si="85"/>
        <v>-1.1393021184187847E-2</v>
      </c>
      <c r="P155" s="16">
        <f t="shared" si="86"/>
        <v>0.99497273278065301</v>
      </c>
      <c r="Q155" s="16">
        <f t="shared" si="87"/>
        <v>1.5660633128686949</v>
      </c>
      <c r="R155" s="16">
        <f t="shared" si="88"/>
        <v>34.294538269910113</v>
      </c>
      <c r="S155" s="16">
        <f t="shared" si="89"/>
        <v>11.96991067160786</v>
      </c>
      <c r="T155" s="16">
        <f t="shared" si="90"/>
        <v>8.5736345674775283</v>
      </c>
      <c r="U155" s="16">
        <f t="shared" si="91"/>
        <v>25.757255912998687</v>
      </c>
      <c r="V155" s="16">
        <f t="shared" si="92"/>
        <v>6.6016986169576972</v>
      </c>
      <c r="W155" s="16">
        <f t="shared" si="93"/>
        <v>0.37482706004348215</v>
      </c>
      <c r="X155" s="16">
        <f t="shared" si="94"/>
        <v>2.0991481247408657</v>
      </c>
      <c r="Y155" s="16">
        <f t="shared" si="95"/>
        <v>3.0811654177794665</v>
      </c>
      <c r="Z155">
        <v>0.83</v>
      </c>
      <c r="AB155">
        <f t="shared" si="96"/>
        <v>1.7422929435349184</v>
      </c>
      <c r="AC155" s="62">
        <v>10.9</v>
      </c>
      <c r="AD155">
        <f t="shared" si="104"/>
        <v>5.2566666666666659</v>
      </c>
      <c r="AE155">
        <v>0</v>
      </c>
      <c r="AF155">
        <v>0</v>
      </c>
      <c r="AH155">
        <v>132</v>
      </c>
      <c r="AN155">
        <f t="shared" si="97"/>
        <v>145</v>
      </c>
    </row>
    <row r="156" spans="1:40" ht="15.6">
      <c r="A156" s="1">
        <v>44462</v>
      </c>
      <c r="B156">
        <f t="shared" si="98"/>
        <v>266</v>
      </c>
      <c r="C156">
        <f t="shared" si="79"/>
        <v>27.25</v>
      </c>
      <c r="D156" s="43">
        <v>30.8</v>
      </c>
      <c r="E156" s="42">
        <v>23.7</v>
      </c>
      <c r="F156" s="45">
        <v>91</v>
      </c>
      <c r="G156" s="46">
        <v>4</v>
      </c>
      <c r="H156" s="47">
        <v>3</v>
      </c>
      <c r="I156" s="16">
        <f>4098*(0.6108*EXP(17.27*Tomato!C140/(Tomato!C140+237.3)))/(Tomato!C140+237.3)^2</f>
        <v>4.4450382862832649E-2</v>
      </c>
      <c r="J156" s="16">
        <f t="shared" si="80"/>
        <v>0.20341998286283267</v>
      </c>
      <c r="K156" s="16">
        <f t="shared" si="81"/>
        <v>4.4416910990407947</v>
      </c>
      <c r="L156" s="16">
        <f t="shared" si="82"/>
        <v>2.9306073746865935</v>
      </c>
      <c r="M156" s="16">
        <f t="shared" si="83"/>
        <v>3.6861492368636943</v>
      </c>
      <c r="N156" s="16">
        <f t="shared" si="84"/>
        <v>3.3543958055459622</v>
      </c>
      <c r="O156" s="16">
        <f t="shared" si="85"/>
        <v>-1.8425298227926112E-2</v>
      </c>
      <c r="P156" s="16">
        <f t="shared" si="86"/>
        <v>0.99553460282560124</v>
      </c>
      <c r="Q156" s="16">
        <f t="shared" si="87"/>
        <v>1.5631413058615111</v>
      </c>
      <c r="R156" s="16">
        <f t="shared" si="88"/>
        <v>34.15227777513585</v>
      </c>
      <c r="S156" s="16">
        <f t="shared" si="89"/>
        <v>11.947576860087983</v>
      </c>
      <c r="T156" s="16">
        <f t="shared" si="90"/>
        <v>12.825835679784266</v>
      </c>
      <c r="U156" s="16">
        <f t="shared" si="91"/>
        <v>25.650409745793532</v>
      </c>
      <c r="V156" s="16">
        <f t="shared" si="92"/>
        <v>9.8758934734338855</v>
      </c>
      <c r="W156" s="16">
        <f t="shared" si="93"/>
        <v>1.0858367032891274</v>
      </c>
      <c r="X156" s="16">
        <f t="shared" si="94"/>
        <v>2.1008456061414673</v>
      </c>
      <c r="Y156" s="16">
        <f t="shared" si="95"/>
        <v>3.8470837678013852</v>
      </c>
      <c r="Z156">
        <v>0.83</v>
      </c>
      <c r="AB156">
        <f t="shared" si="96"/>
        <v>1.7437018530974178</v>
      </c>
      <c r="AC156" s="62">
        <v>5</v>
      </c>
      <c r="AD156">
        <f t="shared" ref="AD156" si="105">(AC156*30)*(125-0.2*AC156*30)/(125*30)</f>
        <v>3.8</v>
      </c>
      <c r="AE156">
        <v>0</v>
      </c>
      <c r="AF156">
        <v>0</v>
      </c>
      <c r="AH156">
        <v>132</v>
      </c>
      <c r="AN156">
        <f t="shared" si="97"/>
        <v>146</v>
      </c>
    </row>
    <row r="157" spans="1:40" ht="15.6">
      <c r="A157" s="1">
        <v>44463</v>
      </c>
      <c r="B157">
        <f t="shared" si="98"/>
        <v>267</v>
      </c>
      <c r="C157">
        <f t="shared" si="79"/>
        <v>28.25</v>
      </c>
      <c r="D157" s="43">
        <v>32.200000000000003</v>
      </c>
      <c r="E157" s="42">
        <v>24.3</v>
      </c>
      <c r="F157" s="45">
        <v>80</v>
      </c>
      <c r="G157" s="46">
        <v>5</v>
      </c>
      <c r="H157" s="47">
        <v>7</v>
      </c>
      <c r="I157" s="16">
        <f>4098*(0.6108*EXP(17.27*Tomato!C141/(Tomato!C141+237.3)))/(Tomato!C141+237.3)^2</f>
        <v>4.4450382862832649E-2</v>
      </c>
      <c r="J157" s="16">
        <f t="shared" si="80"/>
        <v>0.22632238286283268</v>
      </c>
      <c r="K157" s="16">
        <f t="shared" si="81"/>
        <v>4.8087773652629577</v>
      </c>
      <c r="L157" s="16">
        <f t="shared" si="82"/>
        <v>3.0380717152215446</v>
      </c>
      <c r="M157" s="16">
        <f t="shared" si="83"/>
        <v>3.9234245402422512</v>
      </c>
      <c r="N157" s="16">
        <f t="shared" si="84"/>
        <v>3.138739632193801</v>
      </c>
      <c r="O157" s="16">
        <f t="shared" si="85"/>
        <v>-2.5452120992395109E-2</v>
      </c>
      <c r="P157" s="16">
        <f t="shared" si="86"/>
        <v>0.99609779472287119</v>
      </c>
      <c r="Q157" s="16">
        <f t="shared" si="87"/>
        <v>1.5602207434141231</v>
      </c>
      <c r="R157" s="16">
        <f t="shared" si="88"/>
        <v>34.008612512594169</v>
      </c>
      <c r="S157" s="16">
        <f t="shared" si="89"/>
        <v>11.925254089789476</v>
      </c>
      <c r="T157" s="16">
        <f t="shared" si="90"/>
        <v>18.483503873202636</v>
      </c>
      <c r="U157" s="16">
        <f t="shared" si="91"/>
        <v>25.542508513708974</v>
      </c>
      <c r="V157" s="16">
        <f t="shared" si="92"/>
        <v>14.232297982366029</v>
      </c>
      <c r="W157" s="16">
        <f t="shared" si="93"/>
        <v>2.3355394245487768</v>
      </c>
      <c r="X157" s="16">
        <f t="shared" si="94"/>
        <v>4.4419492025021352</v>
      </c>
      <c r="Y157" s="16">
        <f t="shared" si="95"/>
        <v>4.130666125958669</v>
      </c>
      <c r="Z157">
        <v>0.83</v>
      </c>
      <c r="AB157">
        <f t="shared" si="96"/>
        <v>3.686817838076772</v>
      </c>
      <c r="AC157" s="62">
        <v>10.4</v>
      </c>
      <c r="AD157">
        <f t="shared" si="104"/>
        <v>5.2066666666666661</v>
      </c>
      <c r="AE157">
        <v>0</v>
      </c>
      <c r="AF157">
        <v>0</v>
      </c>
      <c r="AH157">
        <v>132</v>
      </c>
      <c r="AN157">
        <f t="shared" si="97"/>
        <v>147</v>
      </c>
    </row>
    <row r="158" spans="1:40" ht="15.6">
      <c r="A158" s="1">
        <v>44464</v>
      </c>
      <c r="B158">
        <f t="shared" si="98"/>
        <v>268</v>
      </c>
      <c r="C158">
        <f t="shared" si="79"/>
        <v>28.45</v>
      </c>
      <c r="D158" s="43">
        <v>32.4</v>
      </c>
      <c r="E158" s="42">
        <v>24.5</v>
      </c>
      <c r="F158" s="45">
        <v>80</v>
      </c>
      <c r="G158" s="46">
        <v>4</v>
      </c>
      <c r="H158" s="47">
        <v>6.8</v>
      </c>
      <c r="I158" s="16">
        <f>4098*(0.6108*EXP(17.27*Tomato!C142/(Tomato!C142+237.3)))/(Tomato!C142+237.3)^2</f>
        <v>4.4450382862832649E-2</v>
      </c>
      <c r="J158" s="16">
        <f t="shared" si="80"/>
        <v>0.20341998286283267</v>
      </c>
      <c r="K158" s="16">
        <f t="shared" si="81"/>
        <v>4.8633111980528723</v>
      </c>
      <c r="L158" s="16">
        <f t="shared" si="82"/>
        <v>3.07464905088159</v>
      </c>
      <c r="M158" s="16">
        <f t="shared" si="83"/>
        <v>3.9689801244672314</v>
      </c>
      <c r="N158" s="16">
        <f t="shared" si="84"/>
        <v>3.1751840995737854</v>
      </c>
      <c r="O158" s="16">
        <f t="shared" si="85"/>
        <v>-3.2471409388943093E-2</v>
      </c>
      <c r="P158" s="16">
        <f t="shared" si="86"/>
        <v>0.99666214175570988</v>
      </c>
      <c r="Q158" s="16">
        <f t="shared" si="87"/>
        <v>1.5573021790530919</v>
      </c>
      <c r="R158" s="16">
        <f t="shared" si="88"/>
        <v>33.863594338449026</v>
      </c>
      <c r="S158" s="16">
        <f t="shared" si="89"/>
        <v>11.9029465914886</v>
      </c>
      <c r="T158" s="16">
        <f t="shared" si="90"/>
        <v>18.138816115222429</v>
      </c>
      <c r="U158" s="16">
        <f t="shared" si="91"/>
        <v>25.433591163835523</v>
      </c>
      <c r="V158" s="16">
        <f t="shared" si="92"/>
        <v>13.966888408721271</v>
      </c>
      <c r="W158" s="16">
        <f t="shared" si="93"/>
        <v>2.2532907965733515</v>
      </c>
      <c r="X158" s="16">
        <f t="shared" si="94"/>
        <v>4.1834130207640907</v>
      </c>
      <c r="Y158" s="16">
        <f t="shared" si="95"/>
        <v>4.1309157229386706</v>
      </c>
      <c r="Z158">
        <v>0.83</v>
      </c>
      <c r="AB158">
        <f t="shared" si="96"/>
        <v>3.472232807234195</v>
      </c>
      <c r="AC158" s="62">
        <v>0</v>
      </c>
      <c r="AD158">
        <f t="shared" ref="AD158:AD159" si="106">(AC158*30)*(125-0.2*AC158*30)/(125*30)</f>
        <v>0</v>
      </c>
      <c r="AE158">
        <v>0</v>
      </c>
      <c r="AF158">
        <v>0</v>
      </c>
      <c r="AH158">
        <f>AH157-AB158+AD158-AE158</f>
        <v>128.52776719276579</v>
      </c>
      <c r="AN158">
        <f t="shared" si="97"/>
        <v>148</v>
      </c>
    </row>
    <row r="159" spans="1:40" ht="15.6">
      <c r="A159" s="1">
        <v>44465</v>
      </c>
      <c r="B159">
        <f t="shared" si="98"/>
        <v>269</v>
      </c>
      <c r="C159">
        <f t="shared" si="79"/>
        <v>28.4</v>
      </c>
      <c r="D159" s="43">
        <v>31.6</v>
      </c>
      <c r="E159" s="42">
        <v>25.2</v>
      </c>
      <c r="F159" s="45">
        <v>79</v>
      </c>
      <c r="G159" s="46">
        <v>4</v>
      </c>
      <c r="H159" s="47">
        <v>5.8</v>
      </c>
      <c r="I159" s="16">
        <f>4098*(0.6108*EXP(17.27*Tomato!C143/(Tomato!C143+237.3)))/(Tomato!C143+237.3)^2</f>
        <v>4.4450382862832649E-2</v>
      </c>
      <c r="J159" s="16">
        <f t="shared" si="80"/>
        <v>0.20341998286283267</v>
      </c>
      <c r="K159" s="16">
        <f t="shared" si="81"/>
        <v>4.6483496796026218</v>
      </c>
      <c r="L159" s="16">
        <f t="shared" si="82"/>
        <v>3.2057122429156886</v>
      </c>
      <c r="M159" s="16">
        <f t="shared" si="83"/>
        <v>3.9270309612591552</v>
      </c>
      <c r="N159" s="16">
        <f t="shared" si="84"/>
        <v>3.1023544593947325</v>
      </c>
      <c r="O159" s="16">
        <f t="shared" si="85"/>
        <v>-3.9481085559252192E-2</v>
      </c>
      <c r="P159" s="16">
        <f t="shared" si="86"/>
        <v>0.9972274768654199</v>
      </c>
      <c r="Q159" s="16">
        <f t="shared" si="87"/>
        <v>1.5543861682263111</v>
      </c>
      <c r="R159" s="16">
        <f t="shared" si="88"/>
        <v>33.717276978486048</v>
      </c>
      <c r="S159" s="16">
        <f t="shared" si="89"/>
        <v>11.880658610646964</v>
      </c>
      <c r="T159" s="16">
        <f t="shared" si="90"/>
        <v>16.659511394910467</v>
      </c>
      <c r="U159" s="16">
        <f t="shared" si="91"/>
        <v>25.323698047461729</v>
      </c>
      <c r="V159" s="16">
        <f t="shared" si="92"/>
        <v>12.827823774081059</v>
      </c>
      <c r="W159" s="16">
        <f t="shared" si="93"/>
        <v>2.0394950632224127</v>
      </c>
      <c r="X159" s="16">
        <f t="shared" si="94"/>
        <v>4.2235803742783897</v>
      </c>
      <c r="Y159" s="16">
        <f t="shared" si="95"/>
        <v>3.6980472446675874</v>
      </c>
      <c r="Z159">
        <v>0.83</v>
      </c>
      <c r="AB159">
        <f t="shared" si="96"/>
        <v>3.5055717106510631</v>
      </c>
      <c r="AC159" s="63">
        <v>0</v>
      </c>
      <c r="AD159">
        <f t="shared" si="106"/>
        <v>0</v>
      </c>
      <c r="AE159">
        <v>0</v>
      </c>
      <c r="AF159">
        <v>0</v>
      </c>
      <c r="AH159">
        <f t="shared" ref="AH159:AH190" si="107">AH158-AB159+AD159-AE159</f>
        <v>125.02219548211472</v>
      </c>
      <c r="AN159">
        <f t="shared" si="97"/>
        <v>149</v>
      </c>
    </row>
    <row r="160" spans="1:40" ht="15.6">
      <c r="A160" s="1">
        <v>44466</v>
      </c>
      <c r="B160">
        <f t="shared" si="98"/>
        <v>270</v>
      </c>
      <c r="C160">
        <f t="shared" si="79"/>
        <v>27.2</v>
      </c>
      <c r="D160" s="43">
        <v>31</v>
      </c>
      <c r="E160" s="42">
        <v>23.4</v>
      </c>
      <c r="F160" s="45">
        <v>81</v>
      </c>
      <c r="G160" s="46">
        <v>6</v>
      </c>
      <c r="H160" s="47">
        <v>0</v>
      </c>
      <c r="I160" s="16">
        <f>4098*(0.6108*EXP(17.27*Tomato!C144/(Tomato!C144+237.3)))/(Tomato!C144+237.3)^2</f>
        <v>4.4450382862832649E-2</v>
      </c>
      <c r="J160" s="16">
        <f t="shared" si="80"/>
        <v>0.24922478286283267</v>
      </c>
      <c r="K160" s="16">
        <f t="shared" si="81"/>
        <v>4.492592251118583</v>
      </c>
      <c r="L160" s="16">
        <f t="shared" si="82"/>
        <v>2.878130284758361</v>
      </c>
      <c r="M160" s="16">
        <f t="shared" si="83"/>
        <v>3.6853612679384717</v>
      </c>
      <c r="N160" s="16">
        <f t="shared" si="84"/>
        <v>2.9851426270301622</v>
      </c>
      <c r="O160" s="16">
        <f t="shared" si="85"/>
        <v>-4.6479074490427479E-2</v>
      </c>
      <c r="P160" s="16">
        <f t="shared" si="86"/>
        <v>0.99779363270081212</v>
      </c>
      <c r="Q160" s="16">
        <f t="shared" si="87"/>
        <v>1.5514732688268225</v>
      </c>
      <c r="R160" s="16">
        <f t="shared" si="88"/>
        <v>33.569715989409779</v>
      </c>
      <c r="S160" s="16">
        <f t="shared" si="89"/>
        <v>11.858394411415203</v>
      </c>
      <c r="T160" s="16">
        <f t="shared" si="90"/>
        <v>8.3924289973524449</v>
      </c>
      <c r="U160" s="16">
        <f t="shared" si="91"/>
        <v>25.212870891006109</v>
      </c>
      <c r="V160" s="16">
        <f t="shared" si="92"/>
        <v>6.4621703279613829</v>
      </c>
      <c r="W160" s="16">
        <f t="shared" si="93"/>
        <v>0.38941396055653643</v>
      </c>
      <c r="X160" s="16">
        <f t="shared" si="94"/>
        <v>3.8462045871126134</v>
      </c>
      <c r="Y160" s="16">
        <f t="shared" si="95"/>
        <v>3.9080037880932239</v>
      </c>
      <c r="Z160">
        <v>0.83</v>
      </c>
      <c r="AB160">
        <f t="shared" si="96"/>
        <v>3.1923498073034691</v>
      </c>
      <c r="AC160" s="63">
        <v>8.4</v>
      </c>
      <c r="AD160">
        <f t="shared" ref="AD160:AD163" si="108">(125+0.1*AC160*30)/30</f>
        <v>5.0066666666666659</v>
      </c>
      <c r="AE160">
        <v>0</v>
      </c>
      <c r="AF160">
        <v>0</v>
      </c>
      <c r="AH160">
        <f t="shared" si="107"/>
        <v>126.83651234147791</v>
      </c>
      <c r="AN160">
        <f t="shared" si="97"/>
        <v>150</v>
      </c>
    </row>
    <row r="161" spans="1:40" ht="15.6">
      <c r="A161" s="1">
        <v>44467</v>
      </c>
      <c r="B161">
        <f t="shared" si="98"/>
        <v>271</v>
      </c>
      <c r="C161">
        <f t="shared" si="79"/>
        <v>27.55</v>
      </c>
      <c r="D161" s="43">
        <v>31</v>
      </c>
      <c r="E161" s="42">
        <v>24.1</v>
      </c>
      <c r="F161" s="45">
        <v>86</v>
      </c>
      <c r="G161" s="46">
        <v>4</v>
      </c>
      <c r="H161" s="47">
        <v>0</v>
      </c>
      <c r="I161" s="16">
        <f>4098*(0.6108*EXP(17.27*Tomato!C145/(Tomato!C145+237.3)))/(Tomato!C145+237.3)^2</f>
        <v>4.4450382862832649E-2</v>
      </c>
      <c r="J161" s="16">
        <f t="shared" si="80"/>
        <v>0.20341998286283267</v>
      </c>
      <c r="K161" s="16">
        <f t="shared" si="81"/>
        <v>4.492592251118583</v>
      </c>
      <c r="L161" s="16">
        <f t="shared" si="82"/>
        <v>3.0018745443431598</v>
      </c>
      <c r="M161" s="16">
        <f t="shared" si="83"/>
        <v>3.7472333977308714</v>
      </c>
      <c r="N161" s="16">
        <f t="shared" si="84"/>
        <v>3.2226207220485494</v>
      </c>
      <c r="O161" s="16">
        <f t="shared" si="85"/>
        <v>-5.346330462924373E-2</v>
      </c>
      <c r="P161" s="16">
        <f t="shared" si="86"/>
        <v>0.99836044166774507</v>
      </c>
      <c r="Q161" s="16">
        <f t="shared" si="87"/>
        <v>1.5485640417114681</v>
      </c>
      <c r="R161" s="16">
        <f t="shared" si="88"/>
        <v>33.420968717472014</v>
      </c>
      <c r="S161" s="16">
        <f t="shared" si="89"/>
        <v>11.836158280597209</v>
      </c>
      <c r="T161" s="16">
        <f t="shared" si="90"/>
        <v>8.3552421793680036</v>
      </c>
      <c r="U161" s="16">
        <f t="shared" si="91"/>
        <v>25.10115276494453</v>
      </c>
      <c r="V161" s="16">
        <f t="shared" si="92"/>
        <v>6.4335364781133633</v>
      </c>
      <c r="W161" s="16">
        <f t="shared" si="93"/>
        <v>0.35354043205527241</v>
      </c>
      <c r="X161" s="16">
        <f t="shared" si="94"/>
        <v>2.622870306087512</v>
      </c>
      <c r="Y161" s="16">
        <f t="shared" si="95"/>
        <v>3.7360172240399878</v>
      </c>
      <c r="Z161">
        <v>0.83</v>
      </c>
      <c r="AB161">
        <f t="shared" si="96"/>
        <v>2.176982354052635</v>
      </c>
      <c r="AC161" s="63">
        <v>25.4</v>
      </c>
      <c r="AD161">
        <f t="shared" si="108"/>
        <v>6.7066666666666661</v>
      </c>
      <c r="AE161">
        <v>0</v>
      </c>
      <c r="AF161">
        <v>0</v>
      </c>
      <c r="AH161">
        <f t="shared" si="107"/>
        <v>131.36619665409194</v>
      </c>
      <c r="AN161">
        <f t="shared" si="97"/>
        <v>151</v>
      </c>
    </row>
    <row r="162" spans="1:40" ht="15.6">
      <c r="A162" s="1">
        <v>44468</v>
      </c>
      <c r="B162">
        <f t="shared" si="98"/>
        <v>272</v>
      </c>
      <c r="C162">
        <f t="shared" si="79"/>
        <v>25.6</v>
      </c>
      <c r="D162" s="43">
        <v>29</v>
      </c>
      <c r="E162" s="42">
        <v>22.2</v>
      </c>
      <c r="F162" s="45">
        <v>98</v>
      </c>
      <c r="G162" s="46">
        <v>10</v>
      </c>
      <c r="H162" s="47">
        <v>0</v>
      </c>
      <c r="I162" s="16">
        <f>4098*(0.6108*EXP(17.27*Tomato!C146/(Tomato!C146+237.3)))/(Tomato!C146+237.3)^2</f>
        <v>4.4450382862832649E-2</v>
      </c>
      <c r="J162" s="16">
        <f t="shared" si="80"/>
        <v>0.34083438286283269</v>
      </c>
      <c r="K162" s="16">
        <f t="shared" si="81"/>
        <v>4.0056776000859209</v>
      </c>
      <c r="L162" s="16">
        <f t="shared" si="82"/>
        <v>2.6763336594163714</v>
      </c>
      <c r="M162" s="16">
        <f t="shared" si="83"/>
        <v>3.3410056297511463</v>
      </c>
      <c r="N162" s="16">
        <f t="shared" si="84"/>
        <v>3.2741855171561234</v>
      </c>
      <c r="O162" s="16">
        <f t="shared" si="85"/>
        <v>-6.0431708495371314E-2</v>
      </c>
      <c r="P162" s="16">
        <f t="shared" si="86"/>
        <v>0.99892773597873663</v>
      </c>
      <c r="Q162" s="16">
        <f t="shared" si="87"/>
        <v>1.5456590512132538</v>
      </c>
      <c r="R162" s="16">
        <f t="shared" si="88"/>
        <v>33.271094254505698</v>
      </c>
      <c r="S162" s="16">
        <f t="shared" si="89"/>
        <v>11.813954531566271</v>
      </c>
      <c r="T162" s="16">
        <f t="shared" si="90"/>
        <v>8.3177735636264245</v>
      </c>
      <c r="U162" s="16">
        <f t="shared" si="91"/>
        <v>24.988588050789048</v>
      </c>
      <c r="V162" s="16">
        <f t="shared" si="92"/>
        <v>6.4046856439923472</v>
      </c>
      <c r="W162" s="16">
        <f t="shared" si="93"/>
        <v>0.33667521060320393</v>
      </c>
      <c r="X162" s="16">
        <f t="shared" si="94"/>
        <v>0.7209106492963111</v>
      </c>
      <c r="Y162" s="16">
        <f t="shared" si="95"/>
        <v>3.5334525985551513</v>
      </c>
      <c r="Z162">
        <v>0.83</v>
      </c>
      <c r="AB162">
        <f t="shared" si="96"/>
        <v>0.59835583891593813</v>
      </c>
      <c r="AC162" s="63">
        <v>17.100000000000001</v>
      </c>
      <c r="AD162">
        <f t="shared" si="108"/>
        <v>5.8766666666666669</v>
      </c>
      <c r="AE162">
        <v>0</v>
      </c>
      <c r="AF162">
        <v>0</v>
      </c>
      <c r="AH162">
        <f t="shared" si="107"/>
        <v>136.64450748184265</v>
      </c>
      <c r="AN162">
        <f t="shared" si="97"/>
        <v>152</v>
      </c>
    </row>
    <row r="163" spans="1:40" ht="15.6">
      <c r="A163" s="1">
        <v>44469</v>
      </c>
      <c r="B163">
        <f t="shared" si="98"/>
        <v>273</v>
      </c>
      <c r="C163">
        <f t="shared" si="79"/>
        <v>26.75</v>
      </c>
      <c r="D163" s="43">
        <v>30.7</v>
      </c>
      <c r="E163" s="42">
        <v>22.8</v>
      </c>
      <c r="F163" s="45">
        <v>83</v>
      </c>
      <c r="G163" s="46">
        <v>8</v>
      </c>
      <c r="H163" s="47">
        <v>2.5</v>
      </c>
      <c r="I163" s="16">
        <f>4098*(0.6108*EXP(17.27*Tomato!C147/(Tomato!C147+237.3)))/(Tomato!C147+237.3)^2</f>
        <v>4.4450382862832649E-2</v>
      </c>
      <c r="J163" s="16">
        <f t="shared" si="80"/>
        <v>0.29502958286283265</v>
      </c>
      <c r="K163" s="16">
        <f t="shared" si="81"/>
        <v>4.4164290333261924</v>
      </c>
      <c r="L163" s="16">
        <f t="shared" si="82"/>
        <v>2.7756312335019815</v>
      </c>
      <c r="M163" s="16">
        <f t="shared" si="83"/>
        <v>3.5960301334140867</v>
      </c>
      <c r="N163" s="16">
        <f t="shared" si="84"/>
        <v>2.9847050107336917</v>
      </c>
      <c r="O163" s="16">
        <f t="shared" si="85"/>
        <v>-6.7382223293392801E-2</v>
      </c>
      <c r="P163" s="16">
        <f t="shared" si="86"/>
        <v>0.99949534770263249</v>
      </c>
      <c r="Q163" s="16">
        <f t="shared" si="87"/>
        <v>1.5427588656462701</v>
      </c>
      <c r="R163" s="16">
        <f t="shared" si="88"/>
        <v>33.12015339144412</v>
      </c>
      <c r="S163" s="16">
        <f t="shared" si="89"/>
        <v>11.791787508124358</v>
      </c>
      <c r="T163" s="16">
        <f t="shared" si="90"/>
        <v>11.790972691850952</v>
      </c>
      <c r="U163" s="16">
        <f t="shared" si="91"/>
        <v>24.875222406178018</v>
      </c>
      <c r="V163" s="16">
        <f t="shared" si="92"/>
        <v>9.0790489727252321</v>
      </c>
      <c r="W163" s="16">
        <f t="shared" si="93"/>
        <v>1.129652989354605</v>
      </c>
      <c r="X163" s="16">
        <f t="shared" si="94"/>
        <v>3.841259601768463</v>
      </c>
      <c r="Y163" s="16">
        <f t="shared" si="95"/>
        <v>3.8917200569322854</v>
      </c>
      <c r="Z163">
        <v>0.83</v>
      </c>
      <c r="AB163">
        <f t="shared" si="96"/>
        <v>3.1882454694678244</v>
      </c>
      <c r="AC163" s="63">
        <v>21</v>
      </c>
      <c r="AD163">
        <f t="shared" si="108"/>
        <v>6.2666666666666666</v>
      </c>
      <c r="AE163">
        <v>0</v>
      </c>
      <c r="AF163">
        <v>0</v>
      </c>
      <c r="AH163">
        <f t="shared" si="107"/>
        <v>139.7229286790415</v>
      </c>
      <c r="AN163">
        <f t="shared" si="97"/>
        <v>153</v>
      </c>
    </row>
    <row r="164" spans="1:40" ht="15.6">
      <c r="A164" s="1">
        <v>44470</v>
      </c>
      <c r="B164">
        <f t="shared" si="98"/>
        <v>274</v>
      </c>
      <c r="C164">
        <f t="shared" si="79"/>
        <v>27.799999999999997</v>
      </c>
      <c r="D164" s="49">
        <v>31.2</v>
      </c>
      <c r="E164" s="48">
        <v>24.4</v>
      </c>
      <c r="F164" s="51">
        <v>76</v>
      </c>
      <c r="G164" s="51">
        <v>4</v>
      </c>
      <c r="H164" s="52">
        <v>7</v>
      </c>
      <c r="I164" s="16">
        <f>4098*(0.6108*EXP(17.27*Tomato!C148/(Tomato!C148+237.3)))/(Tomato!C148+237.3)^2</f>
        <v>4.4450382862832649E-2</v>
      </c>
      <c r="J164" s="16">
        <f t="shared" si="80"/>
        <v>0.20341998286283267</v>
      </c>
      <c r="K164" s="16">
        <f t="shared" si="81"/>
        <v>4.5439995866454055</v>
      </c>
      <c r="L164" s="16">
        <f t="shared" si="82"/>
        <v>3.0563126530167612</v>
      </c>
      <c r="M164" s="16">
        <f t="shared" si="83"/>
        <v>3.8001561198310831</v>
      </c>
      <c r="N164" s="16">
        <f t="shared" si="84"/>
        <v>2.8881186510716232</v>
      </c>
      <c r="O164" s="16">
        <f t="shared" si="85"/>
        <v>-7.4312791523434535E-2</v>
      </c>
      <c r="P164" s="16">
        <f t="shared" si="86"/>
        <v>1.0000631088143175</v>
      </c>
      <c r="Q164" s="16">
        <f t="shared" si="87"/>
        <v>1.5398640578020177</v>
      </c>
      <c r="R164" s="16">
        <f t="shared" si="88"/>
        <v>32.968208569409882</v>
      </c>
      <c r="S164" s="16">
        <f t="shared" si="89"/>
        <v>11.769661588295676</v>
      </c>
      <c r="T164" s="16">
        <f t="shared" si="90"/>
        <v>18.045964440704594</v>
      </c>
      <c r="U164" s="16">
        <f t="shared" si="91"/>
        <v>24.761102728140983</v>
      </c>
      <c r="V164" s="16">
        <f t="shared" si="92"/>
        <v>13.895392619342537</v>
      </c>
      <c r="W164" s="16">
        <f t="shared" si="93"/>
        <v>2.6047686583675138</v>
      </c>
      <c r="X164" s="16">
        <f t="shared" si="94"/>
        <v>4.6210870269665243</v>
      </c>
      <c r="Y164" s="16">
        <f t="shared" si="95"/>
        <v>3.6787700928619711</v>
      </c>
      <c r="Z164">
        <v>0.83</v>
      </c>
      <c r="AB164">
        <f t="shared" si="96"/>
        <v>3.8355022323822148</v>
      </c>
      <c r="AC164" s="65">
        <v>0.4</v>
      </c>
      <c r="AD164">
        <f t="shared" ref="AD164:AD179" si="109">(AC164*30)*(125-0.2*AC164*30)/(125*30)</f>
        <v>0.39231999999999995</v>
      </c>
      <c r="AE164">
        <v>0</v>
      </c>
      <c r="AF164">
        <v>0</v>
      </c>
      <c r="AH164">
        <f t="shared" si="107"/>
        <v>136.27974644665929</v>
      </c>
      <c r="AN164">
        <f t="shared" si="97"/>
        <v>154</v>
      </c>
    </row>
    <row r="165" spans="1:40" ht="15.6">
      <c r="A165" s="1">
        <v>44471</v>
      </c>
      <c r="B165">
        <f t="shared" si="98"/>
        <v>275</v>
      </c>
      <c r="C165">
        <f t="shared" si="79"/>
        <v>27.95</v>
      </c>
      <c r="D165" s="49">
        <v>31.2</v>
      </c>
      <c r="E165" s="48">
        <v>24.7</v>
      </c>
      <c r="F165" s="51">
        <v>76</v>
      </c>
      <c r="G165" s="51">
        <v>6</v>
      </c>
      <c r="H165" s="52">
        <v>7.4</v>
      </c>
      <c r="I165" s="16">
        <f>4098*(0.6108*EXP(17.27*Tomato!C149/(Tomato!C149+237.3)))/(Tomato!C149+237.3)^2</f>
        <v>4.4450382862832649E-2</v>
      </c>
      <c r="J165" s="16">
        <f t="shared" si="80"/>
        <v>0.24922478286283267</v>
      </c>
      <c r="K165" s="16">
        <f t="shared" si="81"/>
        <v>4.5439995866454055</v>
      </c>
      <c r="L165" s="16">
        <f t="shared" si="82"/>
        <v>3.1116099111162523</v>
      </c>
      <c r="M165" s="16">
        <f t="shared" si="83"/>
        <v>3.8278047488808289</v>
      </c>
      <c r="N165" s="16">
        <f t="shared" si="84"/>
        <v>2.9091316091494299</v>
      </c>
      <c r="O165" s="16">
        <f t="shared" si="85"/>
        <v>-8.1221361590230245E-2</v>
      </c>
      <c r="P165" s="16">
        <f t="shared" si="86"/>
        <v>1.0006308512444539</v>
      </c>
      <c r="Q165" s="16">
        <f t="shared" si="87"/>
        <v>1.53697520543596</v>
      </c>
      <c r="R165" s="16">
        <f t="shared" si="88"/>
        <v>32.815323828463043</v>
      </c>
      <c r="S165" s="16">
        <f t="shared" si="89"/>
        <v>11.747581188045555</v>
      </c>
      <c r="T165" s="16">
        <f t="shared" si="90"/>
        <v>18.539294591865353</v>
      </c>
      <c r="U165" s="16">
        <f t="shared" si="91"/>
        <v>24.64627711460545</v>
      </c>
      <c r="V165" s="16">
        <f t="shared" si="92"/>
        <v>14.275256835736322</v>
      </c>
      <c r="W165" s="16">
        <f t="shared" si="93"/>
        <v>2.7167280163403476</v>
      </c>
      <c r="X165" s="16">
        <f t="shared" si="94"/>
        <v>5.2963406151173231</v>
      </c>
      <c r="Y165" s="16">
        <f t="shared" si="95"/>
        <v>3.5918026799430596</v>
      </c>
      <c r="Z165">
        <v>0.83</v>
      </c>
      <c r="AB165">
        <f t="shared" si="96"/>
        <v>4.3959627105473782</v>
      </c>
      <c r="AC165" s="65">
        <v>0</v>
      </c>
      <c r="AD165">
        <f t="shared" si="109"/>
        <v>0</v>
      </c>
      <c r="AE165">
        <v>0</v>
      </c>
      <c r="AF165">
        <v>0</v>
      </c>
      <c r="AH165">
        <f t="shared" si="107"/>
        <v>131.88378373611192</v>
      </c>
      <c r="AN165">
        <f t="shared" si="97"/>
        <v>155</v>
      </c>
    </row>
    <row r="166" spans="1:40" ht="15.6">
      <c r="A166" s="1">
        <v>44472</v>
      </c>
      <c r="B166">
        <f t="shared" si="98"/>
        <v>276</v>
      </c>
      <c r="C166">
        <f t="shared" si="79"/>
        <v>26.95</v>
      </c>
      <c r="D166" s="49">
        <v>31.4</v>
      </c>
      <c r="E166" s="48">
        <v>22.5</v>
      </c>
      <c r="F166" s="51">
        <v>81</v>
      </c>
      <c r="G166" s="51">
        <v>5</v>
      </c>
      <c r="H166" s="52">
        <v>5</v>
      </c>
      <c r="I166" s="16">
        <f>4098*(0.6108*EXP(17.27*Tomato!C150/(Tomato!C150+237.3)))/(Tomato!C150+237.3)^2</f>
        <v>4.4450382862832649E-2</v>
      </c>
      <c r="J166" s="16">
        <f t="shared" si="80"/>
        <v>0.22632238286283268</v>
      </c>
      <c r="K166" s="16">
        <f t="shared" si="81"/>
        <v>4.5959173166475438</v>
      </c>
      <c r="L166" s="16">
        <f t="shared" si="82"/>
        <v>2.7255876066054592</v>
      </c>
      <c r="M166" s="16">
        <f t="shared" si="83"/>
        <v>3.6607524616265015</v>
      </c>
      <c r="N166" s="16">
        <f t="shared" si="84"/>
        <v>2.9652094939174662</v>
      </c>
      <c r="O166" s="16">
        <f t="shared" si="85"/>
        <v>-8.8105888410436817E-2</v>
      </c>
      <c r="P166" s="16">
        <f t="shared" si="86"/>
        <v>1.0011984069292352</v>
      </c>
      <c r="Q166" s="16">
        <f t="shared" si="87"/>
        <v>1.5340928917431194</v>
      </c>
      <c r="R166" s="16">
        <f t="shared" si="88"/>
        <v>32.661564754102145</v>
      </c>
      <c r="S166" s="16">
        <f t="shared" si="89"/>
        <v>11.725550764915562</v>
      </c>
      <c r="T166" s="16">
        <f t="shared" si="90"/>
        <v>15.129150377524567</v>
      </c>
      <c r="U166" s="16">
        <f t="shared" si="91"/>
        <v>24.530794824215956</v>
      </c>
      <c r="V166" s="16">
        <f t="shared" si="92"/>
        <v>11.649445790693918</v>
      </c>
      <c r="W166" s="16">
        <f t="shared" si="93"/>
        <v>1.9012600940875004</v>
      </c>
      <c r="X166" s="16">
        <f t="shared" si="94"/>
        <v>3.886864708963691</v>
      </c>
      <c r="Y166" s="16">
        <f t="shared" si="95"/>
        <v>4.0917871036216722</v>
      </c>
      <c r="Z166">
        <v>0.83</v>
      </c>
      <c r="AB166">
        <f t="shared" si="96"/>
        <v>3.2260977084398634</v>
      </c>
      <c r="AC166" s="65">
        <v>0</v>
      </c>
      <c r="AD166">
        <f t="shared" si="109"/>
        <v>0</v>
      </c>
      <c r="AE166">
        <v>0</v>
      </c>
      <c r="AF166">
        <v>0</v>
      </c>
      <c r="AH166">
        <f t="shared" si="107"/>
        <v>128.65768602767207</v>
      </c>
      <c r="AN166">
        <f t="shared" si="97"/>
        <v>156</v>
      </c>
    </row>
    <row r="167" spans="1:40" ht="15.6">
      <c r="A167" s="1">
        <v>44473</v>
      </c>
      <c r="B167">
        <f t="shared" si="98"/>
        <v>277</v>
      </c>
      <c r="C167">
        <f t="shared" si="79"/>
        <v>27.15</v>
      </c>
      <c r="D167" s="49">
        <v>31.8</v>
      </c>
      <c r="E167" s="48">
        <v>22.5</v>
      </c>
      <c r="F167" s="51">
        <v>80</v>
      </c>
      <c r="G167" s="51">
        <v>6</v>
      </c>
      <c r="H167" s="52">
        <v>7</v>
      </c>
      <c r="I167" s="16">
        <f>4098*(0.6108*EXP(17.27*Tomato!C151/(Tomato!C151+237.3)))/(Tomato!C151+237.3)^2</f>
        <v>4.4450382862832649E-2</v>
      </c>
      <c r="J167" s="16">
        <f t="shared" si="80"/>
        <v>0.24922478286283267</v>
      </c>
      <c r="K167" s="16">
        <f t="shared" si="81"/>
        <v>4.7013009415600848</v>
      </c>
      <c r="L167" s="16">
        <f t="shared" si="82"/>
        <v>2.7255876066054592</v>
      </c>
      <c r="M167" s="16">
        <f t="shared" si="83"/>
        <v>3.713444274082772</v>
      </c>
      <c r="N167" s="16">
        <f t="shared" si="84"/>
        <v>2.9707554192662178</v>
      </c>
      <c r="O167" s="16">
        <f t="shared" si="85"/>
        <v>-9.4964334018022664E-2</v>
      </c>
      <c r="P167" s="16">
        <f t="shared" si="86"/>
        <v>1.0017656078601347</v>
      </c>
      <c r="Q167" s="16">
        <f t="shared" si="87"/>
        <v>1.5312177058215113</v>
      </c>
      <c r="R167" s="16">
        <f t="shared" si="88"/>
        <v>32.506998421615926</v>
      </c>
      <c r="S167" s="16">
        <f t="shared" si="89"/>
        <v>11.703574821565692</v>
      </c>
      <c r="T167" s="16">
        <f t="shared" si="90"/>
        <v>17.848095109685989</v>
      </c>
      <c r="U167" s="16">
        <f t="shared" si="91"/>
        <v>24.414706234538855</v>
      </c>
      <c r="V167" s="16">
        <f t="shared" si="92"/>
        <v>13.743033234458212</v>
      </c>
      <c r="W167" s="16">
        <f t="shared" si="93"/>
        <v>2.5104128200728333</v>
      </c>
      <c r="X167" s="16">
        <f t="shared" si="94"/>
        <v>4.4287627126879743</v>
      </c>
      <c r="Y167" s="16">
        <f t="shared" si="95"/>
        <v>4.1815379210945256</v>
      </c>
      <c r="Z167">
        <v>0.83</v>
      </c>
      <c r="AB167">
        <f t="shared" si="96"/>
        <v>3.6758730515310183</v>
      </c>
      <c r="AC167" s="65">
        <v>54</v>
      </c>
      <c r="AD167">
        <f t="shared" ref="AD167" si="110">(125+0.1*AC167*30)/30</f>
        <v>9.5666666666666664</v>
      </c>
      <c r="AE167">
        <v>0</v>
      </c>
      <c r="AF167">
        <v>0</v>
      </c>
      <c r="AH167">
        <f t="shared" si="107"/>
        <v>134.54847964280773</v>
      </c>
      <c r="AN167">
        <f t="shared" si="97"/>
        <v>157</v>
      </c>
    </row>
    <row r="168" spans="1:40" ht="15.6">
      <c r="A168" s="1">
        <v>44474</v>
      </c>
      <c r="B168">
        <f t="shared" si="98"/>
        <v>278</v>
      </c>
      <c r="C168">
        <f t="shared" si="79"/>
        <v>28.05</v>
      </c>
      <c r="D168" s="49">
        <v>33.6</v>
      </c>
      <c r="E168" s="48">
        <v>22.5</v>
      </c>
      <c r="F168" s="51">
        <v>79</v>
      </c>
      <c r="G168" s="51">
        <v>3</v>
      </c>
      <c r="H168" s="52">
        <v>8</v>
      </c>
      <c r="I168" s="16">
        <f>4098*(0.6108*EXP(17.27*Tomato!C152/(Tomato!C152+237.3)))/(Tomato!C152+237.3)^2</f>
        <v>4.4450382862832649E-2</v>
      </c>
      <c r="J168" s="16">
        <f t="shared" si="80"/>
        <v>0.18051758286283265</v>
      </c>
      <c r="K168" s="16">
        <f t="shared" si="81"/>
        <v>5.2019304560289008</v>
      </c>
      <c r="L168" s="16">
        <f t="shared" si="82"/>
        <v>2.7255876066054592</v>
      </c>
      <c r="M168" s="16">
        <f t="shared" si="83"/>
        <v>3.96375903131718</v>
      </c>
      <c r="N168" s="16">
        <f t="shared" si="84"/>
        <v>3.1313696347405724</v>
      </c>
      <c r="O168" s="16">
        <f t="shared" si="85"/>
        <v>-0.10179466816754754</v>
      </c>
      <c r="P168" s="16">
        <f t="shared" si="86"/>
        <v>1.0023322861336406</v>
      </c>
      <c r="Q168" s="16">
        <f t="shared" si="87"/>
        <v>1.5283502431221969</v>
      </c>
      <c r="R168" s="16">
        <f t="shared" si="88"/>
        <v>32.351693338387811</v>
      </c>
      <c r="S168" s="16">
        <f t="shared" si="89"/>
        <v>11.681657909214245</v>
      </c>
      <c r="T168" s="16">
        <f t="shared" si="90"/>
        <v>19.165697941528212</v>
      </c>
      <c r="U168" s="16">
        <f t="shared" si="91"/>
        <v>24.298062798729546</v>
      </c>
      <c r="V168" s="16">
        <f t="shared" si="92"/>
        <v>14.757587414976724</v>
      </c>
      <c r="W168" s="16">
        <f t="shared" si="93"/>
        <v>2.6671757245206908</v>
      </c>
      <c r="X168" s="16">
        <f t="shared" si="94"/>
        <v>4.0003663810103358</v>
      </c>
      <c r="Y168" s="16">
        <f t="shared" si="95"/>
        <v>4.6375205357709932</v>
      </c>
      <c r="Z168">
        <v>0.83</v>
      </c>
      <c r="AB168">
        <f t="shared" si="96"/>
        <v>3.3203040962385786</v>
      </c>
      <c r="AC168" s="65">
        <v>0</v>
      </c>
      <c r="AD168">
        <f t="shared" si="109"/>
        <v>0</v>
      </c>
      <c r="AE168">
        <v>0</v>
      </c>
      <c r="AF168">
        <v>0</v>
      </c>
      <c r="AH168">
        <f t="shared" si="107"/>
        <v>131.22817554656916</v>
      </c>
      <c r="AN168">
        <f t="shared" si="97"/>
        <v>158</v>
      </c>
    </row>
    <row r="169" spans="1:40" ht="15.6">
      <c r="A169" s="1">
        <v>44475</v>
      </c>
      <c r="B169">
        <f t="shared" si="98"/>
        <v>279</v>
      </c>
      <c r="C169">
        <f t="shared" si="79"/>
        <v>29</v>
      </c>
      <c r="D169" s="49">
        <v>33.6</v>
      </c>
      <c r="E169" s="48">
        <v>24.4</v>
      </c>
      <c r="F169" s="51">
        <v>77</v>
      </c>
      <c r="G169" s="51">
        <v>4</v>
      </c>
      <c r="H169" s="52">
        <v>6.9</v>
      </c>
      <c r="I169" s="16">
        <f>4098*(0.6108*EXP(17.27*Tomato!C153/(Tomato!C153+237.3)))/(Tomato!C153+237.3)^2</f>
        <v>4.4450382862832649E-2</v>
      </c>
      <c r="J169" s="16">
        <f t="shared" si="80"/>
        <v>0.20341998286283267</v>
      </c>
      <c r="K169" s="16">
        <f t="shared" si="81"/>
        <v>5.2019304560289008</v>
      </c>
      <c r="L169" s="16">
        <f t="shared" si="82"/>
        <v>3.0563126530167612</v>
      </c>
      <c r="M169" s="16">
        <f t="shared" si="83"/>
        <v>4.1291215545228308</v>
      </c>
      <c r="N169" s="16">
        <f t="shared" si="84"/>
        <v>3.1794235969825797</v>
      </c>
      <c r="O169" s="16">
        <f t="shared" si="85"/>
        <v>-0.1085948689351604</v>
      </c>
      <c r="P169" s="16">
        <f t="shared" si="86"/>
        <v>1.0028982740009584</v>
      </c>
      <c r="Q169" s="16">
        <f t="shared" si="87"/>
        <v>1.5254911058847138</v>
      </c>
      <c r="R169" s="16">
        <f t="shared" si="88"/>
        <v>32.195719384258226</v>
      </c>
      <c r="S169" s="16">
        <f t="shared" si="89"/>
        <v>11.659804630965965</v>
      </c>
      <c r="T169" s="16">
        <f t="shared" si="90"/>
        <v>17.575267155413517</v>
      </c>
      <c r="U169" s="16">
        <f t="shared" si="91"/>
        <v>24.18091700074098</v>
      </c>
      <c r="V169" s="16">
        <f t="shared" si="92"/>
        <v>13.532955709668409</v>
      </c>
      <c r="W169" s="16">
        <f t="shared" si="93"/>
        <v>2.3345215895360747</v>
      </c>
      <c r="X169" s="16">
        <f t="shared" si="94"/>
        <v>4.7471643172746214</v>
      </c>
      <c r="Y169" s="16">
        <f t="shared" si="95"/>
        <v>4.2887022856562167</v>
      </c>
      <c r="Z169">
        <v>0.83</v>
      </c>
      <c r="AB169">
        <f t="shared" si="96"/>
        <v>3.9401463833379355</v>
      </c>
      <c r="AC169" s="65">
        <v>0</v>
      </c>
      <c r="AD169">
        <f t="shared" si="109"/>
        <v>0</v>
      </c>
      <c r="AE169">
        <v>0</v>
      </c>
      <c r="AF169">
        <v>0</v>
      </c>
      <c r="AH169">
        <f t="shared" si="107"/>
        <v>127.28802916323123</v>
      </c>
      <c r="AN169">
        <f t="shared" si="97"/>
        <v>159</v>
      </c>
    </row>
    <row r="170" spans="1:40" ht="15.6">
      <c r="A170" s="1">
        <v>44476</v>
      </c>
      <c r="B170">
        <f t="shared" si="98"/>
        <v>280</v>
      </c>
      <c r="C170">
        <f t="shared" si="79"/>
        <v>28.400000000000002</v>
      </c>
      <c r="D170" s="49">
        <v>32.200000000000003</v>
      </c>
      <c r="E170" s="48">
        <v>24.6</v>
      </c>
      <c r="F170" s="51">
        <v>79</v>
      </c>
      <c r="G170" s="51">
        <v>2</v>
      </c>
      <c r="H170" s="52">
        <v>4.3</v>
      </c>
      <c r="I170" s="16">
        <f>4098*(0.6108*EXP(17.27*Tomato!C154/(Tomato!C154+237.3)))/(Tomato!C154+237.3)^2</f>
        <v>4.4450382862832649E-2</v>
      </c>
      <c r="J170" s="16">
        <f t="shared" si="80"/>
        <v>0.15761518286283266</v>
      </c>
      <c r="K170" s="16">
        <f t="shared" si="81"/>
        <v>4.8087773652629577</v>
      </c>
      <c r="L170" s="16">
        <f t="shared" si="82"/>
        <v>3.0930813295225428</v>
      </c>
      <c r="M170" s="16">
        <f t="shared" si="83"/>
        <v>3.9509293473927505</v>
      </c>
      <c r="N170" s="16">
        <f t="shared" si="84"/>
        <v>3.1212341844402731</v>
      </c>
      <c r="O170" s="16">
        <f t="shared" si="85"/>
        <v>-0.1153629233171303</v>
      </c>
      <c r="P170" s="16">
        <f t="shared" si="86"/>
        <v>1.0034634039176691</v>
      </c>
      <c r="Q170" s="16">
        <f t="shared" si="87"/>
        <v>1.52264090355663</v>
      </c>
      <c r="R170" s="16">
        <f t="shared" si="88"/>
        <v>32.039147750054127</v>
      </c>
      <c r="S170" s="16">
        <f t="shared" si="89"/>
        <v>11.638019645018828</v>
      </c>
      <c r="T170" s="16">
        <f t="shared" si="90"/>
        <v>13.928677759467025</v>
      </c>
      <c r="U170" s="16">
        <f t="shared" si="91"/>
        <v>24.063322309155652</v>
      </c>
      <c r="V170" s="16">
        <f t="shared" si="92"/>
        <v>10.725081874789609</v>
      </c>
      <c r="W170" s="16">
        <f t="shared" si="93"/>
        <v>1.6224742063507913</v>
      </c>
      <c r="X170" s="16">
        <f t="shared" si="94"/>
        <v>3.1650165858995609</v>
      </c>
      <c r="Y170" s="16">
        <f t="shared" si="95"/>
        <v>3.8292853128604385</v>
      </c>
      <c r="Z170">
        <v>0.83</v>
      </c>
      <c r="AB170">
        <f t="shared" si="96"/>
        <v>2.6269637662966354</v>
      </c>
      <c r="AC170" s="65">
        <v>0</v>
      </c>
      <c r="AD170">
        <f t="shared" si="109"/>
        <v>0</v>
      </c>
      <c r="AE170">
        <v>0</v>
      </c>
      <c r="AF170">
        <v>0</v>
      </c>
      <c r="AH170">
        <f t="shared" si="107"/>
        <v>124.66106539693459</v>
      </c>
      <c r="AN170">
        <f t="shared" si="97"/>
        <v>160</v>
      </c>
    </row>
    <row r="171" spans="1:40" ht="15.6">
      <c r="A171" s="1">
        <v>44477</v>
      </c>
      <c r="B171">
        <f t="shared" si="98"/>
        <v>281</v>
      </c>
      <c r="C171">
        <f t="shared" si="79"/>
        <v>28.75</v>
      </c>
      <c r="D171" s="49">
        <v>33</v>
      </c>
      <c r="E171" s="48">
        <v>24.5</v>
      </c>
      <c r="F171" s="51">
        <v>75</v>
      </c>
      <c r="G171" s="51">
        <v>3</v>
      </c>
      <c r="H171" s="52">
        <v>6.7</v>
      </c>
      <c r="I171" s="16">
        <f>4098*(0.6108*EXP(17.27*Tomato!C155/(Tomato!C155+237.3)))/(Tomato!C155+237.3)^2</f>
        <v>4.4450382862832649E-2</v>
      </c>
      <c r="J171" s="16">
        <f t="shared" si="80"/>
        <v>0.18051758286283265</v>
      </c>
      <c r="K171" s="16">
        <f t="shared" si="81"/>
        <v>5.030147795606851</v>
      </c>
      <c r="L171" s="16">
        <f t="shared" si="82"/>
        <v>3.07464905088159</v>
      </c>
      <c r="M171" s="16">
        <f t="shared" si="83"/>
        <v>4.0523984232442203</v>
      </c>
      <c r="N171" s="16">
        <f t="shared" si="84"/>
        <v>3.0392988174331652</v>
      </c>
      <c r="O171" s="16">
        <f t="shared" si="85"/>
        <v>-0.12209682782573868</v>
      </c>
      <c r="P171" s="16">
        <f t="shared" si="86"/>
        <v>1.0040275085933252</v>
      </c>
      <c r="Q171" s="16">
        <f t="shared" si="87"/>
        <v>1.5198002531959465</v>
      </c>
      <c r="R171" s="16">
        <f t="shared" si="88"/>
        <v>31.882050874396889</v>
      </c>
      <c r="S171" s="16">
        <f t="shared" si="89"/>
        <v>11.616307667739719</v>
      </c>
      <c r="T171" s="16">
        <f t="shared" si="90"/>
        <v>17.164903353227746</v>
      </c>
      <c r="U171" s="16">
        <f t="shared" si="91"/>
        <v>23.945333129724524</v>
      </c>
      <c r="V171" s="16">
        <f t="shared" si="92"/>
        <v>13.216975581985364</v>
      </c>
      <c r="W171" s="16">
        <f t="shared" si="93"/>
        <v>2.4167977939704537</v>
      </c>
      <c r="X171" s="16">
        <f t="shared" si="94"/>
        <v>4.4676476173914486</v>
      </c>
      <c r="Y171" s="16">
        <f t="shared" si="95"/>
        <v>4.0603493136826412</v>
      </c>
      <c r="Z171">
        <v>0.83</v>
      </c>
      <c r="AB171">
        <f t="shared" si="96"/>
        <v>3.7081475224349023</v>
      </c>
      <c r="AC171" s="65">
        <v>0</v>
      </c>
      <c r="AD171">
        <f t="shared" si="109"/>
        <v>0</v>
      </c>
      <c r="AE171">
        <v>0</v>
      </c>
      <c r="AF171">
        <v>0</v>
      </c>
      <c r="AH171">
        <f t="shared" si="107"/>
        <v>120.95291787449969</v>
      </c>
      <c r="AN171">
        <f t="shared" si="97"/>
        <v>161</v>
      </c>
    </row>
    <row r="172" spans="1:40" ht="15.6">
      <c r="A172" s="1">
        <v>44478</v>
      </c>
      <c r="B172">
        <f t="shared" si="98"/>
        <v>282</v>
      </c>
      <c r="C172">
        <f t="shared" si="79"/>
        <v>28.55</v>
      </c>
      <c r="D172" s="49">
        <v>33</v>
      </c>
      <c r="E172" s="48">
        <v>24.1</v>
      </c>
      <c r="F172" s="51">
        <v>68</v>
      </c>
      <c r="G172" s="51">
        <v>5</v>
      </c>
      <c r="H172" s="52">
        <v>4</v>
      </c>
      <c r="I172" s="16">
        <f>4098*(0.6108*EXP(17.27*Tomato!C156/(Tomato!C156+237.3)))/(Tomato!C156+237.3)^2</f>
        <v>4.4450382862832649E-2</v>
      </c>
      <c r="J172" s="16">
        <f t="shared" si="80"/>
        <v>0.22632238286283268</v>
      </c>
      <c r="K172" s="16">
        <f>0.6108*EXP(17.27*D172/(D172+237.3))</f>
        <v>5.030147795606851</v>
      </c>
      <c r="L172" s="16">
        <f t="shared" si="82"/>
        <v>3.0018745443431598</v>
      </c>
      <c r="M172" s="16">
        <f t="shared" si="83"/>
        <v>4.0160111699750054</v>
      </c>
      <c r="N172" s="16">
        <f t="shared" si="84"/>
        <v>2.7308875955830039</v>
      </c>
      <c r="O172" s="16">
        <f t="shared" si="85"/>
        <v>-0.12879458908235411</v>
      </c>
      <c r="P172" s="16">
        <f t="shared" si="86"/>
        <v>1.0045904210409717</v>
      </c>
      <c r="Q172" s="16">
        <f t="shared" si="87"/>
        <v>1.5169697798550543</v>
      </c>
      <c r="R172" s="16">
        <f t="shared" si="88"/>
        <v>31.724502378903694</v>
      </c>
      <c r="S172" s="16">
        <f t="shared" si="89"/>
        <v>11.594673476599141</v>
      </c>
      <c r="T172" s="16">
        <f t="shared" si="90"/>
        <v>13.403380150739325</v>
      </c>
      <c r="U172" s="16">
        <f t="shared" si="91"/>
        <v>23.827004756699406</v>
      </c>
      <c r="V172" s="16">
        <f t="shared" si="92"/>
        <v>10.320602716069281</v>
      </c>
      <c r="W172" s="16">
        <f t="shared" si="93"/>
        <v>1.8094954803406411</v>
      </c>
      <c r="X172" s="16">
        <f t="shared" si="94"/>
        <v>6.3898666686097139</v>
      </c>
      <c r="Y172" s="16">
        <f t="shared" si="95"/>
        <v>4.1164946898042292</v>
      </c>
      <c r="Z172">
        <v>0.83</v>
      </c>
      <c r="AB172">
        <f t="shared" si="96"/>
        <v>5.3035893349460626</v>
      </c>
      <c r="AC172" s="65">
        <v>0</v>
      </c>
      <c r="AD172">
        <f t="shared" si="109"/>
        <v>0</v>
      </c>
      <c r="AE172">
        <v>0</v>
      </c>
      <c r="AF172">
        <v>0</v>
      </c>
      <c r="AH172">
        <f t="shared" si="107"/>
        <v>115.64932853955362</v>
      </c>
      <c r="AN172">
        <f t="shared" si="97"/>
        <v>162</v>
      </c>
    </row>
    <row r="173" spans="1:40" ht="15.6">
      <c r="A173" s="1">
        <v>44479</v>
      </c>
      <c r="B173">
        <f t="shared" si="98"/>
        <v>283</v>
      </c>
      <c r="C173">
        <f t="shared" si="79"/>
        <v>29</v>
      </c>
      <c r="D173" s="49">
        <v>33</v>
      </c>
      <c r="E173" s="48">
        <v>25</v>
      </c>
      <c r="F173" s="51">
        <v>69</v>
      </c>
      <c r="G173" s="51">
        <v>2</v>
      </c>
      <c r="H173" s="52">
        <v>6.6</v>
      </c>
      <c r="I173" s="16">
        <f>4098*(0.6108*EXP(17.27*Tomato!C157/(Tomato!C157+237.3)))/(Tomato!C157+237.3)^2</f>
        <v>4.4450382862832649E-2</v>
      </c>
      <c r="J173" s="16">
        <f t="shared" si="80"/>
        <v>0.15761518286283266</v>
      </c>
      <c r="K173" s="16">
        <f t="shared" si="81"/>
        <v>5.030147795606851</v>
      </c>
      <c r="L173" s="16">
        <f t="shared" si="82"/>
        <v>3.1677777175068473</v>
      </c>
      <c r="M173" s="16">
        <f t="shared" si="83"/>
        <v>4.0989627565568494</v>
      </c>
      <c r="N173" s="16">
        <f t="shared" si="84"/>
        <v>2.8282843020242256</v>
      </c>
      <c r="O173" s="16">
        <f t="shared" si="85"/>
        <v>-0.13545422440751473</v>
      </c>
      <c r="P173" s="16">
        <f t="shared" si="86"/>
        <v>1.0051519746265791</v>
      </c>
      <c r="Q173" s="16">
        <f t="shared" si="87"/>
        <v>1.5141501169449387</v>
      </c>
      <c r="R173" s="16">
        <f t="shared" si="88"/>
        <v>31.566577001899155</v>
      </c>
      <c r="S173" s="16">
        <f t="shared" si="89"/>
        <v>11.573121912954946</v>
      </c>
      <c r="T173" s="16">
        <f t="shared" si="90"/>
        <v>16.892647168249269</v>
      </c>
      <c r="U173" s="16">
        <f t="shared" si="91"/>
        <v>23.708393323046376</v>
      </c>
      <c r="V173" s="16">
        <f t="shared" si="92"/>
        <v>13.007338319551938</v>
      </c>
      <c r="W173" s="16">
        <f t="shared" si="93"/>
        <v>2.6175220768633412</v>
      </c>
      <c r="X173" s="16">
        <f t="shared" si="94"/>
        <v>4.4322096609419646</v>
      </c>
      <c r="Y173" s="16">
        <f t="shared" si="95"/>
        <v>3.9210857173661049</v>
      </c>
      <c r="Z173">
        <v>0.83</v>
      </c>
      <c r="AB173">
        <f t="shared" si="96"/>
        <v>3.6787340185818302</v>
      </c>
      <c r="AC173" s="65">
        <v>0</v>
      </c>
      <c r="AD173">
        <f t="shared" si="109"/>
        <v>0</v>
      </c>
      <c r="AE173">
        <v>0</v>
      </c>
      <c r="AF173">
        <v>0</v>
      </c>
      <c r="AH173">
        <f t="shared" si="107"/>
        <v>111.97059452097179</v>
      </c>
      <c r="AN173">
        <f t="shared" si="97"/>
        <v>163</v>
      </c>
    </row>
    <row r="174" spans="1:40" ht="15.6">
      <c r="A174" s="1">
        <v>44480</v>
      </c>
      <c r="B174">
        <f t="shared" si="98"/>
        <v>284</v>
      </c>
      <c r="C174">
        <f t="shared" si="79"/>
        <v>28.35</v>
      </c>
      <c r="D174" s="49">
        <v>32.5</v>
      </c>
      <c r="E174" s="48">
        <v>24.2</v>
      </c>
      <c r="F174" s="51">
        <v>71</v>
      </c>
      <c r="G174" s="51">
        <v>4</v>
      </c>
      <c r="H174" s="52">
        <v>3.9</v>
      </c>
      <c r="I174" s="16">
        <f>4098*(0.6108*EXP(17.27*Tomato!C158/(Tomato!C158+237.3)))/(Tomato!C158+237.3)^2</f>
        <v>4.4450382862832649E-2</v>
      </c>
      <c r="J174" s="16">
        <f t="shared" si="80"/>
        <v>0.20341998286283267</v>
      </c>
      <c r="K174" s="16">
        <f t="shared" si="81"/>
        <v>4.8907789302521092</v>
      </c>
      <c r="L174" s="16">
        <f t="shared" si="82"/>
        <v>3.0199258182559934</v>
      </c>
      <c r="M174" s="16">
        <f t="shared" si="83"/>
        <v>3.9553523742540513</v>
      </c>
      <c r="N174" s="16">
        <f t="shared" si="84"/>
        <v>2.8083001857203764</v>
      </c>
      <c r="O174" s="16">
        <f t="shared" si="85"/>
        <v>-0.14207376240784378</v>
      </c>
      <c r="P174" s="16">
        <f t="shared" si="86"/>
        <v>1.0057120031183695</v>
      </c>
      <c r="Q174" s="16">
        <f t="shared" si="87"/>
        <v>1.5113419065783005</v>
      </c>
      <c r="R174" s="16">
        <f t="shared" si="88"/>
        <v>31.408350530756117</v>
      </c>
      <c r="S174" s="16">
        <f t="shared" si="89"/>
        <v>11.551657884674908</v>
      </c>
      <c r="T174" s="16">
        <f t="shared" si="90"/>
        <v>13.154035123380149</v>
      </c>
      <c r="U174" s="16">
        <f t="shared" si="91"/>
        <v>23.589555749629689</v>
      </c>
      <c r="V174" s="16">
        <f t="shared" si="92"/>
        <v>10.128607045002715</v>
      </c>
      <c r="W174" s="16">
        <f t="shared" si="93"/>
        <v>1.7219930226906659</v>
      </c>
      <c r="X174" s="16">
        <f t="shared" si="94"/>
        <v>5.2870513025328032</v>
      </c>
      <c r="Y174" s="16">
        <f t="shared" si="95"/>
        <v>3.9187168097164071</v>
      </c>
      <c r="Z174">
        <v>0.83</v>
      </c>
      <c r="AB174">
        <f t="shared" si="96"/>
        <v>4.3882525811022264</v>
      </c>
      <c r="AC174" s="65">
        <v>0</v>
      </c>
      <c r="AD174">
        <f t="shared" si="109"/>
        <v>0</v>
      </c>
      <c r="AE174">
        <v>0</v>
      </c>
      <c r="AF174">
        <v>0</v>
      </c>
      <c r="AH174">
        <f t="shared" si="107"/>
        <v>107.58234193986956</v>
      </c>
      <c r="AN174">
        <f t="shared" si="97"/>
        <v>164</v>
      </c>
    </row>
    <row r="175" spans="1:40" ht="15.6">
      <c r="A175" s="1">
        <v>44481</v>
      </c>
      <c r="B175">
        <f t="shared" si="98"/>
        <v>285</v>
      </c>
      <c r="C175">
        <f t="shared" si="79"/>
        <v>29</v>
      </c>
      <c r="D175" s="49">
        <v>33.200000000000003</v>
      </c>
      <c r="E175" s="48">
        <v>24.8</v>
      </c>
      <c r="F175" s="51">
        <v>72</v>
      </c>
      <c r="G175" s="51">
        <v>4</v>
      </c>
      <c r="H175" s="52">
        <v>3.3</v>
      </c>
      <c r="I175" s="16">
        <f>4098*(0.6108*EXP(17.27*Tomato!C159/(Tomato!C159+237.3)))/(Tomato!C159+237.3)^2</f>
        <v>4.4450382862832649E-2</v>
      </c>
      <c r="J175" s="16">
        <f t="shared" si="80"/>
        <v>0.20341998286283267</v>
      </c>
      <c r="K175" s="16">
        <f t="shared" si="81"/>
        <v>5.0868531413725142</v>
      </c>
      <c r="L175" s="16">
        <f t="shared" si="82"/>
        <v>3.1302352193130303</v>
      </c>
      <c r="M175" s="16">
        <f t="shared" si="83"/>
        <v>4.108544180342772</v>
      </c>
      <c r="N175" s="16">
        <f t="shared" si="84"/>
        <v>2.9581518098467958</v>
      </c>
      <c r="O175" s="16">
        <f t="shared" si="85"/>
        <v>-0.14865124355962256</v>
      </c>
      <c r="P175" s="16">
        <f t="shared" si="86"/>
        <v>1.0062703407360252</v>
      </c>
      <c r="Q175" s="16">
        <f t="shared" si="87"/>
        <v>1.5085457998902561</v>
      </c>
      <c r="R175" s="16">
        <f t="shared" si="88"/>
        <v>31.249899732986641</v>
      </c>
      <c r="S175" s="16">
        <f t="shared" si="89"/>
        <v>11.530286368587944</v>
      </c>
      <c r="T175" s="16">
        <f t="shared" si="90"/>
        <v>12.284379004935605</v>
      </c>
      <c r="U175" s="16">
        <f t="shared" si="91"/>
        <v>23.470549693456945</v>
      </c>
      <c r="V175" s="16">
        <f t="shared" si="92"/>
        <v>9.4589718338004154</v>
      </c>
      <c r="W175" s="16">
        <f t="shared" si="93"/>
        <v>1.4475398755727165</v>
      </c>
      <c r="X175" s="16">
        <f t="shared" si="94"/>
        <v>5.2552376756328831</v>
      </c>
      <c r="Y175" s="16">
        <f t="shared" si="95"/>
        <v>3.9776093096704352</v>
      </c>
      <c r="Z175">
        <v>0.83</v>
      </c>
      <c r="AB175">
        <f t="shared" si="96"/>
        <v>4.3618472707752929</v>
      </c>
      <c r="AC175" s="64">
        <v>0</v>
      </c>
      <c r="AD175">
        <f t="shared" si="109"/>
        <v>0</v>
      </c>
      <c r="AE175">
        <v>0</v>
      </c>
      <c r="AF175">
        <v>0</v>
      </c>
      <c r="AH175">
        <f t="shared" si="107"/>
        <v>103.22049466909428</v>
      </c>
      <c r="AN175">
        <f t="shared" si="97"/>
        <v>165</v>
      </c>
    </row>
    <row r="176" spans="1:40" ht="15.6">
      <c r="A176" s="1">
        <v>44482</v>
      </c>
      <c r="B176">
        <f t="shared" si="98"/>
        <v>286</v>
      </c>
      <c r="C176">
        <f t="shared" si="79"/>
        <v>28.8</v>
      </c>
      <c r="D176" s="49">
        <v>33</v>
      </c>
      <c r="E176" s="48">
        <v>24.6</v>
      </c>
      <c r="F176" s="51">
        <v>68</v>
      </c>
      <c r="G176" s="51">
        <v>5</v>
      </c>
      <c r="H176" s="52">
        <v>2.1</v>
      </c>
      <c r="I176" s="16">
        <f>4098*(0.6108*EXP(17.27*Tomato!C160/(Tomato!C160+237.3)))/(Tomato!C160+237.3)^2</f>
        <v>4.4450382862832649E-2</v>
      </c>
      <c r="J176" s="16">
        <f t="shared" si="80"/>
        <v>0.22632238286283268</v>
      </c>
      <c r="K176" s="16">
        <f t="shared" si="81"/>
        <v>5.030147795606851</v>
      </c>
      <c r="L176" s="16">
        <f t="shared" si="82"/>
        <v>3.0930813295225428</v>
      </c>
      <c r="M176" s="16">
        <f t="shared" si="83"/>
        <v>4.0616145625646967</v>
      </c>
      <c r="N176" s="16">
        <f t="shared" si="84"/>
        <v>2.761897902543994</v>
      </c>
      <c r="O176" s="16">
        <f t="shared" si="85"/>
        <v>-0.15518472078885301</v>
      </c>
      <c r="P176" s="16">
        <f t="shared" si="86"/>
        <v>1.0068268221997634</v>
      </c>
      <c r="Q176" s="16">
        <f t="shared" si="87"/>
        <v>1.5057624573352588</v>
      </c>
      <c r="R176" s="16">
        <f t="shared" si="88"/>
        <v>31.091302286205391</v>
      </c>
      <c r="S176" s="16">
        <f t="shared" si="89"/>
        <v>11.50901241275357</v>
      </c>
      <c r="T176" s="16">
        <f t="shared" si="90"/>
        <v>10.60937368095642</v>
      </c>
      <c r="U176" s="16">
        <f t="shared" si="91"/>
        <v>23.351433495077419</v>
      </c>
      <c r="V176" s="16">
        <f t="shared" si="92"/>
        <v>8.1692177343364438</v>
      </c>
      <c r="W176" s="16">
        <f t="shared" si="93"/>
        <v>1.1535597732976171</v>
      </c>
      <c r="X176" s="16">
        <f t="shared" si="94"/>
        <v>6.3300657661458439</v>
      </c>
      <c r="Y176" s="16">
        <f t="shared" si="95"/>
        <v>3.9405103455451722</v>
      </c>
      <c r="Z176">
        <v>0.83</v>
      </c>
      <c r="AB176">
        <f t="shared" si="96"/>
        <v>5.2539545859010506</v>
      </c>
      <c r="AC176" s="64">
        <v>0</v>
      </c>
      <c r="AD176">
        <f t="shared" si="109"/>
        <v>0</v>
      </c>
      <c r="AE176">
        <v>0</v>
      </c>
      <c r="AF176">
        <v>0</v>
      </c>
      <c r="AH176">
        <f t="shared" si="107"/>
        <v>97.966540083193223</v>
      </c>
      <c r="AN176">
        <f t="shared" si="97"/>
        <v>166</v>
      </c>
    </row>
    <row r="177" spans="1:40" ht="15.6">
      <c r="A177" s="1">
        <v>44483</v>
      </c>
      <c r="B177">
        <f t="shared" si="98"/>
        <v>287</v>
      </c>
      <c r="C177">
        <f t="shared" si="79"/>
        <v>28.5</v>
      </c>
      <c r="D177" s="50">
        <v>33</v>
      </c>
      <c r="E177" s="48">
        <v>24</v>
      </c>
      <c r="F177" s="51">
        <v>69</v>
      </c>
      <c r="G177" s="51">
        <v>2</v>
      </c>
      <c r="H177" s="52">
        <v>4.0999999999999996</v>
      </c>
      <c r="I177" s="16">
        <f>4098*(0.6108*EXP(17.27*Tomato!C161/(Tomato!C161+237.3)))/(Tomato!C161+237.3)^2</f>
        <v>4.4450382862832649E-2</v>
      </c>
      <c r="J177" s="16">
        <f t="shared" si="80"/>
        <v>0.15761518286283266</v>
      </c>
      <c r="K177" s="16">
        <f t="shared" si="81"/>
        <v>5.030147795606851</v>
      </c>
      <c r="L177" s="16">
        <f t="shared" si="82"/>
        <v>2.9839174771655594</v>
      </c>
      <c r="M177" s="16">
        <f t="shared" si="83"/>
        <v>4.0070326363862048</v>
      </c>
      <c r="N177" s="16">
        <f t="shared" si="84"/>
        <v>2.7648525191064812</v>
      </c>
      <c r="O177" s="16">
        <f t="shared" si="85"/>
        <v>-0.16167226004763158</v>
      </c>
      <c r="P177" s="16">
        <f t="shared" si="86"/>
        <v>1.0073812827792616</v>
      </c>
      <c r="Q177" s="16">
        <f t="shared" si="87"/>
        <v>1.5029925489588751</v>
      </c>
      <c r="R177" s="16">
        <f t="shared" si="88"/>
        <v>30.932636707088466</v>
      </c>
      <c r="S177" s="16">
        <f t="shared" si="89"/>
        <v>11.487841138539173</v>
      </c>
      <c r="T177" s="16">
        <f t="shared" si="90"/>
        <v>13.253074057628051</v>
      </c>
      <c r="U177" s="16">
        <f t="shared" si="91"/>
        <v>23.232266125225863</v>
      </c>
      <c r="V177" s="16">
        <f t="shared" si="92"/>
        <v>10.2048670243736</v>
      </c>
      <c r="W177" s="16">
        <f t="shared" si="93"/>
        <v>1.8311434392771815</v>
      </c>
      <c r="X177" s="16">
        <f t="shared" si="94"/>
        <v>4.1328862158135991</v>
      </c>
      <c r="Y177" s="16">
        <f t="shared" si="95"/>
        <v>4.0318761751159293</v>
      </c>
      <c r="Z177">
        <v>0.83</v>
      </c>
      <c r="AB177">
        <f t="shared" si="96"/>
        <v>3.4302955591252871</v>
      </c>
      <c r="AC177" s="64">
        <v>1.8</v>
      </c>
      <c r="AD177">
        <f t="shared" si="109"/>
        <v>1.6444799999999999</v>
      </c>
      <c r="AE177">
        <v>0</v>
      </c>
      <c r="AF177">
        <v>0</v>
      </c>
      <c r="AH177">
        <f t="shared" si="107"/>
        <v>96.180724524067941</v>
      </c>
      <c r="AN177">
        <f t="shared" si="97"/>
        <v>167</v>
      </c>
    </row>
    <row r="178" spans="1:40" ht="15.6">
      <c r="A178" s="1">
        <v>44484</v>
      </c>
      <c r="B178">
        <f t="shared" si="98"/>
        <v>288</v>
      </c>
      <c r="C178">
        <f t="shared" si="79"/>
        <v>28.799999999999997</v>
      </c>
      <c r="D178" s="49">
        <v>33.799999999999997</v>
      </c>
      <c r="E178" s="48">
        <v>23.8</v>
      </c>
      <c r="F178" s="51">
        <v>68</v>
      </c>
      <c r="G178" s="51">
        <v>4</v>
      </c>
      <c r="H178" s="52">
        <v>8</v>
      </c>
      <c r="I178" s="16">
        <f>4098*(0.6108*EXP(17.27*Tomato!C162/(Tomato!C162+237.3)))/(Tomato!C162+237.3)^2</f>
        <v>4.4450382862832649E-2</v>
      </c>
      <c r="J178" s="16">
        <f t="shared" si="80"/>
        <v>0.20341998286283267</v>
      </c>
      <c r="K178" s="16">
        <f t="shared" si="81"/>
        <v>5.2603114929926225</v>
      </c>
      <c r="L178" s="16">
        <f t="shared" si="82"/>
        <v>2.9482843050220851</v>
      </c>
      <c r="M178" s="16">
        <f t="shared" si="83"/>
        <v>4.1042978990073538</v>
      </c>
      <c r="N178" s="16">
        <f t="shared" si="84"/>
        <v>2.7909225713250008</v>
      </c>
      <c r="O178" s="16">
        <f t="shared" si="85"/>
        <v>-0.16811194088666911</v>
      </c>
      <c r="P178" s="16">
        <f t="shared" si="86"/>
        <v>1.0079335583424227</v>
      </c>
      <c r="Q178" s="16">
        <f t="shared" si="87"/>
        <v>1.5002367546430397</v>
      </c>
      <c r="R178" s="16">
        <f t="shared" si="88"/>
        <v>30.773982279452206</v>
      </c>
      <c r="S178" s="16">
        <f t="shared" si="89"/>
        <v>11.466777742494571</v>
      </c>
      <c r="T178" s="16">
        <f t="shared" si="90"/>
        <v>18.428501679001222</v>
      </c>
      <c r="U178" s="16">
        <f t="shared" si="91"/>
        <v>23.113107130805371</v>
      </c>
      <c r="V178" s="16">
        <f t="shared" si="92"/>
        <v>14.189946292830941</v>
      </c>
      <c r="W178" s="16">
        <f t="shared" si="93"/>
        <v>3.1471312628175387</v>
      </c>
      <c r="X178" s="16">
        <f t="shared" si="94"/>
        <v>6.172282357982926</v>
      </c>
      <c r="Y178" s="16">
        <f t="shared" si="95"/>
        <v>4.2555687901824317</v>
      </c>
      <c r="Z178">
        <v>0.83</v>
      </c>
      <c r="AB178">
        <f t="shared" si="96"/>
        <v>5.1229943571258287</v>
      </c>
      <c r="AC178" s="64">
        <v>0</v>
      </c>
      <c r="AD178">
        <f t="shared" si="109"/>
        <v>0</v>
      </c>
      <c r="AE178">
        <v>0</v>
      </c>
      <c r="AF178">
        <v>0</v>
      </c>
      <c r="AH178">
        <f t="shared" si="107"/>
        <v>91.057730166942108</v>
      </c>
      <c r="AN178">
        <f t="shared" si="97"/>
        <v>168</v>
      </c>
    </row>
    <row r="179" spans="1:40" ht="15.6">
      <c r="A179" s="1">
        <v>44485</v>
      </c>
      <c r="B179">
        <f t="shared" si="98"/>
        <v>289</v>
      </c>
      <c r="C179">
        <f t="shared" si="79"/>
        <v>27.55</v>
      </c>
      <c r="D179" s="49">
        <v>32.200000000000003</v>
      </c>
      <c r="E179" s="48">
        <v>22.9</v>
      </c>
      <c r="F179" s="51">
        <v>75</v>
      </c>
      <c r="G179" s="51">
        <v>6</v>
      </c>
      <c r="H179" s="52">
        <v>7.2</v>
      </c>
      <c r="I179" s="16">
        <f>4098*(0.6108*EXP(17.27*Tomato!C163/(Tomato!C163+237.3)))/(Tomato!C163+237.3)^2</f>
        <v>4.4450382862832649E-2</v>
      </c>
      <c r="J179" s="16">
        <f t="shared" si="80"/>
        <v>0.24922478286283267</v>
      </c>
      <c r="K179" s="16">
        <f t="shared" si="81"/>
        <v>4.8087773652629577</v>
      </c>
      <c r="L179" s="16">
        <f t="shared" si="82"/>
        <v>2.7924897662121242</v>
      </c>
      <c r="M179" s="16">
        <f t="shared" si="83"/>
        <v>3.8006335657375407</v>
      </c>
      <c r="N179" s="16">
        <f t="shared" si="84"/>
        <v>2.8504751743031553</v>
      </c>
      <c r="O179" s="16">
        <f t="shared" si="85"/>
        <v>-0.17450185702378329</v>
      </c>
      <c r="P179" s="16">
        <f t="shared" si="86"/>
        <v>1.0084834854039604</v>
      </c>
      <c r="Q179" s="16">
        <f t="shared" si="87"/>
        <v>1.4974957643234086</v>
      </c>
      <c r="R179" s="16">
        <f t="shared" si="88"/>
        <v>30.615418981575996</v>
      </c>
      <c r="S179" s="16">
        <f t="shared" si="89"/>
        <v>11.445827498013314</v>
      </c>
      <c r="T179" s="16">
        <f t="shared" si="90"/>
        <v>17.283172359415705</v>
      </c>
      <c r="U179" s="16">
        <f t="shared" si="91"/>
        <v>22.994016580302464</v>
      </c>
      <c r="V179" s="16">
        <f t="shared" si="92"/>
        <v>13.308042716750093</v>
      </c>
      <c r="W179" s="16">
        <f t="shared" si="93"/>
        <v>2.7657148806485798</v>
      </c>
      <c r="X179" s="16">
        <f t="shared" si="94"/>
        <v>5.3812180936900749</v>
      </c>
      <c r="Y179" s="16">
        <f t="shared" si="95"/>
        <v>3.973259880519576</v>
      </c>
      <c r="Z179">
        <v>0.83</v>
      </c>
      <c r="AB179">
        <f t="shared" si="96"/>
        <v>4.4664110177627618</v>
      </c>
      <c r="AC179" s="64">
        <v>7.2</v>
      </c>
      <c r="AD179">
        <f t="shared" si="109"/>
        <v>4.7116799999999994</v>
      </c>
      <c r="AE179">
        <v>0</v>
      </c>
      <c r="AF179">
        <v>0</v>
      </c>
      <c r="AH179">
        <f t="shared" si="107"/>
        <v>91.302999149179342</v>
      </c>
      <c r="AN179">
        <f t="shared" si="97"/>
        <v>169</v>
      </c>
    </row>
    <row r="180" spans="1:40" ht="15.6">
      <c r="A180" s="1">
        <v>44486</v>
      </c>
      <c r="B180">
        <f t="shared" si="98"/>
        <v>290</v>
      </c>
      <c r="C180">
        <f t="shared" si="79"/>
        <v>26.799999999999997</v>
      </c>
      <c r="D180" s="49">
        <v>31.2</v>
      </c>
      <c r="E180" s="48">
        <v>22.4</v>
      </c>
      <c r="F180" s="51">
        <v>72</v>
      </c>
      <c r="G180" s="51">
        <v>3</v>
      </c>
      <c r="H180" s="52">
        <v>0</v>
      </c>
      <c r="I180" s="16">
        <f>4098*(0.6108*EXP(17.27*Tomato!C164/(Tomato!C164+237.3)))/(Tomato!C164+237.3)^2</f>
        <v>4.4450382862832649E-2</v>
      </c>
      <c r="J180" s="16">
        <f t="shared" si="80"/>
        <v>0.18051758286283265</v>
      </c>
      <c r="K180" s="16">
        <f t="shared" si="81"/>
        <v>4.5439995866454055</v>
      </c>
      <c r="L180" s="16">
        <f t="shared" si="82"/>
        <v>2.7090824052161175</v>
      </c>
      <c r="M180" s="16">
        <f t="shared" si="83"/>
        <v>3.6265409959307613</v>
      </c>
      <c r="N180" s="16">
        <f t="shared" si="84"/>
        <v>2.6111095170701479</v>
      </c>
      <c r="O180" s="16">
        <f t="shared" si="85"/>
        <v>-0.18084011690820065</v>
      </c>
      <c r="P180" s="16">
        <f t="shared" si="86"/>
        <v>1.0090309011737946</v>
      </c>
      <c r="Q180" s="16">
        <f t="shared" si="87"/>
        <v>1.4947702781774219</v>
      </c>
      <c r="R180" s="16">
        <f t="shared" si="88"/>
        <v>30.457027412893883</v>
      </c>
      <c r="S180" s="16">
        <f t="shared" si="89"/>
        <v>11.424995756770103</v>
      </c>
      <c r="T180" s="16">
        <f t="shared" si="90"/>
        <v>7.6142568532234707</v>
      </c>
      <c r="U180" s="16">
        <f t="shared" si="91"/>
        <v>22.875055008728079</v>
      </c>
      <c r="V180" s="16">
        <f t="shared" si="92"/>
        <v>5.8629777769820723</v>
      </c>
      <c r="W180" s="16">
        <f t="shared" si="93"/>
        <v>0.44931971878255028</v>
      </c>
      <c r="X180" s="16">
        <f t="shared" si="94"/>
        <v>3.9563272547870638</v>
      </c>
      <c r="Y180" s="16">
        <f t="shared" si="95"/>
        <v>3.7813920611752629</v>
      </c>
      <c r="Z180">
        <v>0.83</v>
      </c>
      <c r="AB180">
        <f t="shared" si="96"/>
        <v>3.2837516214732627</v>
      </c>
      <c r="AC180" s="64">
        <v>26.4</v>
      </c>
      <c r="AD180">
        <f t="shared" ref="AD180:AD184" si="111">(125+0.1*AC180*30)/30</f>
        <v>6.8066666666666666</v>
      </c>
      <c r="AE180">
        <v>0</v>
      </c>
      <c r="AF180">
        <v>0</v>
      </c>
      <c r="AH180">
        <f t="shared" si="107"/>
        <v>94.825914194372757</v>
      </c>
      <c r="AN180">
        <f t="shared" si="97"/>
        <v>170</v>
      </c>
    </row>
    <row r="181" spans="1:40" ht="15.6">
      <c r="A181" s="1">
        <v>44487</v>
      </c>
      <c r="B181">
        <f t="shared" si="98"/>
        <v>291</v>
      </c>
      <c r="C181">
        <f t="shared" si="79"/>
        <v>25.45</v>
      </c>
      <c r="D181" s="49">
        <v>28.5</v>
      </c>
      <c r="E181" s="48">
        <v>22.4</v>
      </c>
      <c r="F181" s="51">
        <v>100</v>
      </c>
      <c r="G181" s="51">
        <v>4</v>
      </c>
      <c r="H181" s="52">
        <v>0</v>
      </c>
      <c r="I181" s="16">
        <f>4098*(0.6108*EXP(17.27*Tomato!C165/(Tomato!C165+237.3)))/(Tomato!C165+237.3)^2</f>
        <v>4.4450382862832649E-2</v>
      </c>
      <c r="J181" s="16">
        <f t="shared" si="80"/>
        <v>0.20341998286283267</v>
      </c>
      <c r="K181" s="16">
        <f t="shared" si="81"/>
        <v>3.891379531185216</v>
      </c>
      <c r="L181" s="16">
        <f t="shared" si="82"/>
        <v>2.7090824052161175</v>
      </c>
      <c r="M181" s="16">
        <f t="shared" si="83"/>
        <v>3.3002309682006667</v>
      </c>
      <c r="N181" s="16">
        <f t="shared" si="84"/>
        <v>3.3002309682006667</v>
      </c>
      <c r="O181" s="16">
        <f t="shared" si="85"/>
        <v>-0.18712484428049428</v>
      </c>
      <c r="P181" s="16">
        <f t="shared" si="86"/>
        <v>1.009575643605241</v>
      </c>
      <c r="Q181" s="16">
        <f t="shared" si="87"/>
        <v>1.4920610067816957</v>
      </c>
      <c r="R181" s="16">
        <f t="shared" si="88"/>
        <v>30.298888720179242</v>
      </c>
      <c r="S181" s="16">
        <f t="shared" si="89"/>
        <v>11.404287949923789</v>
      </c>
      <c r="T181" s="16">
        <f t="shared" si="90"/>
        <v>7.5747221800448106</v>
      </c>
      <c r="U181" s="16">
        <f t="shared" si="91"/>
        <v>22.756283362177822</v>
      </c>
      <c r="V181" s="16">
        <f t="shared" si="92"/>
        <v>5.8325360786345044</v>
      </c>
      <c r="W181" s="16">
        <f t="shared" si="93"/>
        <v>0.33205119915155801</v>
      </c>
      <c r="X181" s="16">
        <f t="shared" si="94"/>
        <v>0.49039160949863597</v>
      </c>
      <c r="Y181" s="16">
        <f t="shared" si="95"/>
        <v>3.0371464118931546</v>
      </c>
      <c r="Z181">
        <v>0.83</v>
      </c>
      <c r="AB181">
        <f t="shared" si="96"/>
        <v>0.40702503588386785</v>
      </c>
      <c r="AC181" s="64">
        <v>77.599999999999994</v>
      </c>
      <c r="AD181">
        <f t="shared" si="111"/>
        <v>11.926666666666666</v>
      </c>
      <c r="AE181">
        <v>0</v>
      </c>
      <c r="AF181">
        <v>0</v>
      </c>
      <c r="AH181">
        <f t="shared" si="107"/>
        <v>106.34555582515556</v>
      </c>
      <c r="AN181">
        <f t="shared" si="97"/>
        <v>171</v>
      </c>
    </row>
    <row r="182" spans="1:40" ht="15.6">
      <c r="A182" s="1">
        <v>44488</v>
      </c>
      <c r="B182">
        <f t="shared" si="98"/>
        <v>292</v>
      </c>
      <c r="C182">
        <f t="shared" si="79"/>
        <v>25.25</v>
      </c>
      <c r="D182" s="49">
        <v>27.8</v>
      </c>
      <c r="E182" s="48">
        <v>22.7</v>
      </c>
      <c r="F182" s="51">
        <v>94</v>
      </c>
      <c r="G182" s="51">
        <v>4</v>
      </c>
      <c r="H182" s="52">
        <v>0</v>
      </c>
      <c r="I182" s="16">
        <f>4098*(0.6108*EXP(17.27*Tomato!C166/(Tomato!C166+237.3)))/(Tomato!C166+237.3)^2</f>
        <v>4.4450382862832649E-2</v>
      </c>
      <c r="J182" s="16">
        <f t="shared" si="80"/>
        <v>0.20341998286283267</v>
      </c>
      <c r="K182" s="16">
        <f t="shared" si="81"/>
        <v>3.7361349407572058</v>
      </c>
      <c r="L182" s="16">
        <f t="shared" si="82"/>
        <v>2.7588616266004506</v>
      </c>
      <c r="M182" s="16">
        <f t="shared" si="83"/>
        <v>3.2474982836788282</v>
      </c>
      <c r="N182" s="16">
        <f t="shared" si="84"/>
        <v>3.0526483866580985</v>
      </c>
      <c r="O182" s="16">
        <f t="shared" si="85"/>
        <v>-0.1933541787279969</v>
      </c>
      <c r="P182" s="16">
        <f t="shared" si="86"/>
        <v>1.0101175514429803</v>
      </c>
      <c r="Q182" s="16">
        <f t="shared" si="87"/>
        <v>1.4893686712373628</v>
      </c>
      <c r="R182" s="16">
        <f t="shared" si="88"/>
        <v>30.141084523346095</v>
      </c>
      <c r="S182" s="16">
        <f t="shared" si="89"/>
        <v>11.383709589075385</v>
      </c>
      <c r="T182" s="16">
        <f t="shared" si="90"/>
        <v>7.5352711308365237</v>
      </c>
      <c r="U182" s="16">
        <f t="shared" si="91"/>
        <v>22.637762942104317</v>
      </c>
      <c r="V182" s="16">
        <f t="shared" si="92"/>
        <v>5.8021587707441231</v>
      </c>
      <c r="W182" s="16">
        <f t="shared" si="93"/>
        <v>0.36869004450571075</v>
      </c>
      <c r="X182" s="16">
        <f t="shared" si="94"/>
        <v>1.2632253548491708</v>
      </c>
      <c r="Y182" s="16">
        <f t="shared" si="95"/>
        <v>2.7498253911161274</v>
      </c>
      <c r="Z182">
        <v>0.83</v>
      </c>
      <c r="AB182">
        <f t="shared" si="96"/>
        <v>1.0484770445248117</v>
      </c>
      <c r="AC182" s="64">
        <v>67</v>
      </c>
      <c r="AD182">
        <f t="shared" si="111"/>
        <v>10.866666666666667</v>
      </c>
      <c r="AE182">
        <v>0</v>
      </c>
      <c r="AF182">
        <v>0</v>
      </c>
      <c r="AH182">
        <f t="shared" si="107"/>
        <v>116.1637454472974</v>
      </c>
      <c r="AN182">
        <f t="shared" si="97"/>
        <v>172</v>
      </c>
    </row>
    <row r="183" spans="1:40" ht="15.6">
      <c r="A183" s="1">
        <v>44489</v>
      </c>
      <c r="B183">
        <f t="shared" si="98"/>
        <v>293</v>
      </c>
      <c r="C183">
        <f t="shared" si="79"/>
        <v>26.95</v>
      </c>
      <c r="D183" s="49">
        <v>31.4</v>
      </c>
      <c r="E183" s="48">
        <v>22.5</v>
      </c>
      <c r="F183" s="51">
        <v>80</v>
      </c>
      <c r="G183" s="51">
        <v>4</v>
      </c>
      <c r="H183" s="52">
        <v>0</v>
      </c>
      <c r="I183" s="16">
        <f>4098*(0.6108*EXP(17.27*Tomato!C167/(Tomato!C167+237.3)))/(Tomato!C167+237.3)^2</f>
        <v>4.4450382862832649E-2</v>
      </c>
      <c r="J183" s="16">
        <f t="shared" si="80"/>
        <v>0.20341998286283267</v>
      </c>
      <c r="K183" s="16">
        <f t="shared" si="81"/>
        <v>4.5959173166475438</v>
      </c>
      <c r="L183" s="16">
        <f t="shared" si="82"/>
        <v>2.7255876066054592</v>
      </c>
      <c r="M183" s="16">
        <f t="shared" si="83"/>
        <v>3.6607524616265015</v>
      </c>
      <c r="N183" s="16">
        <f t="shared" si="84"/>
        <v>2.9286019693012015</v>
      </c>
      <c r="O183" s="16">
        <f t="shared" si="85"/>
        <v>-0.19952627623552238</v>
      </c>
      <c r="P183" s="16">
        <f t="shared" si="86"/>
        <v>1.0106564642707929</v>
      </c>
      <c r="Q183" s="16">
        <f t="shared" si="87"/>
        <v>1.4866940032619931</v>
      </c>
      <c r="R183" s="16">
        <f t="shared" si="88"/>
        <v>29.983696840989904</v>
      </c>
      <c r="S183" s="16">
        <f t="shared" si="89"/>
        <v>11.363266266970648</v>
      </c>
      <c r="T183" s="16">
        <f t="shared" si="90"/>
        <v>7.4959242102474759</v>
      </c>
      <c r="U183" s="16">
        <f t="shared" si="91"/>
        <v>22.519555349393876</v>
      </c>
      <c r="V183" s="16">
        <f t="shared" si="92"/>
        <v>5.7718616418905562</v>
      </c>
      <c r="W183" s="16">
        <f t="shared" si="93"/>
        <v>0.3973665257195933</v>
      </c>
      <c r="X183" s="16">
        <f t="shared" si="94"/>
        <v>3.38895452245555</v>
      </c>
      <c r="Y183" s="16">
        <f t="shared" si="95"/>
        <v>3.7563082166005359</v>
      </c>
      <c r="Z183">
        <v>0.83</v>
      </c>
      <c r="AB183">
        <f t="shared" si="96"/>
        <v>2.8128322536381063</v>
      </c>
      <c r="AC183" s="64">
        <v>0</v>
      </c>
      <c r="AD183">
        <f t="shared" ref="AD183:AD190" si="112">(AC183*30)*(125-0.2*AC183*30)/(125*30)</f>
        <v>0</v>
      </c>
      <c r="AE183">
        <v>0</v>
      </c>
      <c r="AF183">
        <v>0</v>
      </c>
      <c r="AH183">
        <f t="shared" si="107"/>
        <v>113.3509131936593</v>
      </c>
      <c r="AN183">
        <f t="shared" si="97"/>
        <v>173</v>
      </c>
    </row>
    <row r="184" spans="1:40" ht="15.6">
      <c r="A184" s="1">
        <v>44490</v>
      </c>
      <c r="B184">
        <f t="shared" si="98"/>
        <v>294</v>
      </c>
      <c r="C184">
        <f t="shared" si="79"/>
        <v>27</v>
      </c>
      <c r="D184" s="49">
        <v>32</v>
      </c>
      <c r="E184" s="48">
        <v>22</v>
      </c>
      <c r="F184" s="51">
        <v>67</v>
      </c>
      <c r="G184" s="51">
        <v>6</v>
      </c>
      <c r="H184" s="52">
        <v>9.4</v>
      </c>
      <c r="I184" s="16">
        <f>4098*(0.6108*EXP(17.27*Tomato!C168/(Tomato!C168+237.3)))/(Tomato!C168+237.3)^2</f>
        <v>4.4450382862832649E-2</v>
      </c>
      <c r="J184" s="16">
        <f t="shared" si="80"/>
        <v>0.24922478286283267</v>
      </c>
      <c r="K184" s="16">
        <f t="shared" si="81"/>
        <v>4.7547753962618131</v>
      </c>
      <c r="L184" s="16">
        <f t="shared" si="82"/>
        <v>2.6439311922105757</v>
      </c>
      <c r="M184" s="16">
        <f t="shared" si="83"/>
        <v>3.6993532942361944</v>
      </c>
      <c r="N184" s="16">
        <f t="shared" si="84"/>
        <v>2.4785667071382504</v>
      </c>
      <c r="O184" s="16">
        <f t="shared" si="85"/>
        <v>-0.20563930973123382</v>
      </c>
      <c r="P184" s="16">
        <f t="shared" si="86"/>
        <v>1.0111922225590457</v>
      </c>
      <c r="Q184" s="16">
        <f t="shared" si="87"/>
        <v>1.4840377452467406</v>
      </c>
      <c r="R184" s="16">
        <f t="shared" si="88"/>
        <v>29.826808015789346</v>
      </c>
      <c r="S184" s="16">
        <f t="shared" si="89"/>
        <v>11.34296365793687</v>
      </c>
      <c r="T184" s="16">
        <f t="shared" si="90"/>
        <v>19.815552997542763</v>
      </c>
      <c r="U184" s="16">
        <f t="shared" si="91"/>
        <v>22.401722428338743</v>
      </c>
      <c r="V184" s="16">
        <f t="shared" si="92"/>
        <v>15.257975808107927</v>
      </c>
      <c r="W184" s="16">
        <f t="shared" si="93"/>
        <v>4.0245294706449526</v>
      </c>
      <c r="X184" s="16">
        <f t="shared" si="94"/>
        <v>6.7565767173466735</v>
      </c>
      <c r="Y184" s="16">
        <f t="shared" si="95"/>
        <v>3.965270252377465</v>
      </c>
      <c r="Z184">
        <v>0.83</v>
      </c>
      <c r="AB184">
        <f t="shared" si="96"/>
        <v>5.6079586753977386</v>
      </c>
      <c r="AC184" s="64">
        <v>12.6</v>
      </c>
      <c r="AD184">
        <f t="shared" si="111"/>
        <v>5.4266666666666667</v>
      </c>
      <c r="AE184">
        <v>0</v>
      </c>
      <c r="AF184">
        <v>0</v>
      </c>
      <c r="AH184">
        <f t="shared" si="107"/>
        <v>113.16962118492822</v>
      </c>
      <c r="AN184">
        <f t="shared" si="97"/>
        <v>174</v>
      </c>
    </row>
    <row r="185" spans="1:40" ht="15.6">
      <c r="A185" s="1">
        <v>44491</v>
      </c>
      <c r="B185">
        <f t="shared" si="98"/>
        <v>295</v>
      </c>
      <c r="C185">
        <f t="shared" si="79"/>
        <v>27.200000000000003</v>
      </c>
      <c r="D185" s="49">
        <v>32.6</v>
      </c>
      <c r="E185" s="48">
        <v>21.8</v>
      </c>
      <c r="F185" s="51">
        <v>49</v>
      </c>
      <c r="G185" s="51">
        <v>4</v>
      </c>
      <c r="H185" s="52">
        <v>9.5</v>
      </c>
      <c r="I185" s="16">
        <f>4098*(0.6108*EXP(17.27*Tomato!C169/(Tomato!C169+237.3)))/(Tomato!C169+237.3)^2</f>
        <v>4.4450382862832649E-2</v>
      </c>
      <c r="J185" s="16">
        <f t="shared" si="80"/>
        <v>0.20341998286283267</v>
      </c>
      <c r="K185" s="16">
        <f t="shared" si="81"/>
        <v>4.9183812721762612</v>
      </c>
      <c r="L185" s="16">
        <f t="shared" si="82"/>
        <v>2.6118719061836697</v>
      </c>
      <c r="M185" s="16">
        <f t="shared" si="83"/>
        <v>3.7651265891799657</v>
      </c>
      <c r="N185" s="16">
        <f t="shared" si="84"/>
        <v>1.844912028698183</v>
      </c>
      <c r="O185" s="16">
        <f t="shared" si="85"/>
        <v>-0.21169146962749416</v>
      </c>
      <c r="P185" s="16">
        <f t="shared" si="86"/>
        <v>1.0117246677119165</v>
      </c>
      <c r="Q185" s="16">
        <f t="shared" si="87"/>
        <v>1.4814006502773853</v>
      </c>
      <c r="R185" s="16">
        <f t="shared" si="88"/>
        <v>29.670500639889003</v>
      </c>
      <c r="S185" s="16">
        <f t="shared" si="89"/>
        <v>11.32280751804371</v>
      </c>
      <c r="T185" s="16">
        <f t="shared" si="90"/>
        <v>19.864615697865162</v>
      </c>
      <c r="U185" s="16">
        <f t="shared" si="91"/>
        <v>22.284326210595033</v>
      </c>
      <c r="V185" s="16">
        <f t="shared" si="92"/>
        <v>15.295754087356174</v>
      </c>
      <c r="W185" s="16">
        <f t="shared" si="93"/>
        <v>5.1128444424313715</v>
      </c>
      <c r="X185" s="16">
        <f t="shared" si="94"/>
        <v>8.533028565189877</v>
      </c>
      <c r="Y185" s="16">
        <f t="shared" si="95"/>
        <v>4.1175346732308844</v>
      </c>
      <c r="Z185">
        <v>0.83</v>
      </c>
      <c r="AB185">
        <f t="shared" si="96"/>
        <v>7.0824137091075974</v>
      </c>
      <c r="AC185" s="64">
        <v>0</v>
      </c>
      <c r="AD185">
        <f t="shared" si="112"/>
        <v>0</v>
      </c>
      <c r="AE185">
        <v>0</v>
      </c>
      <c r="AF185">
        <v>0</v>
      </c>
      <c r="AH185">
        <f t="shared" si="107"/>
        <v>106.08720747582062</v>
      </c>
      <c r="AN185">
        <f t="shared" si="97"/>
        <v>175</v>
      </c>
    </row>
    <row r="186" spans="1:40" ht="15.6">
      <c r="A186" s="1">
        <v>44492</v>
      </c>
      <c r="B186">
        <f t="shared" si="98"/>
        <v>296</v>
      </c>
      <c r="C186">
        <f t="shared" si="79"/>
        <v>26.55</v>
      </c>
      <c r="D186" s="49">
        <v>31.5</v>
      </c>
      <c r="E186" s="48">
        <v>21.6</v>
      </c>
      <c r="F186" s="51">
        <v>51</v>
      </c>
      <c r="G186" s="51">
        <v>4</v>
      </c>
      <c r="H186" s="52">
        <v>9</v>
      </c>
      <c r="I186" s="16">
        <f>4098*(0.6108*EXP(17.27*Tomato!C170/(Tomato!C170+237.3)))/(Tomato!C170+237.3)^2</f>
        <v>4.4450382862832649E-2</v>
      </c>
      <c r="J186" s="16">
        <f t="shared" si="80"/>
        <v>0.20341998286283267</v>
      </c>
      <c r="K186" s="16">
        <f t="shared" si="81"/>
        <v>4.6220689030255047</v>
      </c>
      <c r="L186" s="16">
        <f t="shared" si="82"/>
        <v>2.5801527260359443</v>
      </c>
      <c r="M186" s="16">
        <f t="shared" si="83"/>
        <v>3.6011108145307245</v>
      </c>
      <c r="N186" s="16">
        <f t="shared" si="84"/>
        <v>1.8365665154106694</v>
      </c>
      <c r="O186" s="16">
        <f t="shared" si="85"/>
        <v>-0.21768096435654458</v>
      </c>
      <c r="P186" s="16">
        <f t="shared" si="86"/>
        <v>1.0122536421143411</v>
      </c>
      <c r="Q186" s="16">
        <f t="shared" si="87"/>
        <v>1.4787834821179624</v>
      </c>
      <c r="R186" s="16">
        <f t="shared" si="88"/>
        <v>29.514857480380801</v>
      </c>
      <c r="S186" s="16">
        <f t="shared" si="89"/>
        <v>11.302803684978057</v>
      </c>
      <c r="T186" s="16">
        <f t="shared" si="90"/>
        <v>19.129503144586021</v>
      </c>
      <c r="U186" s="16">
        <f t="shared" si="91"/>
        <v>22.167428859214802</v>
      </c>
      <c r="V186" s="16">
        <f t="shared" si="92"/>
        <v>14.729717421331237</v>
      </c>
      <c r="W186" s="16">
        <f t="shared" si="93"/>
        <v>4.8529677872580521</v>
      </c>
      <c r="X186" s="16">
        <f t="shared" si="94"/>
        <v>7.9027706001968188</v>
      </c>
      <c r="Y186" s="16">
        <f t="shared" si="95"/>
        <v>3.8649146796143135</v>
      </c>
      <c r="Z186">
        <v>0.83</v>
      </c>
      <c r="AB186">
        <f t="shared" si="96"/>
        <v>6.5592995981633591</v>
      </c>
      <c r="AC186" s="64">
        <v>0</v>
      </c>
      <c r="AD186">
        <f t="shared" si="112"/>
        <v>0</v>
      </c>
      <c r="AE186">
        <v>0</v>
      </c>
      <c r="AF186">
        <v>0</v>
      </c>
      <c r="AH186">
        <f t="shared" si="107"/>
        <v>99.527907877657256</v>
      </c>
      <c r="AN186">
        <f t="shared" si="97"/>
        <v>176</v>
      </c>
    </row>
    <row r="187" spans="1:40" ht="15.6">
      <c r="A187" s="1">
        <v>44493</v>
      </c>
      <c r="B187">
        <f t="shared" si="98"/>
        <v>297</v>
      </c>
      <c r="C187">
        <f t="shared" si="79"/>
        <v>25.8</v>
      </c>
      <c r="D187" s="49">
        <v>31.6</v>
      </c>
      <c r="E187" s="48">
        <v>20</v>
      </c>
      <c r="F187" s="51">
        <v>59</v>
      </c>
      <c r="G187" s="51">
        <v>5</v>
      </c>
      <c r="H187" s="52">
        <v>3.8</v>
      </c>
      <c r="I187" s="16">
        <f>4098*(0.6108*EXP(17.27*Tomato!C171/(Tomato!C171+237.3)))/(Tomato!C171+237.3)^2</f>
        <v>4.4450382862832649E-2</v>
      </c>
      <c r="J187" s="16">
        <f t="shared" si="80"/>
        <v>0.22632238286283268</v>
      </c>
      <c r="K187" s="16">
        <f t="shared" si="81"/>
        <v>4.6483496796026218</v>
      </c>
      <c r="L187" s="16">
        <f t="shared" si="82"/>
        <v>2.3382812709274461</v>
      </c>
      <c r="M187" s="16">
        <f t="shared" si="83"/>
        <v>3.4933154752650339</v>
      </c>
      <c r="N187" s="16">
        <f t="shared" si="84"/>
        <v>2.0610561304063699</v>
      </c>
      <c r="O187" s="16">
        <f t="shared" si="85"/>
        <v>-0.22360602090084508</v>
      </c>
      <c r="P187" s="16">
        <f t="shared" si="86"/>
        <v>1.0127789891786714</v>
      </c>
      <c r="Q187" s="16">
        <f t="shared" si="87"/>
        <v>1.4761870151557095</v>
      </c>
      <c r="R187" s="16">
        <f t="shared" si="88"/>
        <v>29.359961405000409</v>
      </c>
      <c r="S187" s="16">
        <f t="shared" si="89"/>
        <v>11.282958077623258</v>
      </c>
      <c r="T187" s="16">
        <f t="shared" si="90"/>
        <v>12.284077379290499</v>
      </c>
      <c r="U187" s="16">
        <f t="shared" si="91"/>
        <v>22.051092612839604</v>
      </c>
      <c r="V187" s="16">
        <f t="shared" si="92"/>
        <v>9.4587395820536848</v>
      </c>
      <c r="W187" s="16">
        <f t="shared" si="93"/>
        <v>2.1939224530976915</v>
      </c>
      <c r="X187" s="16">
        <f t="shared" si="94"/>
        <v>7.002045671231186</v>
      </c>
      <c r="Y187" s="16">
        <f t="shared" si="95"/>
        <v>4.091277743493456</v>
      </c>
      <c r="Z187">
        <v>0.83</v>
      </c>
      <c r="AB187">
        <f t="shared" si="96"/>
        <v>5.8116979071218839</v>
      </c>
      <c r="AC187" s="64">
        <v>0</v>
      </c>
      <c r="AD187">
        <f t="shared" si="112"/>
        <v>0</v>
      </c>
      <c r="AE187">
        <v>0</v>
      </c>
      <c r="AF187">
        <v>0</v>
      </c>
      <c r="AH187">
        <f t="shared" si="107"/>
        <v>93.716209970535374</v>
      </c>
      <c r="AN187">
        <f t="shared" si="97"/>
        <v>177</v>
      </c>
    </row>
    <row r="188" spans="1:40" ht="15.6">
      <c r="A188" s="1">
        <v>44494</v>
      </c>
      <c r="B188">
        <f t="shared" si="98"/>
        <v>298</v>
      </c>
      <c r="C188">
        <f t="shared" si="79"/>
        <v>25.5</v>
      </c>
      <c r="D188" s="49">
        <v>31.2</v>
      </c>
      <c r="E188" s="48">
        <v>19.8</v>
      </c>
      <c r="F188" s="51">
        <v>75</v>
      </c>
      <c r="G188" s="51">
        <v>4</v>
      </c>
      <c r="H188" s="52">
        <v>3</v>
      </c>
      <c r="I188" s="16">
        <f>4098*(0.6108*EXP(17.27*Tomato!C172/(Tomato!C172+237.3)))/(Tomato!C172+237.3)^2</f>
        <v>4.4450382862832649E-2</v>
      </c>
      <c r="J188" s="16">
        <f t="shared" si="80"/>
        <v>0.20341998286283267</v>
      </c>
      <c r="K188" s="16">
        <f t="shared" si="81"/>
        <v>4.5439995866454055</v>
      </c>
      <c r="L188" s="16">
        <f t="shared" si="82"/>
        <v>2.3094882494907831</v>
      </c>
      <c r="M188" s="16">
        <f t="shared" si="83"/>
        <v>3.4267439180680945</v>
      </c>
      <c r="N188" s="16">
        <f t="shared" si="84"/>
        <v>2.5700579385510709</v>
      </c>
      <c r="O188" s="16">
        <f t="shared" si="85"/>
        <v>-0.22946488531792586</v>
      </c>
      <c r="P188" s="16">
        <f t="shared" si="86"/>
        <v>1.0133005533910282</v>
      </c>
      <c r="Q188" s="16">
        <f t="shared" si="87"/>
        <v>1.4736120343061003</v>
      </c>
      <c r="R188" s="16">
        <f t="shared" si="88"/>
        <v>29.205895308151636</v>
      </c>
      <c r="S188" s="16">
        <f t="shared" si="89"/>
        <v>11.263276695333252</v>
      </c>
      <c r="T188" s="16">
        <f t="shared" si="90"/>
        <v>11.191002970930725</v>
      </c>
      <c r="U188" s="16">
        <f t="shared" si="91"/>
        <v>21.935379730140365</v>
      </c>
      <c r="V188" s="16">
        <f t="shared" si="92"/>
        <v>8.6170722876166579</v>
      </c>
      <c r="W188" s="16">
        <f t="shared" si="93"/>
        <v>1.5303773035007873</v>
      </c>
      <c r="X188" s="16">
        <f t="shared" si="94"/>
        <v>4.0530863923599911</v>
      </c>
      <c r="Y188" s="16">
        <f t="shared" si="95"/>
        <v>4.0068108878500297</v>
      </c>
      <c r="Z188">
        <v>0.83</v>
      </c>
      <c r="AB188">
        <f t="shared" si="96"/>
        <v>3.3640617056587923</v>
      </c>
      <c r="AC188" s="64">
        <v>0</v>
      </c>
      <c r="AD188">
        <f t="shared" si="112"/>
        <v>0</v>
      </c>
      <c r="AE188">
        <v>0</v>
      </c>
      <c r="AF188">
        <v>0</v>
      </c>
      <c r="AH188">
        <f t="shared" si="107"/>
        <v>90.352148264876575</v>
      </c>
      <c r="AN188">
        <f t="shared" si="97"/>
        <v>178</v>
      </c>
    </row>
    <row r="189" spans="1:40" ht="15.6">
      <c r="A189" s="1">
        <v>44495</v>
      </c>
      <c r="B189">
        <f t="shared" si="98"/>
        <v>299</v>
      </c>
      <c r="C189">
        <f t="shared" si="79"/>
        <v>25.25</v>
      </c>
      <c r="D189" s="49">
        <v>31</v>
      </c>
      <c r="E189" s="48">
        <v>19.5</v>
      </c>
      <c r="F189" s="51">
        <v>75</v>
      </c>
      <c r="G189" s="51">
        <v>7</v>
      </c>
      <c r="H189" s="52">
        <v>5.5</v>
      </c>
      <c r="I189" s="16">
        <f>4098*(0.6108*EXP(17.27*Tomato!C173/(Tomato!C173+237.3)))/(Tomato!C173+237.3)^2</f>
        <v>4.4450382862832649E-2</v>
      </c>
      <c r="J189" s="16">
        <f t="shared" si="80"/>
        <v>0.27212718286283266</v>
      </c>
      <c r="K189" s="16">
        <f t="shared" si="81"/>
        <v>4.492592251118583</v>
      </c>
      <c r="L189" s="16">
        <f t="shared" si="82"/>
        <v>2.2668801009804516</v>
      </c>
      <c r="M189" s="16">
        <f t="shared" si="83"/>
        <v>3.3797361760495175</v>
      </c>
      <c r="N189" s="16">
        <f t="shared" si="84"/>
        <v>2.5348021320371381</v>
      </c>
      <c r="O189" s="16">
        <f t="shared" si="85"/>
        <v>-0.23525582325959146</v>
      </c>
      <c r="P189" s="16">
        <f t="shared" si="86"/>
        <v>1.0138181803573367</v>
      </c>
      <c r="Q189" s="16">
        <f t="shared" si="87"/>
        <v>1.4710593348767804</v>
      </c>
      <c r="R189" s="16">
        <f t="shared" si="88"/>
        <v>29.052742037369377</v>
      </c>
      <c r="S189" s="16">
        <f t="shared" si="89"/>
        <v>11.24376561689259</v>
      </c>
      <c r="T189" s="16">
        <f t="shared" si="90"/>
        <v>14.368904654068359</v>
      </c>
      <c r="U189" s="16">
        <f t="shared" si="91"/>
        <v>21.820352434586642</v>
      </c>
      <c r="V189" s="16">
        <f t="shared" si="92"/>
        <v>11.064056583632636</v>
      </c>
      <c r="W189" s="16">
        <f t="shared" si="93"/>
        <v>2.459441542264964</v>
      </c>
      <c r="X189" s="16">
        <f t="shared" si="94"/>
        <v>4.991320802255923</v>
      </c>
      <c r="Y189" s="16">
        <f t="shared" si="95"/>
        <v>3.9801295023570877</v>
      </c>
      <c r="Z189">
        <v>0.83</v>
      </c>
      <c r="AB189">
        <f t="shared" si="96"/>
        <v>4.1427962658724162</v>
      </c>
      <c r="AC189" s="65">
        <v>0</v>
      </c>
      <c r="AD189">
        <f t="shared" si="112"/>
        <v>0</v>
      </c>
      <c r="AE189">
        <v>0</v>
      </c>
      <c r="AF189">
        <v>0</v>
      </c>
      <c r="AH189">
        <f t="shared" si="107"/>
        <v>86.209351999004156</v>
      </c>
      <c r="AN189">
        <f t="shared" si="97"/>
        <v>179</v>
      </c>
    </row>
    <row r="190" spans="1:40" ht="15.6">
      <c r="A190" s="1">
        <v>44496</v>
      </c>
      <c r="B190">
        <f t="shared" si="98"/>
        <v>300</v>
      </c>
      <c r="C190">
        <f t="shared" si="79"/>
        <v>26.35</v>
      </c>
      <c r="D190" s="49">
        <v>30.8</v>
      </c>
      <c r="E190" s="48">
        <v>21.9</v>
      </c>
      <c r="F190" s="51">
        <v>81</v>
      </c>
      <c r="G190" s="51">
        <v>5</v>
      </c>
      <c r="H190" s="52">
        <v>3.9</v>
      </c>
      <c r="I190" s="16">
        <f>4098*(0.6108*EXP(17.27*Tomato!C174/(Tomato!C174+237.3)))/(Tomato!C174+237.3)^2</f>
        <v>4.4450382862832649E-2</v>
      </c>
      <c r="J190" s="16">
        <f t="shared" si="80"/>
        <v>0.22632238286283268</v>
      </c>
      <c r="K190" s="16">
        <f t="shared" si="81"/>
        <v>4.4416910990407947</v>
      </c>
      <c r="L190" s="16">
        <f t="shared" si="82"/>
        <v>2.6278588442730206</v>
      </c>
      <c r="M190" s="16">
        <f t="shared" si="83"/>
        <v>3.5347749716569075</v>
      </c>
      <c r="N190" s="16">
        <f t="shared" si="84"/>
        <v>2.8631677270420952</v>
      </c>
      <c r="O190" s="16">
        <f t="shared" si="85"/>
        <v>-0.24097712048532449</v>
      </c>
      <c r="P190" s="16">
        <f t="shared" si="86"/>
        <v>1.0143317168490309</v>
      </c>
      <c r="Q190" s="16">
        <f t="shared" si="87"/>
        <v>1.4685297223892826</v>
      </c>
      <c r="R190" s="16">
        <f t="shared" si="88"/>
        <v>28.900584320328822</v>
      </c>
      <c r="S190" s="16">
        <f t="shared" si="89"/>
        <v>11.224430999153752</v>
      </c>
      <c r="T190" s="16">
        <f t="shared" si="90"/>
        <v>12.245992074760251</v>
      </c>
      <c r="U190" s="16">
        <f t="shared" si="91"/>
        <v>21.706072859626165</v>
      </c>
      <c r="V190" s="16">
        <f t="shared" si="92"/>
        <v>9.4294138975653929</v>
      </c>
      <c r="W190" s="16">
        <f t="shared" si="93"/>
        <v>1.6768089523606482</v>
      </c>
      <c r="X190" s="16">
        <f t="shared" si="94"/>
        <v>3.6260876098540664</v>
      </c>
      <c r="Y190" s="16">
        <f t="shared" si="95"/>
        <v>3.572073067401266</v>
      </c>
      <c r="Z190">
        <v>0.83</v>
      </c>
      <c r="AB190">
        <f t="shared" si="96"/>
        <v>3.0096527161788749</v>
      </c>
      <c r="AC190" s="65">
        <v>0</v>
      </c>
      <c r="AD190">
        <f t="shared" si="112"/>
        <v>0</v>
      </c>
      <c r="AE190">
        <v>0</v>
      </c>
      <c r="AF190">
        <v>0</v>
      </c>
      <c r="AH190">
        <f t="shared" si="107"/>
        <v>83.199699282825279</v>
      </c>
      <c r="AN190">
        <f t="shared" si="97"/>
        <v>180</v>
      </c>
    </row>
    <row r="191" spans="1:40" ht="15.6">
      <c r="AC191" s="65"/>
      <c r="AD191" s="70"/>
    </row>
    <row r="192" spans="1:40" ht="15.6">
      <c r="AC192" s="65"/>
      <c r="AD192" s="70"/>
    </row>
    <row r="193" spans="29:30" ht="15.6">
      <c r="AC193" s="65"/>
      <c r="AD193" s="70"/>
    </row>
    <row r="194" spans="29:30" ht="15.6">
      <c r="AC194" s="65"/>
      <c r="AD194" s="70"/>
    </row>
  </sheetData>
  <mergeCells count="2">
    <mergeCell ref="B8:H8"/>
    <mergeCell ref="I8:Y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2:M58"/>
  <sheetViews>
    <sheetView topLeftCell="A37" workbookViewId="0">
      <selection activeCell="K59" sqref="K59"/>
    </sheetView>
  </sheetViews>
  <sheetFormatPr defaultRowHeight="14.4"/>
  <sheetData>
    <row r="2" spans="13:13">
      <c r="M2" t="s">
        <v>42</v>
      </c>
    </row>
    <row r="3" spans="13:13">
      <c r="M3" t="s">
        <v>43</v>
      </c>
    </row>
    <row r="4" spans="13:13">
      <c r="M4" t="s">
        <v>44</v>
      </c>
    </row>
    <row r="56" spans="10:11">
      <c r="J56">
        <f>TAN(22.57*3.14/180)</f>
        <v>0.41541145184010475</v>
      </c>
    </row>
    <row r="58" spans="10:11">
      <c r="J58">
        <f>TAN(-0.401)</f>
        <v>-0.42397247181726216</v>
      </c>
      <c r="K58">
        <f>ACOS(-J56*J58)</f>
        <v>1.3937498211003676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Tomato</vt:lpstr>
      <vt:lpstr>cotton</vt:lpstr>
      <vt:lpstr>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High-Tech</dc:creator>
  <cp:lastModifiedBy>High-Tech</cp:lastModifiedBy>
  <dcterms:created xsi:type="dcterms:W3CDTF">2022-10-30T17:18:42Z</dcterms:created>
  <dcterms:modified xsi:type="dcterms:W3CDTF">2023-05-11T13:45:16Z</dcterms:modified>
</cp:coreProperties>
</file>