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35" yWindow="135" windowWidth="11595" windowHeight="5985" activeTab="2"/>
  </bookViews>
  <sheets>
    <sheet name="Enunciado - Balance y CR 5años" sheetId="1" r:id="rId1"/>
    <sheet name="Balance" sheetId="2" r:id="rId2"/>
    <sheet name="Inversion" sheetId="4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C20" i="4"/>
  <c r="C11"/>
  <c r="H25" s="1"/>
  <c r="B11"/>
  <c r="C10"/>
  <c r="H24" s="1"/>
  <c r="B10"/>
  <c r="C9"/>
  <c r="H23" s="1"/>
  <c r="B9"/>
  <c r="C8"/>
  <c r="B8"/>
  <c r="B7"/>
  <c r="C6"/>
  <c r="H22" s="1"/>
  <c r="B6"/>
  <c r="B5"/>
  <c r="B14" s="1"/>
  <c r="C4"/>
  <c r="B4"/>
  <c r="C3"/>
  <c r="B3"/>
  <c r="B2"/>
  <c r="B4" i="2"/>
  <c r="E8"/>
  <c r="E6"/>
  <c r="G6"/>
  <c r="G5"/>
  <c r="B19"/>
  <c r="B17"/>
  <c r="D10" i="1"/>
  <c r="D13"/>
  <c r="D12"/>
  <c r="D11"/>
  <c r="D8"/>
  <c r="B7" i="2"/>
  <c r="B20"/>
  <c r="C27" i="4" l="1"/>
  <c r="D22"/>
  <c r="D24"/>
  <c r="E22"/>
  <c r="G22"/>
  <c r="E23"/>
  <c r="G23"/>
  <c r="E24"/>
  <c r="G24"/>
  <c r="E25"/>
  <c r="G25"/>
  <c r="D23"/>
  <c r="D25"/>
  <c r="F22"/>
  <c r="F23"/>
  <c r="F24"/>
  <c r="F25"/>
  <c r="G7" i="2"/>
  <c r="B22" i="3"/>
  <c r="H17"/>
  <c r="C17"/>
  <c r="B17"/>
  <c r="H16"/>
  <c r="C16"/>
  <c r="D16"/>
  <c r="D17" s="1"/>
  <c r="E16"/>
  <c r="E17" s="1"/>
  <c r="F16"/>
  <c r="F17" s="1"/>
  <c r="G16"/>
  <c r="G17" s="1"/>
  <c r="B16"/>
  <c r="C8"/>
  <c r="C7" s="1"/>
  <c r="C6" s="1"/>
  <c r="C5" s="1"/>
  <c r="C4" s="1"/>
  <c r="C9"/>
  <c r="B5"/>
  <c r="B6" s="1"/>
  <c r="B7" s="1"/>
  <c r="B8" s="1"/>
  <c r="B9" s="1"/>
  <c r="B21" l="1"/>
  <c r="B6" i="2" l="1"/>
  <c r="B18"/>
  <c r="B15" s="1"/>
  <c r="B2"/>
  <c r="E5"/>
  <c r="E2"/>
  <c r="C21" i="1"/>
  <c r="C28"/>
  <c r="C27"/>
  <c r="C26"/>
  <c r="C29" s="1"/>
  <c r="C16"/>
  <c r="C19"/>
  <c r="C18"/>
  <c r="D18" s="1"/>
  <c r="C17"/>
  <c r="D17" s="1"/>
  <c r="E11" i="2" l="1"/>
  <c r="G14"/>
  <c r="E1"/>
  <c r="B1"/>
  <c r="F1" s="1"/>
  <c r="D19" i="1"/>
  <c r="G11" i="2" l="1"/>
  <c r="G12"/>
  <c r="H13" s="1"/>
  <c r="D16" i="1"/>
  <c r="C15" i="4"/>
  <c r="C29" s="1"/>
  <c r="C5"/>
  <c r="C7" i="1"/>
  <c r="C20" s="1"/>
  <c r="D20" l="1"/>
  <c r="C24"/>
  <c r="D22" l="1"/>
  <c r="C41" s="1"/>
  <c r="D23" l="1"/>
  <c r="C42" s="1"/>
  <c r="D24" l="1"/>
  <c r="C30" s="1"/>
  <c r="C31" s="1"/>
  <c r="F26" i="4"/>
  <c r="F27" s="1"/>
  <c r="F29" s="1"/>
  <c r="F28" s="1"/>
  <c r="D26"/>
  <c r="D27" s="1"/>
  <c r="D29" s="1"/>
  <c r="E26"/>
  <c r="E27" s="1"/>
  <c r="E29" s="1"/>
  <c r="E28" s="1"/>
  <c r="H26"/>
  <c r="H27" s="1"/>
  <c r="H29" s="1"/>
  <c r="G26"/>
  <c r="G27" s="1"/>
  <c r="G29" s="1"/>
  <c r="G28" s="1"/>
  <c r="C32" i="1" l="1"/>
  <c r="C34" s="1"/>
  <c r="C36" s="1"/>
  <c r="C38" s="1"/>
  <c r="H28" i="4"/>
  <c r="C32"/>
  <c r="C36" s="1"/>
  <c r="C31"/>
  <c r="D28"/>
  <c r="C33" i="1" l="1"/>
  <c r="C35" s="1"/>
  <c r="C37" s="1"/>
  <c r="C39" s="1"/>
  <c r="C35" i="4"/>
  <c r="C34" s="1"/>
</calcChain>
</file>

<file path=xl/sharedStrings.xml><?xml version="1.0" encoding="utf-8"?>
<sst xmlns="http://schemas.openxmlformats.org/spreadsheetml/2006/main" count="121" uniqueCount="112">
  <si>
    <t>Cuenta de Resultados
Ingresos - Gastos</t>
  </si>
  <si>
    <t>Tesorería, Flujos de Caja
Cobros - Pagos</t>
  </si>
  <si>
    <t>Ventas de producto</t>
  </si>
  <si>
    <t>Precio de la máquina</t>
  </si>
  <si>
    <t>Ventas anuales</t>
  </si>
  <si>
    <t>Gastos de materia prima</t>
  </si>
  <si>
    <t>Coste de la materia prima necesaria para fabricar los productos que se venden en un año</t>
  </si>
  <si>
    <t>Coste de la mano de obra necesaria para fabricar los productos que se venden en un año</t>
  </si>
  <si>
    <t>Gastos de alquiler del local</t>
  </si>
  <si>
    <t>Gastos de mano de obra</t>
  </si>
  <si>
    <t>Desgaste de la máquina (amortización)</t>
  </si>
  <si>
    <t>Aportación de capital</t>
  </si>
  <si>
    <t>Financiación</t>
  </si>
  <si>
    <t>Prestamo del banco</t>
  </si>
  <si>
    <t>se ingresa en la cuenta de la empresa a principios del primer año</t>
  </si>
  <si>
    <t>Ingresos/Cobros, Gastos/Pagos, Amortización, Resultado o Beneficio, Saldo de Tesorería</t>
  </si>
  <si>
    <t>Ejemplo: conceptos básicos de finanzas</t>
  </si>
  <si>
    <t>Recursos necesarios</t>
  </si>
  <si>
    <t>Capital social</t>
  </si>
  <si>
    <t>Préstamo</t>
  </si>
  <si>
    <t>Saldo de tesorería (operaciones corrientes)</t>
  </si>
  <si>
    <t>Pago de la máquina</t>
  </si>
  <si>
    <t>Saldo al final del año 1</t>
  </si>
  <si>
    <t>Saldo al final del año 2</t>
  </si>
  <si>
    <t>Saldo al final del año 3</t>
  </si>
  <si>
    <t>Saldo al final del año 4</t>
  </si>
  <si>
    <t>Saldo al final del año 5</t>
  </si>
  <si>
    <t>Intereses</t>
  </si>
  <si>
    <t>TAE (%)</t>
  </si>
  <si>
    <t>Resultado / Saldo de tesorería</t>
  </si>
  <si>
    <t>Pago de impuesto sobre beneficio</t>
  </si>
  <si>
    <t>Pago de dividendos</t>
  </si>
  <si>
    <t>Dividendos repartidos en 5 años</t>
  </si>
  <si>
    <t>Impuestos pagados en 5 años</t>
  </si>
  <si>
    <t>Saldo a ppio. año 1 (tras financiación e inversión)</t>
  </si>
  <si>
    <t>Conceptos</t>
  </si>
  <si>
    <t>Actiu</t>
  </si>
  <si>
    <t>Actiu no Corrent</t>
  </si>
  <si>
    <t>Actiu Corrent</t>
  </si>
  <si>
    <t>Net i Passiu</t>
  </si>
  <si>
    <t>Patrimoni Net</t>
  </si>
  <si>
    <t>Passiu no Corrent</t>
  </si>
  <si>
    <t>Passiu Corrent</t>
  </si>
  <si>
    <t>Capital Social</t>
  </si>
  <si>
    <t>Máquina</t>
  </si>
  <si>
    <t>Proveedores</t>
  </si>
  <si>
    <t>Cuenta de Pérdidas y Ganancias</t>
  </si>
  <si>
    <t>Gastos Generales</t>
  </si>
  <si>
    <t>Alquiler del local</t>
  </si>
  <si>
    <t>Pérdidas y Ganancias</t>
  </si>
  <si>
    <t>Ingresos por ventas</t>
  </si>
  <si>
    <t>Coste de las mercancías vendidas</t>
  </si>
  <si>
    <t>Reservas</t>
  </si>
  <si>
    <t>Cuenta de la emp. En el banco</t>
  </si>
  <si>
    <t>Prèstec del Banc</t>
  </si>
  <si>
    <t>Materia Prima</t>
  </si>
  <si>
    <t>Póliza de Crédito</t>
  </si>
  <si>
    <t>Productos acabados</t>
  </si>
  <si>
    <t>Clientes</t>
  </si>
  <si>
    <t>Herencia</t>
  </si>
  <si>
    <t>TAE</t>
  </si>
  <si>
    <t>Inv inicial</t>
  </si>
  <si>
    <t>FNC</t>
  </si>
  <si>
    <t>td (k)</t>
  </si>
  <si>
    <t>FNC act.</t>
  </si>
  <si>
    <t>VAN</t>
  </si>
  <si>
    <t>TIR</t>
  </si>
  <si>
    <t>se cobran al contado</t>
  </si>
  <si>
    <t>Se paga con cargo a la cuenta de la empresa a principios del primer año. Su vida útil es de 5 años</t>
  </si>
  <si>
    <t>se pagan a 60 días</t>
  </si>
  <si>
    <t>se pagan a final de mes</t>
  </si>
  <si>
    <t>Se paga a principios de mes</t>
  </si>
  <si>
    <t>cuotas mensuales del préstamo</t>
  </si>
  <si>
    <t>reparto de beneficios</t>
  </si>
  <si>
    <t>Los socios deciden NO repartirse esta cantidad para incrementar las reservas</t>
  </si>
  <si>
    <t>intereses (gastos financieros a incluir en la Cuenta de Pérdidas y Ganancias)</t>
  </si>
  <si>
    <t>devolución deuda (debemos menos)</t>
  </si>
  <si>
    <t>cuota mensual (a pagar al banco, sale de la cuenta bancaria)</t>
  </si>
  <si>
    <t>35% a Hacienda (impuestos) a pagar, sale de la cuenta bancaria</t>
  </si>
  <si>
    <t>Los socios deciden repartirse esta cantidad (dividendos) a pagar, sale de la cuenta bancaria</t>
  </si>
  <si>
    <t>Se dan por repartidas las Ganancias y se pone la cuenta de Pérdidas y Ganancias a 0 en consecuencia</t>
  </si>
  <si>
    <t>Gastos financieros</t>
  </si>
  <si>
    <t>Amortización Ac. Máquina</t>
  </si>
  <si>
    <t>Rentab. mínima exigida por socios</t>
  </si>
  <si>
    <t>coste de la financiación (td)</t>
  </si>
  <si>
    <t>Diagrama de Flujos de Caja Netos</t>
  </si>
  <si>
    <t>Año 1</t>
  </si>
  <si>
    <t>Año 2</t>
  </si>
  <si>
    <t>Inicio</t>
  </si>
  <si>
    <t>Año 3</t>
  </si>
  <si>
    <t>Año 4</t>
  </si>
  <si>
    <t>Año 5</t>
  </si>
  <si>
    <t>Cobros por ventas</t>
  </si>
  <si>
    <t>Pagos compras de materia prima</t>
  </si>
  <si>
    <t>Pago de nóminas, IRPF y contr. A la SS</t>
  </si>
  <si>
    <t>Pagos del alquiler del local</t>
  </si>
  <si>
    <t>Impuestos</t>
  </si>
  <si>
    <t>Flujos de Caja Netos (FCN)</t>
  </si>
  <si>
    <t>Cantidad destinada a cubrir coste financiación</t>
  </si>
  <si>
    <t>Cantidad neta para recuperar (devolver) la inversión</t>
  </si>
  <si>
    <t>¿Y si no hubiese que pagar impuestos?</t>
  </si>
  <si>
    <t>¿Y si baja o sube el coste de la financiación?</t>
  </si>
  <si>
    <t>OJO: la Inversión se PAGA al inicio</t>
  </si>
  <si>
    <t>OJO: la amortización de la inversión es un COSTE nunca un PAGO</t>
  </si>
  <si>
    <t>Inversión en máquina</t>
  </si>
  <si>
    <t>Inversión en circulante -margen de maniobra-</t>
  </si>
  <si>
    <t>Ver qué pasa con el coste de la financiación</t>
  </si>
  <si>
    <t>Rentabilidad para los socios</t>
  </si>
  <si>
    <t>excedente respecto al TAE del banco</t>
  </si>
  <si>
    <t>de su inversión</t>
  </si>
  <si>
    <t>Inversión en maquina</t>
  </si>
  <si>
    <t>Inversión en circulante (fondo de maniobra)</t>
  </si>
</sst>
</file>

<file path=xl/styles.xml><?xml version="1.0" encoding="utf-8"?>
<styleSheet xmlns="http://schemas.openxmlformats.org/spreadsheetml/2006/main">
  <numFmts count="4">
    <numFmt numFmtId="6" formatCode="#,##0\ &quot;€&quot;;[Red]\-#,##0\ &quot;€&quot;"/>
    <numFmt numFmtId="8" formatCode="#,##0.00\ &quot;€&quot;;[Red]\-#,##0.00\ &quot;€&quot;"/>
    <numFmt numFmtId="164" formatCode="#,##0\ &quot;€&quot;"/>
    <numFmt numFmtId="165" formatCode="0.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B050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rgb="FFC0000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1" fillId="0" borderId="16" applyNumberFormat="0" applyFill="0" applyAlignment="0" applyProtection="0"/>
    <xf numFmtId="0" fontId="5" fillId="0" borderId="17" applyNumberFormat="0" applyFill="0" applyAlignment="0" applyProtection="0"/>
    <xf numFmtId="0" fontId="6" fillId="9" borderId="0" applyNumberFormat="0" applyBorder="0" applyAlignment="0" applyProtection="0"/>
  </cellStyleXfs>
  <cellXfs count="6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indent="4"/>
    </xf>
    <xf numFmtId="0" fontId="5" fillId="0" borderId="0" xfId="0" applyFont="1"/>
    <xf numFmtId="164" fontId="5" fillId="0" borderId="0" xfId="0" applyNumberFormat="1" applyFont="1"/>
    <xf numFmtId="0" fontId="0" fillId="4" borderId="2" xfId="0" applyFont="1" applyFill="1" applyBorder="1" applyAlignment="1">
      <alignment horizontal="left" indent="2"/>
    </xf>
    <xf numFmtId="0" fontId="5" fillId="5" borderId="4" xfId="0" applyFont="1" applyFill="1" applyBorder="1"/>
    <xf numFmtId="0" fontId="5" fillId="5" borderId="6" xfId="0" applyFont="1" applyFill="1" applyBorder="1"/>
    <xf numFmtId="6" fontId="0" fillId="4" borderId="3" xfId="0" applyNumberFormat="1" applyFont="1" applyFill="1" applyBorder="1" applyAlignment="1">
      <alignment horizontal="right" indent="7"/>
    </xf>
    <xf numFmtId="6" fontId="5" fillId="5" borderId="7" xfId="0" applyNumberFormat="1" applyFont="1" applyFill="1" applyBorder="1"/>
    <xf numFmtId="6" fontId="5" fillId="0" borderId="0" xfId="0" applyNumberFormat="1" applyFont="1"/>
    <xf numFmtId="6" fontId="0" fillId="0" borderId="0" xfId="0" applyNumberFormat="1" applyAlignment="1">
      <alignment horizontal="right" indent="7"/>
    </xf>
    <xf numFmtId="6" fontId="4" fillId="2" borderId="0" xfId="4" applyNumberFormat="1" applyFont="1"/>
    <xf numFmtId="6" fontId="4" fillId="2" borderId="5" xfId="4" applyNumberFormat="1" applyFont="1" applyBorder="1"/>
    <xf numFmtId="6" fontId="0" fillId="0" borderId="0" xfId="0" applyNumberFormat="1" applyAlignment="1">
      <alignment horizontal="right" indent="4"/>
    </xf>
    <xf numFmtId="0" fontId="1" fillId="3" borderId="8" xfId="5" applyBorder="1"/>
    <xf numFmtId="164" fontId="1" fillId="3" borderId="9" xfId="5" applyNumberFormat="1" applyBorder="1" applyAlignment="1">
      <alignment horizontal="right" indent="1"/>
    </xf>
    <xf numFmtId="0" fontId="1" fillId="3" borderId="10" xfId="5" applyBorder="1" applyAlignment="1">
      <alignment horizontal="left" vertical="center" indent="2"/>
    </xf>
    <xf numFmtId="164" fontId="1" fillId="3" borderId="11" xfId="5" applyNumberFormat="1" applyBorder="1" applyAlignment="1">
      <alignment horizontal="right" vertical="center" indent="1"/>
    </xf>
    <xf numFmtId="0" fontId="0" fillId="3" borderId="10" xfId="5" applyFont="1" applyBorder="1" applyAlignment="1">
      <alignment horizontal="left" vertical="center" indent="2"/>
    </xf>
    <xf numFmtId="165" fontId="1" fillId="3" borderId="11" xfId="1" applyNumberFormat="1" applyFill="1" applyBorder="1" applyAlignment="1">
      <alignment horizontal="right" vertical="center" indent="1"/>
    </xf>
    <xf numFmtId="0" fontId="1" fillId="3" borderId="10" xfId="5" applyBorder="1" applyAlignment="1">
      <alignment vertical="center"/>
    </xf>
    <xf numFmtId="164" fontId="1" fillId="3" borderId="11" xfId="5" applyNumberFormat="1" applyBorder="1" applyAlignment="1">
      <alignment horizontal="right" indent="1"/>
    </xf>
    <xf numFmtId="0" fontId="1" fillId="3" borderId="10" xfId="5" applyBorder="1" applyAlignment="1">
      <alignment horizontal="left" vertical="center" wrapText="1" indent="2"/>
    </xf>
    <xf numFmtId="0" fontId="1" fillId="3" borderId="12" xfId="5" applyBorder="1" applyAlignment="1">
      <alignment horizontal="left" vertical="center" indent="2"/>
    </xf>
    <xf numFmtId="164" fontId="1" fillId="3" borderId="13" xfId="5" applyNumberFormat="1" applyBorder="1" applyAlignment="1">
      <alignment horizontal="right" vertical="center" indent="1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indent="1"/>
    </xf>
    <xf numFmtId="6" fontId="0" fillId="0" borderId="0" xfId="0" applyNumberFormat="1"/>
    <xf numFmtId="6" fontId="8" fillId="0" borderId="0" xfId="0" applyNumberFormat="1" applyFont="1"/>
    <xf numFmtId="6" fontId="9" fillId="0" borderId="0" xfId="0" applyNumberFormat="1" applyFont="1" applyAlignment="1">
      <alignment horizontal="left" indent="1"/>
    </xf>
    <xf numFmtId="0" fontId="10" fillId="0" borderId="0" xfId="0" applyFont="1" applyAlignment="1">
      <alignment horizontal="center"/>
    </xf>
    <xf numFmtId="0" fontId="0" fillId="6" borderId="0" xfId="0" applyFill="1"/>
    <xf numFmtId="0" fontId="8" fillId="7" borderId="0" xfId="0" applyFont="1" applyFill="1"/>
    <xf numFmtId="6" fontId="9" fillId="7" borderId="0" xfId="0" applyNumberFormat="1" applyFont="1" applyFill="1" applyAlignment="1">
      <alignment horizontal="left" indent="1"/>
    </xf>
    <xf numFmtId="165" fontId="0" fillId="0" borderId="0" xfId="0" applyNumberFormat="1"/>
    <xf numFmtId="0" fontId="0" fillId="8" borderId="0" xfId="0" applyFill="1"/>
    <xf numFmtId="0" fontId="0" fillId="0" borderId="14" xfId="0" applyBorder="1"/>
    <xf numFmtId="164" fontId="0" fillId="0" borderId="14" xfId="0" applyNumberFormat="1" applyBorder="1"/>
    <xf numFmtId="10" fontId="0" fillId="0" borderId="0" xfId="1" applyNumberFormat="1" applyFont="1"/>
    <xf numFmtId="10" fontId="0" fillId="0" borderId="0" xfId="0" applyNumberFormat="1"/>
    <xf numFmtId="8" fontId="0" fillId="0" borderId="0" xfId="0" applyNumberFormat="1"/>
    <xf numFmtId="6" fontId="0" fillId="0" borderId="0" xfId="0" applyNumberFormat="1" applyBorder="1"/>
    <xf numFmtId="0" fontId="0" fillId="0" borderId="15" xfId="0" applyBorder="1"/>
    <xf numFmtId="6" fontId="0" fillId="0" borderId="0" xfId="0" applyNumberFormat="1" applyAlignment="1">
      <alignment horizontal="right"/>
    </xf>
    <xf numFmtId="6" fontId="9" fillId="0" borderId="0" xfId="0" applyNumberFormat="1" applyFont="1" applyAlignment="1">
      <alignment horizontal="right" indent="2"/>
    </xf>
    <xf numFmtId="9" fontId="0" fillId="0" borderId="0" xfId="0" applyNumberFormat="1"/>
    <xf numFmtId="0" fontId="12" fillId="0" borderId="0" xfId="0" applyFont="1"/>
    <xf numFmtId="0" fontId="13" fillId="0" borderId="0" xfId="0" applyFont="1"/>
    <xf numFmtId="165" fontId="1" fillId="3" borderId="9" xfId="1" applyNumberFormat="1" applyFill="1" applyBorder="1" applyAlignment="1">
      <alignment horizontal="right" indent="1"/>
    </xf>
    <xf numFmtId="165" fontId="1" fillId="3" borderId="13" xfId="1" applyNumberFormat="1" applyFill="1" applyBorder="1" applyAlignment="1">
      <alignment horizontal="right" vertical="center" indent="1"/>
    </xf>
    <xf numFmtId="0" fontId="11" fillId="0" borderId="16" xfId="6"/>
    <xf numFmtId="0" fontId="14" fillId="0" borderId="0" xfId="0" applyFont="1"/>
    <xf numFmtId="0" fontId="6" fillId="9" borderId="0" xfId="8"/>
    <xf numFmtId="0" fontId="6" fillId="9" borderId="0" xfId="8" applyAlignment="1">
      <alignment horizontal="right"/>
    </xf>
    <xf numFmtId="0" fontId="5" fillId="0" borderId="17" xfId="7"/>
    <xf numFmtId="6" fontId="5" fillId="0" borderId="17" xfId="7" applyNumberFormat="1"/>
    <xf numFmtId="0" fontId="1" fillId="3" borderId="10" xfId="5" applyBorder="1" applyAlignment="1">
      <alignment horizontal="left" vertical="center" wrapText="1"/>
    </xf>
    <xf numFmtId="0" fontId="1" fillId="3" borderId="12" xfId="5" applyBorder="1" applyAlignment="1">
      <alignment horizontal="left" vertical="center"/>
    </xf>
    <xf numFmtId="0" fontId="0" fillId="3" borderId="12" xfId="5" applyFont="1" applyBorder="1" applyAlignment="1">
      <alignment horizontal="left" vertical="center" indent="1"/>
    </xf>
    <xf numFmtId="0" fontId="0" fillId="3" borderId="10" xfId="5" applyFont="1" applyBorder="1" applyAlignment="1">
      <alignment horizontal="left" vertical="center" wrapText="1" indent="1"/>
    </xf>
    <xf numFmtId="0" fontId="2" fillId="0" borderId="0" xfId="2"/>
    <xf numFmtId="0" fontId="3" fillId="0" borderId="1" xfId="3"/>
  </cellXfs>
  <cellStyles count="9">
    <cellStyle name="20% - Énfasis3" xfId="5" builtinId="38"/>
    <cellStyle name="Énfasis1" xfId="8" builtinId="29"/>
    <cellStyle name="Énfasis3" xfId="4" builtinId="37"/>
    <cellStyle name="Normal" xfId="0" builtinId="0"/>
    <cellStyle name="Porcentual" xfId="1" builtinId="5"/>
    <cellStyle name="Título" xfId="2" builtinId="15"/>
    <cellStyle name="Título 1" xfId="6" builtinId="16"/>
    <cellStyle name="Título 2" xfId="3" builtinId="17"/>
    <cellStyle name="Total" xfId="7" builtinId="25"/>
  </cellStyles>
  <dxfs count="8">
    <dxf>
      <numFmt numFmtId="10" formatCode="#,##0\ &quot;€&quot;;[Red]\-#,##0\ &quot;€&quot;"/>
      <alignment horizontal="right" vertical="bottom" textRotation="0" wrapText="0" indent="7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\ &quot;€&quot;"/>
    </dxf>
    <dxf>
      <alignment horizontal="left" vertical="bottom" textRotation="0" wrapText="0" indent="2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&quot;€&quot;"/>
    </dxf>
    <dxf>
      <numFmt numFmtId="10" formatCode="#,##0\ &quot;€&quot;;[Red]\-#,##0\ &quot;€&quot;"/>
      <alignment horizontal="right" vertical="bottom" textRotation="0" wrapText="0" indent="4" relativeIndent="1" justifyLastLine="0" shrinkToFit="0" mergeCell="0" readingOrder="0"/>
    </dxf>
    <dxf>
      <numFmt numFmtId="10" formatCode="#,##0\ &quot;€&quot;;[Red]\-#,##0\ &quot;€&quot;"/>
    </dxf>
    <dxf>
      <numFmt numFmtId="10" formatCode="#,##0\ &quot;€&quot;;[Red]\-#,##0\ &quot;€&quot;"/>
      <alignment horizontal="right" vertical="bottom" textRotation="0" wrapText="0" indent="4" relativeIndent="1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4</xdr:row>
      <xdr:rowOff>95249</xdr:rowOff>
    </xdr:from>
    <xdr:to>
      <xdr:col>6</xdr:col>
      <xdr:colOff>0</xdr:colOff>
      <xdr:row>6</xdr:row>
      <xdr:rowOff>123824</xdr:rowOff>
    </xdr:to>
    <xdr:cxnSp macro="">
      <xdr:nvCxnSpPr>
        <xdr:cNvPr id="3" name="2 Conector recto de flecha"/>
        <xdr:cNvCxnSpPr/>
      </xdr:nvCxnSpPr>
      <xdr:spPr>
        <a:xfrm rot="10800000" flipV="1">
          <a:off x="2181225" y="857249"/>
          <a:ext cx="310515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76199</xdr:rowOff>
    </xdr:from>
    <xdr:to>
      <xdr:col>6</xdr:col>
      <xdr:colOff>0</xdr:colOff>
      <xdr:row>19</xdr:row>
      <xdr:rowOff>66674</xdr:rowOff>
    </xdr:to>
    <xdr:cxnSp macro="">
      <xdr:nvCxnSpPr>
        <xdr:cNvPr id="4" name="3 Conector recto de flecha"/>
        <xdr:cNvCxnSpPr/>
      </xdr:nvCxnSpPr>
      <xdr:spPr>
        <a:xfrm rot="10800000" flipV="1">
          <a:off x="2200275" y="1028699"/>
          <a:ext cx="3086100" cy="26574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5</xdr:row>
      <xdr:rowOff>95250</xdr:rowOff>
    </xdr:from>
    <xdr:to>
      <xdr:col>6</xdr:col>
      <xdr:colOff>0</xdr:colOff>
      <xdr:row>6</xdr:row>
      <xdr:rowOff>76200</xdr:rowOff>
    </xdr:to>
    <xdr:cxnSp macro="">
      <xdr:nvCxnSpPr>
        <xdr:cNvPr id="5" name="4 Conector recto de flecha"/>
        <xdr:cNvCxnSpPr/>
      </xdr:nvCxnSpPr>
      <xdr:spPr>
        <a:xfrm rot="10800000">
          <a:off x="4505325" y="1047750"/>
          <a:ext cx="78105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733427</xdr:colOff>
      <xdr:row>3</xdr:row>
      <xdr:rowOff>85726</xdr:rowOff>
    </xdr:from>
    <xdr:to>
      <xdr:col>7</xdr:col>
      <xdr:colOff>314325</xdr:colOff>
      <xdr:row>12</xdr:row>
      <xdr:rowOff>114301</xdr:rowOff>
    </xdr:to>
    <xdr:cxnSp macro="">
      <xdr:nvCxnSpPr>
        <xdr:cNvPr id="13" name="12 Conector recto de flecha"/>
        <xdr:cNvCxnSpPr/>
      </xdr:nvCxnSpPr>
      <xdr:spPr>
        <a:xfrm rot="10800000">
          <a:off x="4495802" y="657226"/>
          <a:ext cx="1866898" cy="174307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733426</xdr:colOff>
      <xdr:row>10</xdr:row>
      <xdr:rowOff>76201</xdr:rowOff>
    </xdr:from>
    <xdr:to>
      <xdr:col>6</xdr:col>
      <xdr:colOff>1</xdr:colOff>
      <xdr:row>13</xdr:row>
      <xdr:rowOff>85726</xdr:rowOff>
    </xdr:to>
    <xdr:cxnSp macro="">
      <xdr:nvCxnSpPr>
        <xdr:cNvPr id="24" name="23 Conector recto de flecha"/>
        <xdr:cNvCxnSpPr/>
      </xdr:nvCxnSpPr>
      <xdr:spPr>
        <a:xfrm rot="10800000">
          <a:off x="4495801" y="1981201"/>
          <a:ext cx="7905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7" name="Tabla18" displayName="Tabla18" ref="B15:D24" totalsRowCount="1">
  <tableColumns count="3">
    <tableColumn id="1" name="Conceptos" totalsRowLabel="Resultado / Saldo de tesorería"/>
    <tableColumn id="2" name="Cuenta de Resultados_x000a_Ingresos - Gastos" totalsRowFunction="sum" dataDxfId="7" totalsRowDxfId="6">
      <calculatedColumnFormula>-#REF!</calculatedColumnFormula>
    </tableColumn>
    <tableColumn id="3" name="Tesorería, Flujos de Caja_x000a_Cobros - Pagos" totalsRowFunction="sum" dataDxfId="5" totalsRowDxfId="4">
      <calculatedColumnFormula>C16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B31:C39" headerRowCount="0" totalsRowShown="0">
  <tableColumns count="2">
    <tableColumn id="1" name="Columna1" headerRowDxfId="3" dataDxfId="2"/>
    <tableColumn id="2" name="Columna2" headerRowDxfId="1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2"/>
  <sheetViews>
    <sheetView showGridLines="0" workbookViewId="0">
      <selection activeCell="C7" sqref="C7"/>
    </sheetView>
  </sheetViews>
  <sheetFormatPr baseColWidth="10" defaultRowHeight="15"/>
  <cols>
    <col min="1" max="1" width="2" customWidth="1"/>
    <col min="2" max="2" width="44.28515625" customWidth="1"/>
    <col min="3" max="4" width="22.5703125" style="1" customWidth="1"/>
    <col min="5" max="5" width="23.7109375" bestFit="1" customWidth="1"/>
  </cols>
  <sheetData>
    <row r="1" spans="2:5" ht="22.5">
      <c r="B1" s="65" t="s">
        <v>16</v>
      </c>
      <c r="C1" s="65"/>
      <c r="D1" s="65"/>
    </row>
    <row r="2" spans="2:5" ht="18" thickBot="1">
      <c r="B2" s="66" t="s">
        <v>15</v>
      </c>
      <c r="C2" s="66"/>
      <c r="D2" s="66"/>
    </row>
    <row r="3" spans="2:5" ht="31.9" customHeight="1" thickTop="1"/>
    <row r="4" spans="2:5">
      <c r="B4" s="18" t="s">
        <v>12</v>
      </c>
      <c r="C4" s="19"/>
      <c r="D4" s="3"/>
    </row>
    <row r="5" spans="2:5">
      <c r="B5" s="20" t="s">
        <v>11</v>
      </c>
      <c r="C5" s="21">
        <v>120000</v>
      </c>
      <c r="D5" s="4" t="s">
        <v>14</v>
      </c>
    </row>
    <row r="6" spans="2:5">
      <c r="B6" s="20" t="s">
        <v>13</v>
      </c>
      <c r="C6" s="21">
        <v>100000</v>
      </c>
      <c r="D6" s="4" t="s">
        <v>14</v>
      </c>
    </row>
    <row r="7" spans="2:5">
      <c r="B7" s="22" t="s">
        <v>28</v>
      </c>
      <c r="C7" s="23">
        <f>Inversion!C14</f>
        <v>6.5000000000000002E-2</v>
      </c>
      <c r="D7"/>
    </row>
    <row r="8" spans="2:5">
      <c r="B8" s="24" t="s">
        <v>4</v>
      </c>
      <c r="C8" s="21">
        <v>180000</v>
      </c>
      <c r="D8">
        <f>C8/12</f>
        <v>15000</v>
      </c>
      <c r="E8" s="4" t="s">
        <v>67</v>
      </c>
    </row>
    <row r="9" spans="2:5">
      <c r="B9" s="24" t="s">
        <v>17</v>
      </c>
      <c r="C9" s="25"/>
      <c r="D9"/>
      <c r="E9" s="1"/>
    </row>
    <row r="10" spans="2:5">
      <c r="B10" s="20" t="s">
        <v>3</v>
      </c>
      <c r="C10" s="21">
        <v>200000</v>
      </c>
      <c r="D10" s="1">
        <f>C10/12/5</f>
        <v>3333.3333333333335</v>
      </c>
      <c r="E10" s="4" t="s">
        <v>68</v>
      </c>
    </row>
    <row r="11" spans="2:5" ht="45">
      <c r="B11" s="26" t="s">
        <v>6</v>
      </c>
      <c r="C11" s="21">
        <v>60000</v>
      </c>
      <c r="D11">
        <f>C11/12</f>
        <v>5000</v>
      </c>
      <c r="E11" s="4" t="s">
        <v>69</v>
      </c>
    </row>
    <row r="12" spans="2:5" ht="45">
      <c r="B12" s="26" t="s">
        <v>7</v>
      </c>
      <c r="C12" s="21">
        <v>36000</v>
      </c>
      <c r="D12">
        <f>C12/12</f>
        <v>3000</v>
      </c>
      <c r="E12" s="4" t="s">
        <v>70</v>
      </c>
    </row>
    <row r="13" spans="2:5">
      <c r="B13" s="27" t="s">
        <v>8</v>
      </c>
      <c r="C13" s="28">
        <v>12000</v>
      </c>
      <c r="D13">
        <f>C13/12</f>
        <v>1000</v>
      </c>
      <c r="E13" s="4" t="s">
        <v>71</v>
      </c>
    </row>
    <row r="14" spans="2:5" ht="31.9" customHeight="1">
      <c r="E14" s="1"/>
    </row>
    <row r="15" spans="2:5" ht="30">
      <c r="B15" s="4" t="s">
        <v>35</v>
      </c>
      <c r="C15" s="2" t="s">
        <v>0</v>
      </c>
      <c r="D15" s="2" t="s">
        <v>1</v>
      </c>
    </row>
    <row r="16" spans="2:5">
      <c r="B16" t="s">
        <v>2</v>
      </c>
      <c r="C16" s="17">
        <f>C8</f>
        <v>180000</v>
      </c>
      <c r="D16" s="17">
        <f>C16</f>
        <v>180000</v>
      </c>
    </row>
    <row r="17" spans="2:4">
      <c r="B17" t="s">
        <v>5</v>
      </c>
      <c r="C17" s="17">
        <f>-C11</f>
        <v>-60000</v>
      </c>
      <c r="D17" s="17">
        <f>C17</f>
        <v>-60000</v>
      </c>
    </row>
    <row r="18" spans="2:4">
      <c r="B18" t="s">
        <v>9</v>
      </c>
      <c r="C18" s="17">
        <f>-C12</f>
        <v>-36000</v>
      </c>
      <c r="D18" s="17">
        <f>C18</f>
        <v>-36000</v>
      </c>
    </row>
    <row r="19" spans="2:4">
      <c r="B19" t="s">
        <v>8</v>
      </c>
      <c r="C19" s="17">
        <f>-C13</f>
        <v>-12000</v>
      </c>
      <c r="D19" s="17">
        <f>C19</f>
        <v>-12000</v>
      </c>
    </row>
    <row r="20" spans="2:4">
      <c r="B20" t="s">
        <v>27</v>
      </c>
      <c r="C20" s="17">
        <f>-C6*C7</f>
        <v>-6500</v>
      </c>
      <c r="D20" s="17">
        <f>C20</f>
        <v>-6500</v>
      </c>
    </row>
    <row r="21" spans="2:4">
      <c r="B21" t="s">
        <v>10</v>
      </c>
      <c r="C21" s="17">
        <f>-C10/5</f>
        <v>-40000</v>
      </c>
      <c r="D21" s="17"/>
    </row>
    <row r="22" spans="2:4">
      <c r="B22" t="s">
        <v>31</v>
      </c>
      <c r="C22" s="17"/>
      <c r="D22" s="17">
        <f>-Tabla18[[#Totals],[Cuenta de Resultados
Ingresos - Gastos]]*0.65</f>
        <v>-16575</v>
      </c>
    </row>
    <row r="23" spans="2:4">
      <c r="B23" t="s">
        <v>30</v>
      </c>
      <c r="C23" s="17"/>
      <c r="D23" s="17">
        <f>-Tabla18[[#Totals],[Cuenta de Resultados
Ingresos - Gastos]]-D22</f>
        <v>-8925</v>
      </c>
    </row>
    <row r="24" spans="2:4">
      <c r="B24" t="s">
        <v>29</v>
      </c>
      <c r="C24" s="17">
        <f>SUBTOTAL(109,[Cuenta de Resultados
Ingresos - Gastos])</f>
        <v>25500</v>
      </c>
      <c r="D24" s="5">
        <f>SUBTOTAL(109,[Tesorería, Flujos de Caja
Cobros - Pagos])</f>
        <v>40000</v>
      </c>
    </row>
    <row r="25" spans="2:4" ht="31.9" customHeight="1"/>
    <row r="26" spans="2:4">
      <c r="B26" s="8" t="s">
        <v>18</v>
      </c>
      <c r="C26" s="11">
        <f>C5</f>
        <v>120000</v>
      </c>
    </row>
    <row r="27" spans="2:4">
      <c r="B27" s="8" t="s">
        <v>19</v>
      </c>
      <c r="C27" s="11">
        <f>C6</f>
        <v>100000</v>
      </c>
    </row>
    <row r="28" spans="2:4">
      <c r="B28" s="8" t="s">
        <v>21</v>
      </c>
      <c r="C28" s="11">
        <f>-C10</f>
        <v>-200000</v>
      </c>
      <c r="D28" s="1" t="s">
        <v>104</v>
      </c>
    </row>
    <row r="29" spans="2:4">
      <c r="B29" s="10" t="s">
        <v>34</v>
      </c>
      <c r="C29" s="12">
        <f>SUM(C26:C28)</f>
        <v>20000</v>
      </c>
      <c r="D29" s="1" t="s">
        <v>105</v>
      </c>
    </row>
    <row r="30" spans="2:4" s="6" customFormat="1">
      <c r="B30" s="8" t="s">
        <v>20</v>
      </c>
      <c r="C30" s="11">
        <f>Tabla18[[#Totals],[Tesorería, Flujos de Caja
Cobros - Pagos]]</f>
        <v>40000</v>
      </c>
      <c r="D30" s="7"/>
    </row>
    <row r="31" spans="2:4">
      <c r="B31" s="6" t="s">
        <v>22</v>
      </c>
      <c r="C31" s="13">
        <f>C29+C30</f>
        <v>60000</v>
      </c>
    </row>
    <row r="32" spans="2:4" s="6" customFormat="1">
      <c r="B32" s="8" t="s">
        <v>20</v>
      </c>
      <c r="C32" s="14">
        <f>C30</f>
        <v>40000</v>
      </c>
      <c r="D32" s="7"/>
    </row>
    <row r="33" spans="2:4">
      <c r="B33" s="6" t="s">
        <v>23</v>
      </c>
      <c r="C33" s="13">
        <f>C31+C32</f>
        <v>100000</v>
      </c>
    </row>
    <row r="34" spans="2:4" s="6" customFormat="1">
      <c r="B34" s="8" t="s">
        <v>20</v>
      </c>
      <c r="C34" s="14">
        <f>C32</f>
        <v>40000</v>
      </c>
      <c r="D34" s="7"/>
    </row>
    <row r="35" spans="2:4">
      <c r="B35" s="6" t="s">
        <v>24</v>
      </c>
      <c r="C35" s="13">
        <f>C33+C34</f>
        <v>140000</v>
      </c>
    </row>
    <row r="36" spans="2:4" s="6" customFormat="1">
      <c r="B36" s="8" t="s">
        <v>20</v>
      </c>
      <c r="C36" s="14">
        <f>C34</f>
        <v>40000</v>
      </c>
      <c r="D36" s="7"/>
    </row>
    <row r="37" spans="2:4">
      <c r="B37" s="6" t="s">
        <v>25</v>
      </c>
      <c r="C37" s="13">
        <f>C35+C36</f>
        <v>180000</v>
      </c>
    </row>
    <row r="38" spans="2:4">
      <c r="B38" s="8" t="s">
        <v>20</v>
      </c>
      <c r="C38" s="14">
        <f>C36</f>
        <v>40000</v>
      </c>
    </row>
    <row r="39" spans="2:4">
      <c r="B39" s="6" t="s">
        <v>26</v>
      </c>
      <c r="C39" s="15">
        <f>C37+C38</f>
        <v>220000</v>
      </c>
    </row>
    <row r="40" spans="2:4" s="6" customFormat="1">
      <c r="D40" s="7"/>
    </row>
    <row r="41" spans="2:4" s="6" customFormat="1">
      <c r="B41" s="9" t="s">
        <v>32</v>
      </c>
      <c r="C41" s="16">
        <f>-D22*5</f>
        <v>82875</v>
      </c>
      <c r="D41" s="7"/>
    </row>
    <row r="42" spans="2:4">
      <c r="B42" s="9" t="s">
        <v>33</v>
      </c>
      <c r="C42" s="16">
        <f>-D23*5</f>
        <v>44625</v>
      </c>
    </row>
  </sheetData>
  <mergeCells count="2">
    <mergeCell ref="B1:D1"/>
    <mergeCell ref="B2:D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zoomScaleNormal="100" workbookViewId="0">
      <selection activeCell="B17" sqref="B17"/>
    </sheetView>
  </sheetViews>
  <sheetFormatPr baseColWidth="10" defaultRowHeight="15"/>
  <cols>
    <col min="1" max="1" width="21.5703125" customWidth="1"/>
    <col min="2" max="2" width="11.5703125" bestFit="1" customWidth="1"/>
    <col min="3" max="3" width="4.5703125" customWidth="1"/>
    <col min="4" max="4" width="18.85546875" customWidth="1"/>
  </cols>
  <sheetData>
    <row r="1" spans="1:10">
      <c r="A1" s="29" t="s">
        <v>36</v>
      </c>
      <c r="B1" s="32">
        <f>B2+B6</f>
        <v>225710.05184479378</v>
      </c>
      <c r="D1" s="35" t="s">
        <v>39</v>
      </c>
      <c r="E1" s="32">
        <f>E2+E5+E8</f>
        <v>223585.05184479378</v>
      </c>
      <c r="F1" s="32">
        <f>B1-E1</f>
        <v>2125</v>
      </c>
    </row>
    <row r="2" spans="1:10">
      <c r="A2" s="30" t="s">
        <v>37</v>
      </c>
      <c r="B2" s="33">
        <f>SUM(B3:B5)</f>
        <v>196666.66666666666</v>
      </c>
      <c r="D2" s="30" t="s">
        <v>40</v>
      </c>
      <c r="E2" s="33">
        <f>SUM(E3:E4)</f>
        <v>120000</v>
      </c>
    </row>
    <row r="3" spans="1:10">
      <c r="A3" s="31" t="s">
        <v>44</v>
      </c>
      <c r="B3" s="34">
        <v>200000</v>
      </c>
      <c r="D3" s="31" t="s">
        <v>43</v>
      </c>
      <c r="E3" s="34">
        <v>120000</v>
      </c>
    </row>
    <row r="4" spans="1:10">
      <c r="A4" s="31" t="s">
        <v>82</v>
      </c>
      <c r="B4" s="34">
        <f>-'Enunciado - Balance y CR 5años'!D10</f>
        <v>-3333.3333333333335</v>
      </c>
      <c r="D4" s="31" t="s">
        <v>52</v>
      </c>
      <c r="E4" s="34"/>
      <c r="G4" s="36" t="s">
        <v>72</v>
      </c>
      <c r="H4" s="36"/>
      <c r="I4" s="36"/>
      <c r="J4" s="33">
        <v>100000</v>
      </c>
    </row>
    <row r="5" spans="1:10">
      <c r="A5" s="31"/>
      <c r="B5" s="34"/>
      <c r="D5" s="30" t="s">
        <v>41</v>
      </c>
      <c r="E5" s="33">
        <f>SUM(E6:E7)</f>
        <v>98585.051844793794</v>
      </c>
      <c r="G5" s="45">
        <f>-PMT(6.5%/12,5*12,J4)</f>
        <v>1956.6148218728727</v>
      </c>
      <c r="H5" t="s">
        <v>77</v>
      </c>
    </row>
    <row r="6" spans="1:10">
      <c r="A6" s="30" t="s">
        <v>38</v>
      </c>
      <c r="B6" s="33">
        <f>SUM(B7:B10)</f>
        <v>29043.38517812713</v>
      </c>
      <c r="D6" s="31" t="s">
        <v>54</v>
      </c>
      <c r="E6" s="34">
        <f>J4-G7</f>
        <v>98585.051844793794</v>
      </c>
      <c r="G6" s="32">
        <f>J4*6.5/100/12</f>
        <v>541.66666666666663</v>
      </c>
      <c r="H6" t="s">
        <v>75</v>
      </c>
    </row>
    <row r="7" spans="1:10">
      <c r="A7" s="31" t="s">
        <v>53</v>
      </c>
      <c r="B7" s="34">
        <f>120000+100000-200000-3000-1000-G5</f>
        <v>14043.385178127128</v>
      </c>
      <c r="E7" s="34"/>
      <c r="G7" s="32">
        <f>G5-G6</f>
        <v>1414.9481552062061</v>
      </c>
      <c r="H7" t="s">
        <v>76</v>
      </c>
    </row>
    <row r="8" spans="1:10">
      <c r="A8" s="31" t="s">
        <v>55</v>
      </c>
      <c r="B8" s="34"/>
      <c r="D8" s="30" t="s">
        <v>42</v>
      </c>
      <c r="E8" s="33">
        <f>SUM(E9:E10)</f>
        <v>5000</v>
      </c>
    </row>
    <row r="9" spans="1:10">
      <c r="A9" s="31" t="s">
        <v>57</v>
      </c>
      <c r="B9" s="34"/>
      <c r="D9" s="31" t="s">
        <v>45</v>
      </c>
      <c r="E9" s="34">
        <v>1000</v>
      </c>
    </row>
    <row r="10" spans="1:10">
      <c r="A10" s="31" t="s">
        <v>58</v>
      </c>
      <c r="B10" s="34">
        <v>15000</v>
      </c>
      <c r="D10" s="31" t="s">
        <v>56</v>
      </c>
      <c r="E10" s="34">
        <v>4000</v>
      </c>
      <c r="G10" s="36" t="s">
        <v>73</v>
      </c>
      <c r="H10" s="36"/>
      <c r="I10" s="36"/>
    </row>
    <row r="11" spans="1:10">
      <c r="B11" s="32"/>
      <c r="D11" s="37" t="s">
        <v>49</v>
      </c>
      <c r="E11" s="38">
        <f>B15</f>
        <v>2125</v>
      </c>
      <c r="G11" s="32">
        <f>E11*0.35</f>
        <v>743.75</v>
      </c>
      <c r="I11" t="s">
        <v>78</v>
      </c>
    </row>
    <row r="12" spans="1:10">
      <c r="A12" s="36"/>
      <c r="B12" s="36"/>
      <c r="C12" s="36"/>
      <c r="D12" s="36"/>
      <c r="E12" s="36"/>
      <c r="G12" s="46">
        <f>E11-G11</f>
        <v>1381.25</v>
      </c>
      <c r="H12" s="32">
        <v>1000</v>
      </c>
      <c r="I12" t="s">
        <v>79</v>
      </c>
    </row>
    <row r="13" spans="1:10">
      <c r="G13" s="47"/>
      <c r="H13" s="32">
        <f>G12-H12</f>
        <v>381.25</v>
      </c>
      <c r="I13" t="s">
        <v>74</v>
      </c>
    </row>
    <row r="14" spans="1:10">
      <c r="G14" s="32">
        <f>B15</f>
        <v>2125</v>
      </c>
      <c r="H14" t="s">
        <v>80</v>
      </c>
    </row>
    <row r="15" spans="1:10">
      <c r="A15" t="s">
        <v>46</v>
      </c>
      <c r="B15" s="48">
        <f>B18+B16+B17</f>
        <v>2125</v>
      </c>
      <c r="D15" s="32"/>
    </row>
    <row r="16" spans="1:10">
      <c r="A16" s="31" t="s">
        <v>50</v>
      </c>
      <c r="B16" s="49">
        <v>15000</v>
      </c>
    </row>
    <row r="17" spans="1:5">
      <c r="A17" s="31" t="s">
        <v>51</v>
      </c>
      <c r="B17" s="49">
        <f>-('Enunciado - Balance y CR 5años'!D10+'Enunciado - Balance y CR 5años'!D11+'Enunciado - Balance y CR 5años'!D12)</f>
        <v>-11333.333333333334</v>
      </c>
    </row>
    <row r="18" spans="1:5">
      <c r="A18" t="s">
        <v>47</v>
      </c>
      <c r="B18" s="48">
        <f>SUM(B19:B21)</f>
        <v>-1541.6666666666665</v>
      </c>
    </row>
    <row r="19" spans="1:5">
      <c r="A19" s="31" t="s">
        <v>48</v>
      </c>
      <c r="B19" s="49">
        <f>-'Enunciado - Balance y CR 5años'!D13</f>
        <v>-1000</v>
      </c>
    </row>
    <row r="20" spans="1:5">
      <c r="A20" s="31" t="s">
        <v>81</v>
      </c>
      <c r="B20" s="49">
        <f>-G6</f>
        <v>-541.66666666666663</v>
      </c>
    </row>
    <row r="21" spans="1:5">
      <c r="A21" s="31"/>
      <c r="B21" s="34"/>
    </row>
    <row r="22" spans="1:5">
      <c r="A22" s="36"/>
      <c r="B22" s="36"/>
      <c r="C22" s="36"/>
      <c r="D22" s="36"/>
      <c r="E22" s="3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36"/>
  <sheetViews>
    <sheetView tabSelected="1" workbookViewId="0">
      <selection activeCell="C13" sqref="C13:C14"/>
    </sheetView>
  </sheetViews>
  <sheetFormatPr baseColWidth="10" defaultRowHeight="15"/>
  <cols>
    <col min="1" max="1" width="2.5703125" customWidth="1"/>
    <col min="2" max="2" width="48.140625" customWidth="1"/>
  </cols>
  <sheetData>
    <row r="2" spans="2:4">
      <c r="B2" s="18" t="str">
        <f>'Enunciado - Balance y CR 5años'!B4</f>
        <v>Financiación</v>
      </c>
      <c r="C2" s="19"/>
    </row>
    <row r="3" spans="2:4">
      <c r="B3" s="20" t="str">
        <f>'Enunciado - Balance y CR 5años'!B5</f>
        <v>Aportación de capital</v>
      </c>
      <c r="C3" s="21">
        <f>'Enunciado - Balance y CR 5años'!C5</f>
        <v>120000</v>
      </c>
      <c r="D3" s="50"/>
    </row>
    <row r="4" spans="2:4">
      <c r="B4" s="20" t="str">
        <f>'Enunciado - Balance y CR 5años'!B6</f>
        <v>Prestamo del banco</v>
      </c>
      <c r="C4" s="21">
        <f>'Enunciado - Balance y CR 5años'!C6</f>
        <v>100000</v>
      </c>
    </row>
    <row r="5" spans="2:4">
      <c r="B5" s="22" t="str">
        <f>'Enunciado - Balance y CR 5años'!B7</f>
        <v>TAE (%)</v>
      </c>
      <c r="C5" s="23">
        <f>C14</f>
        <v>6.5000000000000002E-2</v>
      </c>
    </row>
    <row r="6" spans="2:4">
      <c r="B6" s="24" t="str">
        <f>'Enunciado - Balance y CR 5años'!B8</f>
        <v>Ventas anuales</v>
      </c>
      <c r="C6" s="21">
        <f>'Enunciado - Balance y CR 5años'!C8</f>
        <v>180000</v>
      </c>
    </row>
    <row r="7" spans="2:4">
      <c r="B7" s="24" t="str">
        <f>'Enunciado - Balance y CR 5años'!B9</f>
        <v>Recursos necesarios</v>
      </c>
      <c r="C7" s="25"/>
    </row>
    <row r="8" spans="2:4">
      <c r="B8" s="20" t="str">
        <f>'Enunciado - Balance y CR 5años'!B10</f>
        <v>Precio de la máquina</v>
      </c>
      <c r="C8" s="21">
        <f>'Enunciado - Balance y CR 5años'!C10</f>
        <v>200000</v>
      </c>
    </row>
    <row r="9" spans="2:4" ht="30">
      <c r="B9" s="26" t="str">
        <f>'Enunciado - Balance y CR 5años'!B11</f>
        <v>Coste de la materia prima necesaria para fabricar los productos que se venden en un año</v>
      </c>
      <c r="C9" s="21">
        <f>'Enunciado - Balance y CR 5años'!C11</f>
        <v>60000</v>
      </c>
    </row>
    <row r="10" spans="2:4" ht="30">
      <c r="B10" s="26" t="str">
        <f>'Enunciado - Balance y CR 5años'!B12</f>
        <v>Coste de la mano de obra necesaria para fabricar los productos que se venden en un año</v>
      </c>
      <c r="C10" s="21">
        <f>'Enunciado - Balance y CR 5años'!C12</f>
        <v>36000</v>
      </c>
    </row>
    <row r="11" spans="2:4">
      <c r="B11" s="27" t="str">
        <f>'Enunciado - Balance y CR 5años'!B13</f>
        <v>Gastos de alquiler del local</v>
      </c>
      <c r="C11" s="28">
        <f>'Enunciado - Balance y CR 5años'!C13</f>
        <v>12000</v>
      </c>
    </row>
    <row r="13" spans="2:4">
      <c r="B13" s="18" t="s">
        <v>83</v>
      </c>
      <c r="C13" s="53">
        <v>0.1</v>
      </c>
    </row>
    <row r="14" spans="2:4">
      <c r="B14" s="61" t="str">
        <f>B5</f>
        <v>TAE (%)</v>
      </c>
      <c r="C14" s="23">
        <v>6.5000000000000002E-2</v>
      </c>
    </row>
    <row r="15" spans="2:4">
      <c r="B15" s="62" t="s">
        <v>84</v>
      </c>
      <c r="C15" s="54">
        <f>SUMPRODUCT(C3:C4,C13:C14)/SUM(C3:C4)</f>
        <v>8.4090909090909091E-2</v>
      </c>
      <c r="D15" s="51" t="s">
        <v>101</v>
      </c>
    </row>
    <row r="17" spans="2:9" ht="46.5" customHeight="1" thickBot="1">
      <c r="B17" s="55" t="s">
        <v>85</v>
      </c>
    </row>
    <row r="18" spans="2:9" ht="15.75" thickTop="1">
      <c r="D18" s="56">
        <v>1</v>
      </c>
      <c r="E18" s="56">
        <v>2</v>
      </c>
      <c r="F18" s="56">
        <v>3</v>
      </c>
      <c r="G18" s="56">
        <v>4</v>
      </c>
      <c r="H18" s="56">
        <v>5</v>
      </c>
    </row>
    <row r="19" spans="2:9">
      <c r="B19" s="57"/>
      <c r="C19" s="58" t="s">
        <v>88</v>
      </c>
      <c r="D19" s="58" t="s">
        <v>86</v>
      </c>
      <c r="E19" s="58" t="s">
        <v>87</v>
      </c>
      <c r="F19" s="58" t="s">
        <v>89</v>
      </c>
      <c r="G19" s="58" t="s">
        <v>90</v>
      </c>
      <c r="H19" s="58" t="s">
        <v>91</v>
      </c>
    </row>
    <row r="20" spans="2:9">
      <c r="B20" t="s">
        <v>110</v>
      </c>
      <c r="C20" s="32">
        <f>-(C3+C4+C21)</f>
        <v>-200000</v>
      </c>
      <c r="D20" s="32"/>
      <c r="E20" s="32"/>
      <c r="F20" s="32"/>
      <c r="G20" s="32"/>
      <c r="H20" s="32"/>
      <c r="I20" s="52" t="s">
        <v>102</v>
      </c>
    </row>
    <row r="21" spans="2:9">
      <c r="B21" t="s">
        <v>111</v>
      </c>
      <c r="C21" s="32">
        <v>-20000</v>
      </c>
      <c r="D21" s="32"/>
      <c r="E21" s="32"/>
      <c r="F21" s="32"/>
      <c r="G21" s="32"/>
      <c r="H21" s="32">
        <v>20000</v>
      </c>
      <c r="I21" s="52"/>
    </row>
    <row r="22" spans="2:9">
      <c r="B22" t="s">
        <v>92</v>
      </c>
      <c r="C22" s="32"/>
      <c r="D22" s="32">
        <f>$C$6</f>
        <v>180000</v>
      </c>
      <c r="E22" s="32">
        <f t="shared" ref="E22:H22" si="0">$C$6</f>
        <v>180000</v>
      </c>
      <c r="F22" s="32">
        <f t="shared" si="0"/>
        <v>180000</v>
      </c>
      <c r="G22" s="32">
        <f t="shared" si="0"/>
        <v>180000</v>
      </c>
      <c r="H22" s="32">
        <f t="shared" si="0"/>
        <v>180000</v>
      </c>
    </row>
    <row r="23" spans="2:9">
      <c r="B23" t="s">
        <v>93</v>
      </c>
      <c r="C23" s="32"/>
      <c r="D23" s="32">
        <f>-$C$9</f>
        <v>-60000</v>
      </c>
      <c r="E23" s="32">
        <f t="shared" ref="E23:H23" si="1">-$C$9</f>
        <v>-60000</v>
      </c>
      <c r="F23" s="32">
        <f t="shared" si="1"/>
        <v>-60000</v>
      </c>
      <c r="G23" s="32">
        <f t="shared" si="1"/>
        <v>-60000</v>
      </c>
      <c r="H23" s="32">
        <f t="shared" si="1"/>
        <v>-60000</v>
      </c>
      <c r="I23" s="52" t="s">
        <v>103</v>
      </c>
    </row>
    <row r="24" spans="2:9">
      <c r="B24" t="s">
        <v>94</v>
      </c>
      <c r="C24" s="32"/>
      <c r="D24" s="32">
        <f>-$C$10</f>
        <v>-36000</v>
      </c>
      <c r="E24" s="32">
        <f t="shared" ref="E24:H24" si="2">-$C$10</f>
        <v>-36000</v>
      </c>
      <c r="F24" s="32">
        <f t="shared" si="2"/>
        <v>-36000</v>
      </c>
      <c r="G24" s="32">
        <f t="shared" si="2"/>
        <v>-36000</v>
      </c>
      <c r="H24" s="32">
        <f t="shared" si="2"/>
        <v>-36000</v>
      </c>
    </row>
    <row r="25" spans="2:9">
      <c r="B25" t="s">
        <v>95</v>
      </c>
      <c r="C25" s="32"/>
      <c r="D25" s="32">
        <f>-$C$11</f>
        <v>-12000</v>
      </c>
      <c r="E25" s="32">
        <f t="shared" ref="E25:H25" si="3">-$C$11</f>
        <v>-12000</v>
      </c>
      <c r="F25" s="32">
        <f t="shared" si="3"/>
        <v>-12000</v>
      </c>
      <c r="G25" s="32">
        <f t="shared" si="3"/>
        <v>-12000</v>
      </c>
      <c r="H25" s="32">
        <f t="shared" si="3"/>
        <v>-12000</v>
      </c>
    </row>
    <row r="26" spans="2:9">
      <c r="B26" t="s">
        <v>96</v>
      </c>
      <c r="C26" s="32"/>
      <c r="D26" s="32">
        <f>'Enunciado - Balance y CR 5años'!$D$23</f>
        <v>-8925</v>
      </c>
      <c r="E26" s="32">
        <f>'Enunciado - Balance y CR 5años'!$D$23</f>
        <v>-8925</v>
      </c>
      <c r="F26" s="32">
        <f>'Enunciado - Balance y CR 5años'!$D$23</f>
        <v>-8925</v>
      </c>
      <c r="G26" s="32">
        <f>'Enunciado - Balance y CR 5años'!$D$23</f>
        <v>-8925</v>
      </c>
      <c r="H26" s="32">
        <f>'Enunciado - Balance y CR 5años'!$D$23</f>
        <v>-8925</v>
      </c>
      <c r="I26" s="51" t="s">
        <v>100</v>
      </c>
    </row>
    <row r="27" spans="2:9" ht="15.75" thickBot="1">
      <c r="B27" s="59" t="s">
        <v>97</v>
      </c>
      <c r="C27" s="60">
        <f>SUM(C20:C26)</f>
        <v>-220000</v>
      </c>
      <c r="D27" s="60">
        <f t="shared" ref="D27:H27" si="4">SUM(D20:D26)</f>
        <v>63075</v>
      </c>
      <c r="E27" s="60">
        <f t="shared" si="4"/>
        <v>63075</v>
      </c>
      <c r="F27" s="60">
        <f t="shared" si="4"/>
        <v>63075</v>
      </c>
      <c r="G27" s="60">
        <f t="shared" si="4"/>
        <v>63075</v>
      </c>
      <c r="H27" s="60">
        <f t="shared" si="4"/>
        <v>83075</v>
      </c>
    </row>
    <row r="28" spans="2:9" ht="15.75" thickTop="1">
      <c r="B28" t="s">
        <v>98</v>
      </c>
      <c r="C28" s="32"/>
      <c r="D28" s="32">
        <f>D27-D29</f>
        <v>4892.6100628930799</v>
      </c>
      <c r="E28" s="32">
        <f t="shared" ref="E28:H28" si="5">E27-E29</f>
        <v>9405.7094919768351</v>
      </c>
      <c r="F28" s="32">
        <f t="shared" si="5"/>
        <v>13568.736219014267</v>
      </c>
      <c r="G28" s="32">
        <f t="shared" si="5"/>
        <v>17408.844730327619</v>
      </c>
      <c r="H28" s="32">
        <f t="shared" si="5"/>
        <v>27594.312103994707</v>
      </c>
      <c r="I28" s="51" t="s">
        <v>106</v>
      </c>
    </row>
    <row r="29" spans="2:9">
      <c r="B29" t="s">
        <v>99</v>
      </c>
      <c r="C29" s="32">
        <f>C27/(1+$C$15)^C18</f>
        <v>-220000</v>
      </c>
      <c r="D29" s="32">
        <f>D27/(1+$C$15)^D18</f>
        <v>58182.38993710692</v>
      </c>
      <c r="E29" s="32">
        <f t="shared" ref="E29:H29" si="6">E27/(1+$C$15)^E18</f>
        <v>53669.290508023165</v>
      </c>
      <c r="F29" s="32">
        <f t="shared" si="6"/>
        <v>49506.263780985733</v>
      </c>
      <c r="G29" s="32">
        <f t="shared" si="6"/>
        <v>45666.155269672381</v>
      </c>
      <c r="H29" s="32">
        <f t="shared" si="6"/>
        <v>55480.687896005293</v>
      </c>
    </row>
    <row r="30" spans="2:9">
      <c r="D30" s="32"/>
      <c r="E30" s="32"/>
      <c r="F30" s="32"/>
      <c r="G30" s="32"/>
      <c r="H30" s="32"/>
    </row>
    <row r="31" spans="2:9">
      <c r="B31" t="s">
        <v>65</v>
      </c>
      <c r="C31" s="32">
        <f>SUM(C29:H29)</f>
        <v>42504.787391793507</v>
      </c>
      <c r="E31" s="32"/>
      <c r="F31" s="32"/>
      <c r="G31" s="32"/>
      <c r="H31" s="32"/>
    </row>
    <row r="32" spans="2:9">
      <c r="B32" t="s">
        <v>66</v>
      </c>
      <c r="C32" s="39">
        <f>IRR(C27:H27)</f>
        <v>0.15255166716554058</v>
      </c>
    </row>
    <row r="34" spans="2:3">
      <c r="B34" s="18" t="s">
        <v>107</v>
      </c>
      <c r="C34" s="53">
        <f>C35+C36*C4/C3</f>
        <v>0.22551138980349106</v>
      </c>
    </row>
    <row r="35" spans="2:3">
      <c r="B35" s="64" t="s">
        <v>109</v>
      </c>
      <c r="C35" s="23">
        <f>C32</f>
        <v>0.15255166716554058</v>
      </c>
    </row>
    <row r="36" spans="2:3">
      <c r="B36" s="63" t="s">
        <v>108</v>
      </c>
      <c r="C36" s="54">
        <f>C32-C14</f>
        <v>8.7551667165540581E-2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9" sqref="B9"/>
    </sheetView>
  </sheetViews>
  <sheetFormatPr baseColWidth="10" defaultRowHeight="15"/>
  <sheetData>
    <row r="1" spans="1:8">
      <c r="A1" t="s">
        <v>59</v>
      </c>
      <c r="B1" s="1">
        <v>50000</v>
      </c>
    </row>
    <row r="3" spans="1:8">
      <c r="A3" t="s">
        <v>60</v>
      </c>
      <c r="B3" s="39">
        <v>7.0000000000000007E-2</v>
      </c>
    </row>
    <row r="4" spans="1:8">
      <c r="A4">
        <v>0</v>
      </c>
      <c r="B4" s="1">
        <v>37362.90864330285</v>
      </c>
      <c r="C4" s="1">
        <f t="shared" ref="C4:C7" si="0">C5/(1+$B$3)</f>
        <v>35649.308974183412</v>
      </c>
    </row>
    <row r="5" spans="1:8">
      <c r="A5">
        <v>1</v>
      </c>
      <c r="B5" s="1">
        <f>B4*(1+B3)</f>
        <v>39978.312248334048</v>
      </c>
      <c r="C5" s="1">
        <f t="shared" si="0"/>
        <v>38144.760602376256</v>
      </c>
    </row>
    <row r="6" spans="1:8">
      <c r="A6">
        <v>2</v>
      </c>
      <c r="B6" s="1">
        <f>B5*(1+$B$3)</f>
        <v>42776.794105717432</v>
      </c>
      <c r="C6" s="1">
        <f t="shared" si="0"/>
        <v>40814.893844542596</v>
      </c>
    </row>
    <row r="7" spans="1:8">
      <c r="A7">
        <v>3</v>
      </c>
      <c r="B7" s="1">
        <f t="shared" ref="B7:B9" si="1">B6*(1+$B$3)</f>
        <v>45771.169693117656</v>
      </c>
      <c r="C7" s="1">
        <f t="shared" si="0"/>
        <v>43671.93641366058</v>
      </c>
    </row>
    <row r="8" spans="1:8">
      <c r="A8">
        <v>4</v>
      </c>
      <c r="B8" s="1">
        <f t="shared" si="1"/>
        <v>48975.151571635892</v>
      </c>
      <c r="C8" s="1">
        <f>C9/(1+$B$3)</f>
        <v>46728.971962616823</v>
      </c>
    </row>
    <row r="9" spans="1:8">
      <c r="A9">
        <v>5</v>
      </c>
      <c r="B9" s="1">
        <f t="shared" si="1"/>
        <v>52403.412181650405</v>
      </c>
      <c r="C9" s="1">
        <f>B1</f>
        <v>50000</v>
      </c>
    </row>
    <row r="13" spans="1:8">
      <c r="B13" s="40">
        <v>0</v>
      </c>
      <c r="C13" s="40">
        <v>1</v>
      </c>
      <c r="D13" s="40">
        <v>2</v>
      </c>
      <c r="E13" s="40">
        <v>3</v>
      </c>
      <c r="F13" s="40">
        <v>4</v>
      </c>
      <c r="G13" s="40">
        <v>5</v>
      </c>
      <c r="H13" s="40">
        <v>6</v>
      </c>
    </row>
    <row r="14" spans="1:8">
      <c r="A14" t="s">
        <v>61</v>
      </c>
      <c r="B14" s="1">
        <v>-200000</v>
      </c>
      <c r="C14" s="1"/>
      <c r="D14" s="1"/>
      <c r="E14" s="1"/>
      <c r="F14" s="1"/>
      <c r="G14" s="1"/>
      <c r="H14" s="1"/>
    </row>
    <row r="15" spans="1:8">
      <c r="A15" s="41" t="s">
        <v>62</v>
      </c>
      <c r="B15" s="42"/>
      <c r="C15" s="42">
        <v>30000</v>
      </c>
      <c r="D15" s="42">
        <v>40000</v>
      </c>
      <c r="E15" s="42">
        <v>45000</v>
      </c>
      <c r="F15" s="42">
        <v>50000</v>
      </c>
      <c r="G15" s="42">
        <v>60000</v>
      </c>
      <c r="H15" s="42">
        <v>65000</v>
      </c>
    </row>
    <row r="16" spans="1:8">
      <c r="A16" t="s">
        <v>62</v>
      </c>
      <c r="B16" s="1">
        <f>SUM(B14:B15)</f>
        <v>-200000</v>
      </c>
      <c r="C16" s="1">
        <f t="shared" ref="C16:G16" si="2">SUM(C14:C15)</f>
        <v>30000</v>
      </c>
      <c r="D16" s="1">
        <f t="shared" si="2"/>
        <v>40000</v>
      </c>
      <c r="E16" s="1">
        <f t="shared" si="2"/>
        <v>45000</v>
      </c>
      <c r="F16" s="1">
        <f t="shared" si="2"/>
        <v>50000</v>
      </c>
      <c r="G16" s="1">
        <f t="shared" si="2"/>
        <v>60000</v>
      </c>
      <c r="H16" s="1">
        <f>SUM(H14:H15)</f>
        <v>65000</v>
      </c>
    </row>
    <row r="17" spans="1:8">
      <c r="A17" t="s">
        <v>64</v>
      </c>
      <c r="B17" s="1">
        <f>B16</f>
        <v>-200000</v>
      </c>
      <c r="C17" s="1">
        <f>C16/(1+$B$20)^C13</f>
        <v>27186.225645672861</v>
      </c>
      <c r="D17" s="1">
        <f t="shared" ref="D17:H17" si="3">D16/(1+$B$20)^D13</f>
        <v>32848.482882552918</v>
      </c>
      <c r="E17" s="1">
        <f t="shared" si="3"/>
        <v>33488.485041116481</v>
      </c>
      <c r="F17" s="1">
        <f t="shared" si="3"/>
        <v>33719.463365167881</v>
      </c>
      <c r="G17" s="1">
        <f t="shared" si="3"/>
        <v>36668.197587858143</v>
      </c>
      <c r="H17" s="1">
        <f t="shared" si="3"/>
        <v>35998.079492686593</v>
      </c>
    </row>
    <row r="18" spans="1:8">
      <c r="C18" s="1"/>
      <c r="D18" s="1"/>
      <c r="E18" s="1"/>
      <c r="F18" s="1"/>
      <c r="G18" s="1"/>
      <c r="H18" s="1"/>
    </row>
    <row r="20" spans="1:8">
      <c r="A20" t="s">
        <v>63</v>
      </c>
      <c r="B20" s="43">
        <v>0.10349999999999999</v>
      </c>
    </row>
    <row r="21" spans="1:8">
      <c r="A21" t="s">
        <v>65</v>
      </c>
      <c r="B21" s="1">
        <f>SUM(B17:H17)</f>
        <v>-91.065984945133096</v>
      </c>
    </row>
    <row r="22" spans="1:8">
      <c r="A22" t="s">
        <v>66</v>
      </c>
      <c r="B22" s="44">
        <f>IRR(B16:H16)</f>
        <v>0.10336192502365145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Enunciado - Balance y CR 5años</vt:lpstr>
      <vt:lpstr>Balance</vt:lpstr>
      <vt:lpstr>Inversion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Cañabate</dc:creator>
  <cp:lastModifiedBy>Toni Cañabate</cp:lastModifiedBy>
  <dcterms:created xsi:type="dcterms:W3CDTF">2008-05-08T00:53:16Z</dcterms:created>
  <dcterms:modified xsi:type="dcterms:W3CDTF">2009-12-10T02:23:01Z</dcterms:modified>
</cp:coreProperties>
</file>