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gabillah\12gabillah\Rangkuman Engineering\Projek Ship Lines &amp; Genenral Arrangement Plan, DWT Oil Tanker, MTM Antwerp\"/>
    </mc:Choice>
  </mc:AlternateContent>
  <xr:revisionPtr revIDLastSave="0" documentId="13_ncr:1_{058C6EB1-3515-42AB-988B-D688DDD7EF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 Arrangement" sheetId="2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4" i="2" l="1"/>
  <c r="D655" i="2" s="1"/>
  <c r="F17" i="2" l="1"/>
  <c r="I655" i="2"/>
  <c r="E438" i="2"/>
  <c r="D7" i="2"/>
  <c r="E641" i="2" l="1"/>
  <c r="D49" i="2"/>
  <c r="D637" i="2"/>
  <c r="D636" i="2"/>
  <c r="D633" i="2"/>
  <c r="D615" i="2" l="1"/>
  <c r="D611" i="2" s="1"/>
  <c r="D621" i="2"/>
  <c r="D607" i="2"/>
  <c r="D629" i="2" s="1"/>
  <c r="D577" i="2"/>
  <c r="D575" i="2"/>
  <c r="D573" i="2"/>
  <c r="D569" i="2"/>
  <c r="D624" i="2" l="1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D531" i="2"/>
  <c r="D538" i="2" s="1"/>
  <c r="H520" i="2"/>
  <c r="F520" i="2"/>
  <c r="H519" i="2"/>
  <c r="F519" i="2"/>
  <c r="H518" i="2"/>
  <c r="F518" i="2"/>
  <c r="H517" i="2"/>
  <c r="F517" i="2"/>
  <c r="H516" i="2"/>
  <c r="F516" i="2"/>
  <c r="H515" i="2"/>
  <c r="F515" i="2"/>
  <c r="H514" i="2"/>
  <c r="F514" i="2"/>
  <c r="H513" i="2"/>
  <c r="F513" i="2"/>
  <c r="H512" i="2"/>
  <c r="F512" i="2"/>
  <c r="H511" i="2"/>
  <c r="F511" i="2"/>
  <c r="H510" i="2"/>
  <c r="F510" i="2"/>
  <c r="H509" i="2"/>
  <c r="F509" i="2"/>
  <c r="H508" i="2"/>
  <c r="F508" i="2"/>
  <c r="H507" i="2"/>
  <c r="F507" i="2"/>
  <c r="H506" i="2"/>
  <c r="F506" i="2"/>
  <c r="H505" i="2"/>
  <c r="F505" i="2"/>
  <c r="H504" i="2"/>
  <c r="F504" i="2"/>
  <c r="D458" i="2"/>
  <c r="D489" i="2" s="1"/>
  <c r="E432" i="2"/>
  <c r="D373" i="2"/>
  <c r="D363" i="2"/>
  <c r="D352" i="2"/>
  <c r="D329" i="2"/>
  <c r="G271" i="2"/>
  <c r="G273" i="2" s="1"/>
  <c r="D270" i="2" s="1"/>
  <c r="X237" i="2"/>
  <c r="X232" i="2"/>
  <c r="X226" i="2"/>
  <c r="Z218" i="2" s="1"/>
  <c r="Z219" i="2" s="1"/>
  <c r="D226" i="2"/>
  <c r="G224" i="2"/>
  <c r="F224" i="2"/>
  <c r="D217" i="2"/>
  <c r="D224" i="2" s="1"/>
  <c r="D214" i="2"/>
  <c r="D223" i="2" s="1"/>
  <c r="D211" i="2"/>
  <c r="D200" i="2"/>
  <c r="D207" i="2" s="1"/>
  <c r="D225" i="2" s="1"/>
  <c r="X177" i="2"/>
  <c r="X180" i="2" s="1"/>
  <c r="X181" i="2" s="1"/>
  <c r="X191" i="2" s="1"/>
  <c r="X195" i="2" s="1"/>
  <c r="X196" i="2" s="1"/>
  <c r="X203" i="2" s="1"/>
  <c r="X163" i="2"/>
  <c r="X153" i="2"/>
  <c r="X154" i="2" s="1"/>
  <c r="X150" i="2"/>
  <c r="D106" i="2"/>
  <c r="AA99" i="2"/>
  <c r="I82" i="2"/>
  <c r="X21" i="2"/>
  <c r="D19" i="2"/>
  <c r="X18" i="2"/>
  <c r="D16" i="2"/>
  <c r="H15" i="2"/>
  <c r="D14" i="2"/>
  <c r="D12" i="2"/>
  <c r="X9" i="2"/>
  <c r="X65" i="2" s="1"/>
  <c r="D9" i="2"/>
  <c r="D385" i="2" l="1"/>
  <c r="D260" i="2" s="1"/>
  <c r="D52" i="2"/>
  <c r="D56" i="2" s="1"/>
  <c r="D54" i="2"/>
  <c r="D73" i="2"/>
  <c r="D648" i="2"/>
  <c r="D646" i="2"/>
  <c r="D85" i="2"/>
  <c r="F601" i="2"/>
  <c r="D67" i="2"/>
  <c r="D601" i="2"/>
  <c r="D582" i="2"/>
  <c r="D587" i="2"/>
  <c r="D566" i="2"/>
  <c r="G207" i="2"/>
  <c r="H207" i="2" s="1"/>
  <c r="F211" i="2" s="1"/>
  <c r="X52" i="2"/>
  <c r="X148" i="2" s="1"/>
  <c r="G549" i="2"/>
  <c r="X227" i="2"/>
  <c r="J515" i="2"/>
  <c r="J505" i="2"/>
  <c r="J511" i="2"/>
  <c r="G544" i="2"/>
  <c r="J519" i="2"/>
  <c r="J507" i="2"/>
  <c r="J517" i="2"/>
  <c r="G555" i="2"/>
  <c r="J513" i="2"/>
  <c r="X95" i="2"/>
  <c r="X149" i="2" s="1"/>
  <c r="G548" i="2"/>
  <c r="G543" i="2"/>
  <c r="G559" i="2"/>
  <c r="D315" i="2"/>
  <c r="G553" i="2"/>
  <c r="D316" i="2"/>
  <c r="G554" i="2"/>
  <c r="J509" i="2"/>
  <c r="G547" i="2"/>
  <c r="D279" i="2"/>
  <c r="D332" i="2"/>
  <c r="D42" i="2"/>
  <c r="E439" i="2"/>
  <c r="G550" i="2"/>
  <c r="G556" i="2"/>
  <c r="D45" i="2"/>
  <c r="D72" i="2"/>
  <c r="D103" i="2" s="1"/>
  <c r="D220" i="2" s="1"/>
  <c r="X101" i="2"/>
  <c r="J504" i="2"/>
  <c r="J506" i="2"/>
  <c r="J508" i="2"/>
  <c r="J510" i="2"/>
  <c r="J512" i="2"/>
  <c r="J514" i="2"/>
  <c r="J516" i="2"/>
  <c r="J518" i="2"/>
  <c r="J520" i="2"/>
  <c r="G545" i="2"/>
  <c r="G551" i="2"/>
  <c r="G557" i="2"/>
  <c r="D65" i="2"/>
  <c r="G546" i="2"/>
  <c r="G552" i="2"/>
  <c r="G558" i="2"/>
  <c r="D10" i="2"/>
  <c r="D69" i="2" s="1"/>
  <c r="D244" i="2" l="1"/>
  <c r="G519" i="2"/>
  <c r="I519" i="2" s="1"/>
  <c r="F558" i="2" s="1"/>
  <c r="H558" i="2" s="1"/>
  <c r="I558" i="2" s="1"/>
  <c r="J558" i="2" s="1"/>
  <c r="K558" i="2" s="1"/>
  <c r="K274" i="2"/>
  <c r="K273" i="2"/>
  <c r="K271" i="2"/>
  <c r="D369" i="2"/>
  <c r="D47" i="2"/>
  <c r="D58" i="2" s="1"/>
  <c r="D46" i="2"/>
  <c r="D82" i="2"/>
  <c r="G98" i="2" s="1"/>
  <c r="D87" i="2"/>
  <c r="D32" i="2"/>
  <c r="D602" i="2"/>
  <c r="D222" i="2"/>
  <c r="G509" i="2"/>
  <c r="I509" i="2" s="1"/>
  <c r="K509" i="2" s="1"/>
  <c r="D468" i="2"/>
  <c r="D472" i="2" s="1"/>
  <c r="D478" i="2" s="1"/>
  <c r="D492" i="2" s="1"/>
  <c r="G504" i="2"/>
  <c r="I504" i="2" s="1"/>
  <c r="K504" i="2" s="1"/>
  <c r="G512" i="2"/>
  <c r="I512" i="2" s="1"/>
  <c r="F551" i="2" s="1"/>
  <c r="P551" i="2" s="1"/>
  <c r="G516" i="2"/>
  <c r="I516" i="2" s="1"/>
  <c r="F555" i="2" s="1"/>
  <c r="G507" i="2"/>
  <c r="I507" i="2" s="1"/>
  <c r="F546" i="2" s="1"/>
  <c r="P546" i="2" s="1"/>
  <c r="G510" i="2"/>
  <c r="I510" i="2" s="1"/>
  <c r="F549" i="2" s="1"/>
  <c r="P549" i="2" s="1"/>
  <c r="G518" i="2"/>
  <c r="I518" i="2" s="1"/>
  <c r="F557" i="2" s="1"/>
  <c r="P557" i="2" s="1"/>
  <c r="G513" i="2"/>
  <c r="I513" i="2" s="1"/>
  <c r="F552" i="2" s="1"/>
  <c r="P552" i="2" s="1"/>
  <c r="G517" i="2"/>
  <c r="I517" i="2" s="1"/>
  <c r="F556" i="2" s="1"/>
  <c r="G511" i="2"/>
  <c r="I511" i="2" s="1"/>
  <c r="K511" i="2" s="1"/>
  <c r="G520" i="2"/>
  <c r="I520" i="2" s="1"/>
  <c r="F559" i="2" s="1"/>
  <c r="P559" i="2" s="1"/>
  <c r="G505" i="2"/>
  <c r="I505" i="2" s="1"/>
  <c r="G515" i="2"/>
  <c r="I515" i="2" s="1"/>
  <c r="K515" i="2" s="1"/>
  <c r="D370" i="2"/>
  <c r="D466" i="2"/>
  <c r="G514" i="2"/>
  <c r="I514" i="2" s="1"/>
  <c r="F553" i="2" s="1"/>
  <c r="P553" i="2" s="1"/>
  <c r="G506" i="2"/>
  <c r="I506" i="2" s="1"/>
  <c r="F545" i="2" s="1"/>
  <c r="P545" i="2" s="1"/>
  <c r="D465" i="2"/>
  <c r="G508" i="2"/>
  <c r="I508" i="2" s="1"/>
  <c r="F547" i="2" s="1"/>
  <c r="P547" i="2" s="1"/>
  <c r="D469" i="2"/>
  <c r="D473" i="2" s="1"/>
  <c r="AA107" i="2"/>
  <c r="AA108" i="2" s="1"/>
  <c r="X108" i="2"/>
  <c r="X249" i="2" s="1"/>
  <c r="X253" i="2" s="1"/>
  <c r="X269" i="2" s="1"/>
  <c r="P558" i="2" l="1"/>
  <c r="K519" i="2"/>
  <c r="F96" i="2"/>
  <c r="G96" i="2" s="1"/>
  <c r="Z163" i="2" s="1"/>
  <c r="X164" i="2" s="1"/>
  <c r="D97" i="2"/>
  <c r="E97" i="2" s="1"/>
  <c r="D109" i="2" s="1"/>
  <c r="D112" i="2" s="1"/>
  <c r="G99" i="2"/>
  <c r="D98" i="2" s="1"/>
  <c r="D480" i="2"/>
  <c r="D494" i="2" s="1"/>
  <c r="H557" i="2"/>
  <c r="I557" i="2" s="1"/>
  <c r="J557" i="2" s="1"/>
  <c r="K557" i="2" s="1"/>
  <c r="F548" i="2"/>
  <c r="P548" i="2" s="1"/>
  <c r="K513" i="2"/>
  <c r="H552" i="2"/>
  <c r="I552" i="2" s="1"/>
  <c r="J552" i="2" s="1"/>
  <c r="K552" i="2" s="1"/>
  <c r="H556" i="2"/>
  <c r="I556" i="2" s="1"/>
  <c r="J556" i="2" s="1"/>
  <c r="K556" i="2" s="1"/>
  <c r="P556" i="2"/>
  <c r="H555" i="2"/>
  <c r="I555" i="2" s="1"/>
  <c r="J555" i="2" s="1"/>
  <c r="K555" i="2" s="1"/>
  <c r="P555" i="2"/>
  <c r="H559" i="2"/>
  <c r="I559" i="2" s="1"/>
  <c r="J559" i="2" s="1"/>
  <c r="K559" i="2" s="1"/>
  <c r="H546" i="2"/>
  <c r="I546" i="2" s="1"/>
  <c r="J546" i="2" s="1"/>
  <c r="K546" i="2" s="1"/>
  <c r="H553" i="2"/>
  <c r="I553" i="2" s="1"/>
  <c r="J553" i="2" s="1"/>
  <c r="K553" i="2" s="1"/>
  <c r="K506" i="2"/>
  <c r="K507" i="2"/>
  <c r="H549" i="2"/>
  <c r="I549" i="2" s="1"/>
  <c r="J549" i="2" s="1"/>
  <c r="K549" i="2" s="1"/>
  <c r="F543" i="2"/>
  <c r="P543" i="2" s="1"/>
  <c r="K510" i="2"/>
  <c r="K512" i="2"/>
  <c r="K517" i="2"/>
  <c r="K516" i="2"/>
  <c r="K514" i="2"/>
  <c r="H545" i="2"/>
  <c r="I545" i="2" s="1"/>
  <c r="J545" i="2" s="1"/>
  <c r="K545" i="2" s="1"/>
  <c r="K518" i="2"/>
  <c r="D485" i="2"/>
  <c r="K520" i="2"/>
  <c r="F554" i="2"/>
  <c r="P554" i="2" s="1"/>
  <c r="F544" i="2"/>
  <c r="P544" i="2" s="1"/>
  <c r="K505" i="2"/>
  <c r="F550" i="2"/>
  <c r="P550" i="2" s="1"/>
  <c r="K508" i="2"/>
  <c r="H551" i="2"/>
  <c r="I551" i="2" s="1"/>
  <c r="J551" i="2" s="1"/>
  <c r="K551" i="2" s="1"/>
  <c r="H547" i="2"/>
  <c r="I547" i="2" s="1"/>
  <c r="J547" i="2" s="1"/>
  <c r="K547" i="2" s="1"/>
  <c r="D481" i="2"/>
  <c r="D495" i="2" s="1"/>
  <c r="D486" i="2"/>
  <c r="D484" i="2"/>
  <c r="D479" i="2"/>
  <c r="D493" i="2" s="1"/>
  <c r="E109" i="2" l="1"/>
  <c r="H548" i="2"/>
  <c r="I548" i="2" s="1"/>
  <c r="J548" i="2" s="1"/>
  <c r="K548" i="2" s="1"/>
  <c r="H543" i="2"/>
  <c r="I543" i="2" s="1"/>
  <c r="J543" i="2" s="1"/>
  <c r="K543" i="2" s="1"/>
  <c r="H544" i="2"/>
  <c r="I544" i="2" s="1"/>
  <c r="J544" i="2" s="1"/>
  <c r="K544" i="2" s="1"/>
  <c r="H554" i="2"/>
  <c r="I554" i="2" s="1"/>
  <c r="J554" i="2" s="1"/>
  <c r="K554" i="2" s="1"/>
  <c r="H550" i="2"/>
  <c r="I550" i="2" s="1"/>
  <c r="J550" i="2" s="1"/>
  <c r="K550" i="2" s="1"/>
  <c r="D114" i="2"/>
  <c r="E114" i="2" s="1"/>
  <c r="D221" i="2"/>
  <c r="D228" i="2" s="1"/>
  <c r="D231" i="2" s="1"/>
  <c r="D248" i="2" s="1"/>
  <c r="D249" i="2" s="1"/>
  <c r="D232" i="2" l="1"/>
  <c r="D240" i="2" s="1"/>
  <c r="D241" i="2"/>
  <c r="E228" i="2"/>
  <c r="D312" i="2" l="1"/>
  <c r="D256" i="2"/>
  <c r="L556" i="2" l="1"/>
  <c r="M556" i="2" s="1"/>
  <c r="L550" i="2"/>
  <c r="M550" i="2" s="1"/>
  <c r="L544" i="2"/>
  <c r="M544" i="2" s="1"/>
  <c r="D525" i="2"/>
  <c r="D524" i="2"/>
  <c r="L555" i="2"/>
  <c r="M555" i="2" s="1"/>
  <c r="L549" i="2"/>
  <c r="M549" i="2" s="1"/>
  <c r="L543" i="2"/>
  <c r="M543" i="2" s="1"/>
  <c r="D392" i="2"/>
  <c r="D393" i="2" s="1"/>
  <c r="L554" i="2"/>
  <c r="M554" i="2" s="1"/>
  <c r="L548" i="2"/>
  <c r="M548" i="2" s="1"/>
  <c r="L559" i="2"/>
  <c r="M559" i="2" s="1"/>
  <c r="L553" i="2"/>
  <c r="M553" i="2" s="1"/>
  <c r="L547" i="2"/>
  <c r="M547" i="2" s="1"/>
  <c r="L558" i="2"/>
  <c r="M558" i="2" s="1"/>
  <c r="L552" i="2"/>
  <c r="M552" i="2" s="1"/>
  <c r="L546" i="2"/>
  <c r="M546" i="2" s="1"/>
  <c r="L557" i="2"/>
  <c r="M557" i="2" s="1"/>
  <c r="L551" i="2"/>
  <c r="M551" i="2" s="1"/>
  <c r="L545" i="2"/>
  <c r="M545" i="2" s="1"/>
  <c r="D320" i="2"/>
  <c r="D342" i="2"/>
  <c r="D334" i="2" s="1"/>
  <c r="D356" i="2"/>
  <c r="D360" i="2" s="1"/>
  <c r="D257" i="2"/>
  <c r="D321" i="2" l="1"/>
  <c r="D339" i="2" s="1"/>
  <c r="D335" i="2" s="1"/>
  <c r="D338" i="2"/>
  <c r="N555" i="2"/>
  <c r="S555" i="2" s="1"/>
  <c r="N549" i="2"/>
  <c r="S549" i="2" s="1"/>
  <c r="N543" i="2"/>
  <c r="S543" i="2" s="1"/>
  <c r="O554" i="2"/>
  <c r="Q554" i="2" s="1"/>
  <c r="O548" i="2"/>
  <c r="Q548" i="2" s="1"/>
  <c r="O544" i="2"/>
  <c r="Q544" i="2" s="1"/>
  <c r="N554" i="2"/>
  <c r="S554" i="2" s="1"/>
  <c r="N548" i="2"/>
  <c r="S548" i="2" s="1"/>
  <c r="O559" i="2"/>
  <c r="Q559" i="2" s="1"/>
  <c r="O553" i="2"/>
  <c r="Q553" i="2" s="1"/>
  <c r="O547" i="2"/>
  <c r="Q547" i="2" s="1"/>
  <c r="N559" i="2"/>
  <c r="S559" i="2" s="1"/>
  <c r="N553" i="2"/>
  <c r="S553" i="2" s="1"/>
  <c r="N547" i="2"/>
  <c r="S547" i="2" s="1"/>
  <c r="O550" i="2"/>
  <c r="Q550" i="2" s="1"/>
  <c r="O558" i="2"/>
  <c r="Q558" i="2" s="1"/>
  <c r="O552" i="2"/>
  <c r="Q552" i="2" s="1"/>
  <c r="O546" i="2"/>
  <c r="Q546" i="2" s="1"/>
  <c r="N558" i="2"/>
  <c r="S558" i="2" s="1"/>
  <c r="N552" i="2"/>
  <c r="S552" i="2" s="1"/>
  <c r="N546" i="2"/>
  <c r="S546" i="2" s="1"/>
  <c r="O557" i="2"/>
  <c r="Q557" i="2" s="1"/>
  <c r="O551" i="2"/>
  <c r="Q551" i="2" s="1"/>
  <c r="O545" i="2"/>
  <c r="Q545" i="2" s="1"/>
  <c r="O556" i="2"/>
  <c r="Q556" i="2" s="1"/>
  <c r="N557" i="2"/>
  <c r="S557" i="2" s="1"/>
  <c r="N551" i="2"/>
  <c r="S551" i="2" s="1"/>
  <c r="N545" i="2"/>
  <c r="S545" i="2" s="1"/>
  <c r="O549" i="2"/>
  <c r="Q549" i="2" s="1"/>
  <c r="N556" i="2"/>
  <c r="S556" i="2" s="1"/>
  <c r="N550" i="2"/>
  <c r="S550" i="2" s="1"/>
  <c r="N544" i="2"/>
  <c r="S544" i="2" s="1"/>
  <c r="O555" i="2"/>
  <c r="Q555" i="2" s="1"/>
  <c r="O543" i="2"/>
  <c r="Q543" i="2" s="1"/>
  <c r="D282" i="2"/>
  <c r="D357" i="2"/>
  <c r="D361" i="2" s="1"/>
  <c r="D343" i="2"/>
  <c r="D325" i="2"/>
  <c r="D326" i="2" l="1"/>
  <c r="D348" i="2"/>
  <c r="D346" i="2"/>
  <c r="D283" i="2"/>
  <c r="D289" i="2"/>
  <c r="D347" i="2"/>
  <c r="D451" i="2" s="1"/>
  <c r="D454" i="2" s="1"/>
  <c r="D349" i="2"/>
  <c r="D294" i="2" l="1"/>
  <c r="D309" i="2" s="1"/>
  <c r="D290" i="2"/>
  <c r="D300" i="2" l="1"/>
  <c r="D293" i="2"/>
  <c r="D308" i="2" s="1"/>
  <c r="F300" i="2" l="1"/>
  <c r="D304" i="2" s="1"/>
  <c r="D305" i="2"/>
</calcChain>
</file>

<file path=xl/sharedStrings.xml><?xml version="1.0" encoding="utf-8"?>
<sst xmlns="http://schemas.openxmlformats.org/spreadsheetml/2006/main" count="1121" uniqueCount="590">
  <si>
    <t>KW</t>
  </si>
  <si>
    <t xml:space="preserve"> =</t>
  </si>
  <si>
    <t>HP</t>
  </si>
  <si>
    <t>BHP SCR/0,85</t>
  </si>
  <si>
    <t>SCR merupakan 85% dari MCR</t>
  </si>
  <si>
    <t>Menghitung BHP MCR</t>
  </si>
  <si>
    <t>23.</t>
  </si>
  <si>
    <t>BHP SCR</t>
  </si>
  <si>
    <t>Karena RPM yang dihasilkan oleh M/E diperkirakan melebihi dari 240 RPM dari kecepatan kapal yang diinginkan, maka efisiensi gearbox adalah 98%</t>
  </si>
  <si>
    <t>Menghitung BHP SCR</t>
  </si>
  <si>
    <t>22.</t>
  </si>
  <si>
    <t>SHP</t>
  </si>
  <si>
    <t>Jika M/E Kapal di midship, losses 3%</t>
  </si>
  <si>
    <t>Jika M/E Kapal di belakang, losses 2%</t>
  </si>
  <si>
    <t>Menghitung SHP</t>
  </si>
  <si>
    <t>21.</t>
  </si>
  <si>
    <t>EHP / PC</t>
  </si>
  <si>
    <t>Menghitung DHP</t>
  </si>
  <si>
    <t>20.</t>
  </si>
  <si>
    <t>Koefisien Propulsif (PC)</t>
  </si>
  <si>
    <t>d.</t>
  </si>
  <si>
    <t>nilai k 0,7 - 0,9</t>
  </si>
  <si>
    <t>diantara 40% - 70%</t>
  </si>
  <si>
    <t>Efisiensi Open Water (ηo)</t>
  </si>
  <si>
    <t>c.</t>
  </si>
  <si>
    <t xml:space="preserve">  =</t>
  </si>
  <si>
    <t>t =</t>
  </si>
  <si>
    <t>Menghitung Thrust Deduction Factor</t>
  </si>
  <si>
    <t>Single Screw 1,01 - 1,07</t>
  </si>
  <si>
    <t>Efisiensi Relatif Rotatif (ηr)</t>
  </si>
  <si>
    <t>b.</t>
  </si>
  <si>
    <t xml:space="preserve">    =</t>
  </si>
  <si>
    <t>Menghitung Wake Friction</t>
  </si>
  <si>
    <t>KN</t>
  </si>
  <si>
    <t>Rt</t>
  </si>
  <si>
    <t>Efisiensi Lambung (ηH)</t>
  </si>
  <si>
    <t>a.</t>
  </si>
  <si>
    <t>(1+18%) x RT</t>
  </si>
  <si>
    <t>Menghitung Efisiensi</t>
  </si>
  <si>
    <t>19.</t>
  </si>
  <si>
    <t>15 - 20%</t>
  </si>
  <si>
    <t>Sea Margin</t>
  </si>
  <si>
    <t>Rute Pelayaran kapal adala menuju dari Tanjung Perak to Port Kelang, Malaysia</t>
  </si>
  <si>
    <t>PLUS JARAK TEMPUH</t>
  </si>
  <si>
    <t xml:space="preserve">VII. </t>
  </si>
  <si>
    <t>Menghitung Daya Efisiensi (EHP)</t>
  </si>
  <si>
    <t>18.</t>
  </si>
  <si>
    <t>0.001260 x 1/2 x 1025 x (7,196^2) x 4196</t>
  </si>
  <si>
    <t>MENGHITUNG DAYA MESIN</t>
  </si>
  <si>
    <t>CT x 1/2 x ρ x Vs2 x S</t>
  </si>
  <si>
    <t>Ct</t>
  </si>
  <si>
    <t>Cf + (Cr4+Caa+Cas) + Ca</t>
  </si>
  <si>
    <t>Cf + Cr + Ca</t>
  </si>
  <si>
    <t>Berdasarkan Rumus 5.5.13 TAHANAN DAN PROPULSI KAPAL SV.AA HARVALD Page 117</t>
  </si>
  <si>
    <t>TAHANAN TOTAL</t>
  </si>
  <si>
    <t xml:space="preserve">VI. </t>
  </si>
  <si>
    <t>(1+15%) x Rt</t>
  </si>
  <si>
    <t>Caa</t>
  </si>
  <si>
    <t>Sea Margin Pelayaran Asia Timur 15-20%</t>
  </si>
  <si>
    <t>Berdasarkan Rumus 5.5.26 TAHANAN DAN PROPULSI KAPAL SV.AA HARVALD Page 130</t>
  </si>
  <si>
    <t>KOEFISIEN TAHANAN UDARA SEBAGAI KOREKSI Cr</t>
  </si>
  <si>
    <t xml:space="preserve">V. </t>
  </si>
  <si>
    <t>Newton</t>
  </si>
  <si>
    <t>17.</t>
  </si>
  <si>
    <t>Cas</t>
  </si>
  <si>
    <t>Berdasarkan Rumus 5.5.27 TAHANAN DAN PROPULSI KAPAL SV.AA HARVALD hal. 130</t>
  </si>
  <si>
    <t>0,5 x ρ .Ct  .S .V^2</t>
  </si>
  <si>
    <t>Tahanan Total (Rt)</t>
  </si>
  <si>
    <t>KOEFISIEN TAHANAN KEMUDI SEBAGAI KOREKSI Cr</t>
  </si>
  <si>
    <t xml:space="preserve">IV. </t>
  </si>
  <si>
    <t>10^3 Ct</t>
  </si>
  <si>
    <t>Ca</t>
  </si>
  <si>
    <t>10^3 Ca</t>
  </si>
  <si>
    <t>B/T</t>
  </si>
  <si>
    <t>0.2 + (((-12)/50)*(-0.2))</t>
  </si>
  <si>
    <t>LCB</t>
  </si>
  <si>
    <t>10^3 Cas</t>
  </si>
  <si>
    <r>
      <rPr>
        <b/>
        <sz val="10"/>
        <rFont val="Times New Roman"/>
        <family val="1"/>
      </rPr>
      <t>10^3 Ca</t>
    </r>
    <r>
      <rPr>
        <sz val="10"/>
        <rFont val="Times New Roman"/>
        <family val="1"/>
      </rPr>
      <t xml:space="preserve"> - 0.2</t>
    </r>
  </si>
  <si>
    <t>10^3 Caa</t>
  </si>
  <si>
    <t>(0 - 0.2)</t>
  </si>
  <si>
    <t>(200 - 150)</t>
  </si>
  <si>
    <t>16.</t>
  </si>
  <si>
    <r>
      <t>(</t>
    </r>
    <r>
      <rPr>
        <b/>
        <sz val="10"/>
        <color theme="1"/>
        <rFont val="Times New Roman"/>
        <family val="1"/>
      </rPr>
      <t>10^3 Ca</t>
    </r>
    <r>
      <rPr>
        <sz val="10"/>
        <color theme="1"/>
        <rFont val="Times New Roman"/>
        <family val="1"/>
      </rPr>
      <t xml:space="preserve"> - 0.2)</t>
    </r>
  </si>
  <si>
    <t>(138 - 150)</t>
  </si>
  <si>
    <t>10^3 Cf</t>
  </si>
  <si>
    <t>Koefisien Tahanan Total</t>
  </si>
  <si>
    <t>15.</t>
  </si>
  <si>
    <r>
      <t>10</t>
    </r>
    <r>
      <rPr>
        <b/>
        <vertAlign val="superscript"/>
        <sz val="10"/>
        <color indexed="8"/>
        <rFont val="Times New Roman"/>
        <family val="1"/>
      </rPr>
      <t>3</t>
    </r>
    <r>
      <rPr>
        <b/>
        <sz val="10"/>
        <color indexed="8"/>
        <rFont val="Times New Roman"/>
        <family val="1"/>
      </rPr>
      <t>.Ca</t>
    </r>
  </si>
  <si>
    <r>
      <t>10</t>
    </r>
    <r>
      <rPr>
        <vertAlign val="superscript"/>
        <sz val="10"/>
        <color indexed="8"/>
        <rFont val="Times New Roman"/>
        <family val="1"/>
      </rPr>
      <t>3</t>
    </r>
    <r>
      <rPr>
        <sz val="10"/>
        <color indexed="8"/>
        <rFont val="Times New Roman"/>
        <family val="1"/>
      </rPr>
      <t xml:space="preserve"> Ca</t>
    </r>
  </si>
  <si>
    <t>harga Ca diperoleh sebesar :</t>
  </si>
  <si>
    <t>Dari pembacaan grafik dan perhitungan interpolasi,</t>
  </si>
  <si>
    <r>
      <t>10</t>
    </r>
    <r>
      <rPr>
        <b/>
        <vertAlign val="superscript"/>
        <sz val="10"/>
        <color indexed="8"/>
        <rFont val="Times New Roman"/>
        <family val="1"/>
      </rPr>
      <t>3</t>
    </r>
    <r>
      <rPr>
        <b/>
        <sz val="10"/>
        <color indexed="8"/>
        <rFont val="Times New Roman"/>
        <family val="1"/>
      </rPr>
      <t xml:space="preserve"> Ca</t>
    </r>
  </si>
  <si>
    <t>Harga L</t>
  </si>
  <si>
    <t>Tahanan Kemudi</t>
  </si>
  <si>
    <t>14.</t>
  </si>
  <si>
    <t>INTERPOLASI</t>
  </si>
  <si>
    <r>
      <t>≥</t>
    </r>
    <r>
      <rPr>
        <sz val="10"/>
        <color indexed="8"/>
        <rFont val="Times New Roman"/>
        <family val="1"/>
      </rPr>
      <t xml:space="preserve"> 300 m</t>
    </r>
  </si>
  <si>
    <t>1000000 ton</t>
  </si>
  <si>
    <t>250 m</t>
  </si>
  <si>
    <t>Tahanan Udara</t>
  </si>
  <si>
    <t>100000 ton</t>
  </si>
  <si>
    <t>200 m</t>
  </si>
  <si>
    <t>13.</t>
  </si>
  <si>
    <t>10000 ton</t>
  </si>
  <si>
    <t>150 m</t>
  </si>
  <si>
    <t>1000 ton</t>
  </si>
  <si>
    <r>
      <t>≤</t>
    </r>
    <r>
      <rPr>
        <sz val="10"/>
        <color indexed="8"/>
        <rFont val="Times New Roman"/>
        <family val="1"/>
      </rPr>
      <t xml:space="preserve"> 100 m</t>
    </r>
  </si>
  <si>
    <t>(Interpolasi)</t>
  </si>
  <si>
    <t>Harga ▼</t>
  </si>
  <si>
    <t>Menghitung Tahanan Tambahan</t>
  </si>
  <si>
    <t>12.</t>
  </si>
  <si>
    <t>Tahanan dan Propulsi Kapal SV. AA Harvald hal.132</t>
  </si>
  <si>
    <t>KOEFISIEN TAHANAN TAMBAHAN SEBAGAI KOREKSI Cf</t>
  </si>
  <si>
    <t>III</t>
  </si>
  <si>
    <t xml:space="preserve">x </t>
  </si>
  <si>
    <t>Koreksi LCB</t>
  </si>
  <si>
    <t>11.</t>
  </si>
  <si>
    <t>Cr_4</t>
  </si>
  <si>
    <t>(1+5%)*0.0009507</t>
  </si>
  <si>
    <r>
      <t>10</t>
    </r>
    <r>
      <rPr>
        <b/>
        <vertAlign val="superscript"/>
        <sz val="10"/>
        <rFont val="Times New Roman"/>
        <family val="1"/>
      </rPr>
      <t xml:space="preserve">3 </t>
    </r>
    <r>
      <rPr>
        <b/>
        <sz val="10"/>
        <rFont val="Times New Roman"/>
        <family val="1"/>
      </rPr>
      <t>C</t>
    </r>
    <r>
      <rPr>
        <b/>
        <vertAlign val="subscript"/>
        <sz val="10"/>
        <rFont val="Times New Roman"/>
        <family val="1"/>
      </rPr>
      <t>R</t>
    </r>
  </si>
  <si>
    <t>10.</t>
  </si>
  <si>
    <t>(1 + 5%) x Cr3</t>
  </si>
  <si>
    <t>Untuk kapal penuh Cr dinaikkan sebesar 3-5%, diambil 5%, sehingga :</t>
  </si>
  <si>
    <t>buku TAHANAN DAN PROPULSI KAPAL, HARVALD hal. 132</t>
  </si>
  <si>
    <t>Berdasarkan Grafik</t>
  </si>
  <si>
    <t>0,98 - 1,80</t>
  </si>
  <si>
    <t>Koreksi Board Members of Ship ( Anggota Badan Kapal )</t>
  </si>
  <si>
    <t xml:space="preserve">d. </t>
  </si>
  <si>
    <t>9.</t>
  </si>
  <si>
    <t>Cr_3</t>
  </si>
  <si>
    <t>LCB Standart</t>
  </si>
  <si>
    <r>
      <t>10</t>
    </r>
    <r>
      <rPr>
        <b/>
        <vertAlign val="superscript"/>
        <sz val="10"/>
        <rFont val="Times New Roman"/>
        <family val="1"/>
      </rPr>
      <t>3</t>
    </r>
    <r>
      <rPr>
        <b/>
        <sz val="10"/>
        <rFont val="Times New Roman"/>
        <family val="1"/>
      </rPr>
      <t>Cr</t>
    </r>
  </si>
  <si>
    <t>LCB Kapal</t>
  </si>
  <si>
    <t>Melakukan Koreksi LCB</t>
  </si>
  <si>
    <t>10^3Cr_Standart + (d10^3Cr/dLCB) x ∆LCB</t>
  </si>
  <si>
    <t xml:space="preserve">    dimana faktor (d103Cr/dLCB) didapat dari diagram 5.5.16 (HARVALD)</t>
  </si>
  <si>
    <r>
      <t>(d10</t>
    </r>
    <r>
      <rPr>
        <b/>
        <vertAlign val="superscript"/>
        <sz val="10"/>
        <rFont val="Times New Roman"/>
        <family val="1"/>
      </rPr>
      <t>3</t>
    </r>
    <r>
      <rPr>
        <b/>
        <sz val="10"/>
        <rFont val="Times New Roman"/>
        <family val="1"/>
      </rPr>
      <t>Cr/dLCB)</t>
    </r>
  </si>
  <si>
    <t>∆ LCB</t>
  </si>
  <si>
    <t>1.8% - 0.95%</t>
  </si>
  <si>
    <t>LCB - LCB_Standart</t>
  </si>
  <si>
    <t>Maka, terjadi penyimpangan LCB sebesar</t>
  </si>
  <si>
    <r>
      <t>Diagram 5.5.15 dengan harga Fn = 0,1956, maka LCB</t>
    </r>
    <r>
      <rPr>
        <b/>
        <sz val="10"/>
        <rFont val="Times New Roman"/>
        <family val="1"/>
      </rPr>
      <t xml:space="preserve"> 0.95%</t>
    </r>
    <r>
      <rPr>
        <sz val="10"/>
        <rFont val="Times New Roman"/>
        <family val="1"/>
      </rPr>
      <t xml:space="preserve"> dibelakang midship</t>
    </r>
  </si>
  <si>
    <r>
      <t xml:space="preserve">Harga LCB dalam diagram NSP sebesar </t>
    </r>
    <r>
      <rPr>
        <b/>
        <sz val="10"/>
        <rFont val="Times New Roman"/>
        <family val="1"/>
      </rPr>
      <t>1.8%</t>
    </r>
    <r>
      <rPr>
        <sz val="10"/>
        <rFont val="Times New Roman"/>
        <family val="1"/>
      </rPr>
      <t xml:space="preserve"> di depan midship</t>
    </r>
  </si>
  <si>
    <t xml:space="preserve">c. </t>
  </si>
  <si>
    <t>Cr_2</t>
  </si>
  <si>
    <r>
      <t>10</t>
    </r>
    <r>
      <rPr>
        <b/>
        <vertAlign val="superscript"/>
        <sz val="10"/>
        <rFont val="Times New Roman"/>
        <family val="1"/>
      </rPr>
      <t>3</t>
    </r>
    <r>
      <rPr>
        <b/>
        <sz val="10"/>
        <rFont val="Times New Roman"/>
        <family val="1"/>
      </rPr>
      <t>Cr</t>
    </r>
    <r>
      <rPr>
        <b/>
        <vertAlign val="subscript"/>
        <sz val="10"/>
        <rFont val="Times New Roman"/>
        <family val="1"/>
      </rPr>
      <t>2</t>
    </r>
  </si>
  <si>
    <r>
      <t>10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Cr</t>
    </r>
    <r>
      <rPr>
        <vertAlign val="subscript"/>
        <sz val="10"/>
        <rFont val="Times New Roman"/>
        <family val="1"/>
      </rPr>
      <t xml:space="preserve">1 </t>
    </r>
    <r>
      <rPr>
        <sz val="10"/>
        <rFont val="Times New Roman"/>
        <family val="1"/>
      </rPr>
      <t>+ 0,16(B/T - 2,5)</t>
    </r>
  </si>
  <si>
    <t>Cr_1</t>
  </si>
  <si>
    <t>harus dikoreksi, Berdasarkan hasil pemeriksaan materi pengujian yang ada saat ini maka disarankan untuk memakai rumus koreksi sebagai berikut</t>
  </si>
  <si>
    <t xml:space="preserve">kapal yang mempunyai rasio lebar-sarat lebih besar atau lebih kecil daripada harga tersebut </t>
  </si>
  <si>
    <t xml:space="preserve">Karena diagram tersebut dibuat berdasarkan rasio lebar-sarat B/T = 2.5 maka harga Cr untuk </t>
  </si>
  <si>
    <t>Rasio B/T</t>
  </si>
  <si>
    <t xml:space="preserve">b. </t>
  </si>
  <si>
    <t xml:space="preserve">       maka tidak ada koreksi (dianggap 0).</t>
  </si>
  <si>
    <t xml:space="preserve">       Karena bentuk kapal standar, tidak berbentuk benar-benar U atau V,</t>
  </si>
  <si>
    <t>Tahanan Harvald hal. 84</t>
  </si>
  <si>
    <t>Bentuk Badan Kapal</t>
  </si>
  <si>
    <t xml:space="preserve">a. </t>
  </si>
  <si>
    <t>KOREKSI TAHANAN TAMBAHAN PADA TAHANAN SISA</t>
  </si>
  <si>
    <t>II</t>
  </si>
  <si>
    <r>
      <t>10</t>
    </r>
    <r>
      <rPr>
        <b/>
        <vertAlign val="superscript"/>
        <sz val="10"/>
        <color theme="1"/>
        <rFont val="Times New Roman"/>
        <family val="1"/>
      </rPr>
      <t>3</t>
    </r>
    <r>
      <rPr>
        <b/>
        <sz val="10"/>
        <color theme="1"/>
        <rFont val="Times New Roman"/>
        <family val="1"/>
      </rPr>
      <t>Cr</t>
    </r>
    <r>
      <rPr>
        <b/>
        <vertAlign val="subscript"/>
        <sz val="10"/>
        <color theme="1"/>
        <rFont val="Times New Roman"/>
        <family val="1"/>
      </rPr>
      <t>(5.1903)</t>
    </r>
  </si>
  <si>
    <t>1.113 + [((0.1903)/(0.5) x (-0.106)]</t>
  </si>
  <si>
    <t>10^3 CR</t>
  </si>
  <si>
    <t>Akhir</t>
  </si>
  <si>
    <t>Awal</t>
  </si>
  <si>
    <t xml:space="preserve">Lwl/∇^(1⁄3) </t>
  </si>
  <si>
    <r>
      <t>10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Cr</t>
    </r>
    <r>
      <rPr>
        <vertAlign val="subscript"/>
        <sz val="10"/>
        <color theme="1"/>
        <rFont val="Times New Roman"/>
        <family val="1"/>
      </rPr>
      <t>(5.1903)</t>
    </r>
    <r>
      <rPr>
        <sz val="10"/>
        <color theme="1"/>
        <rFont val="Times New Roman"/>
        <family val="1"/>
      </rPr>
      <t>-1.113</t>
    </r>
  </si>
  <si>
    <t>5.5 - 5</t>
  </si>
  <si>
    <t>1.007 - 1.113</t>
  </si>
  <si>
    <t>5.1903 - 5</t>
  </si>
  <si>
    <t>Sehingga, φ</t>
  </si>
  <si>
    <t>(0.08*Cb) + 0.93</t>
  </si>
  <si>
    <t>β</t>
  </si>
  <si>
    <r>
      <t xml:space="preserve">Koefisien Perismatik (φ) = </t>
    </r>
    <r>
      <rPr>
        <b/>
        <sz val="10"/>
        <color theme="1"/>
        <rFont val="Times New Roman"/>
        <family val="1"/>
      </rPr>
      <t>Cb/β</t>
    </r>
  </si>
  <si>
    <t>Cp Awal</t>
  </si>
  <si>
    <t>Fn</t>
  </si>
  <si>
    <t>Interpolation Diagram Guldhammer-harvald</t>
  </si>
  <si>
    <t>Koefisien Tahanan Sisa (Cr)</t>
  </si>
  <si>
    <t>6.</t>
  </si>
  <si>
    <t>Cr Total</t>
  </si>
  <si>
    <t>10^3 Cr_3</t>
  </si>
  <si>
    <t>10^3 Cr + (0,16 x ((B/T) - 2,5) / 1000</t>
  </si>
  <si>
    <t>10^3 Cr_2</t>
  </si>
  <si>
    <t>Cf</t>
  </si>
  <si>
    <t>Tahanan Propulsi 5.2.17, Halaman 101 atau 5.5.14,halaman 119</t>
  </si>
  <si>
    <t>Koreksi B/T</t>
  </si>
  <si>
    <t>8.</t>
  </si>
  <si>
    <t xml:space="preserve"> Koefisien Tahanan Gesek (Cf)</t>
  </si>
  <si>
    <t>7.</t>
  </si>
  <si>
    <t>10,027 x 10^8</t>
  </si>
  <si>
    <t>Menghitung Koef Gesek (Cf)</t>
  </si>
  <si>
    <t>υ =</t>
  </si>
  <si>
    <t>Rn</t>
  </si>
  <si>
    <t>m/s</t>
  </si>
  <si>
    <t>1 knot =</t>
  </si>
  <si>
    <t>Tahanan Propulsi 2.3.10 Harvald halaman 8</t>
  </si>
  <si>
    <t>Nilai Reynold Number</t>
  </si>
  <si>
    <t>5.</t>
  </si>
  <si>
    <t>(10^3 Cr(5,1907) - Cr(5) / (0,73 - 0,61)</t>
  </si>
  <si>
    <t>Tahanan Propulsi 4.1.1 Harvald halaman 44</t>
  </si>
  <si>
    <t>Menentukan Cr</t>
  </si>
  <si>
    <t>Nilai Froude Number</t>
  </si>
  <si>
    <t>4.</t>
  </si>
  <si>
    <t>7,480 x 10^8</t>
  </si>
  <si>
    <t>S</t>
  </si>
  <si>
    <t>Luas Permukaan Basah</t>
  </si>
  <si>
    <t>3.</t>
  </si>
  <si>
    <t>ton</t>
  </si>
  <si>
    <t xml:space="preserve">Perhitungan Berat Displacement </t>
  </si>
  <si>
    <t>2.</t>
  </si>
  <si>
    <t>meter^2</t>
  </si>
  <si>
    <t>Lwl x B x T x Cb</t>
  </si>
  <si>
    <t>▼</t>
  </si>
  <si>
    <t>(TBKK Semester 1)</t>
  </si>
  <si>
    <t>Perhitungan Volume Displacement</t>
  </si>
  <si>
    <t>1.</t>
  </si>
  <si>
    <t>PERHITUNGAN TAHANAN KAPAL</t>
  </si>
  <si>
    <t>I</t>
  </si>
  <si>
    <t>Lwl x B x T x Cb x ρ</t>
  </si>
  <si>
    <t>Perhitungan Disp</t>
  </si>
  <si>
    <t>Viskositas Kenimatis     =</t>
  </si>
  <si>
    <t>meter^3</t>
  </si>
  <si>
    <t>Cp      =</t>
  </si>
  <si>
    <t>Perhitungan Vol_Disp</t>
  </si>
  <si>
    <t>Cm      =</t>
  </si>
  <si>
    <t>Cb      =</t>
  </si>
  <si>
    <t>feet</t>
  </si>
  <si>
    <t>meter</t>
  </si>
  <si>
    <t>L_Disp      =</t>
  </si>
  <si>
    <t>ρ</t>
  </si>
  <si>
    <t xml:space="preserve">      =</t>
  </si>
  <si>
    <t xml:space="preserve"> </t>
  </si>
  <si>
    <t>knot</t>
  </si>
  <si>
    <t>Kecepatan Dinas (Vs)      =</t>
  </si>
  <si>
    <t>Sarat Air (T)      =</t>
  </si>
  <si>
    <t xml:space="preserve">Viskositas kinematik, </t>
  </si>
  <si>
    <t>Tinggi (H)      =</t>
  </si>
  <si>
    <t>Lebar (B)      =</t>
  </si>
  <si>
    <t>3% Lpp + Lpp</t>
  </si>
  <si>
    <t>Lwl       =</t>
  </si>
  <si>
    <t>Lpp      =</t>
  </si>
  <si>
    <t>Menghitung Tahanan Total Kapal</t>
  </si>
  <si>
    <t>(4.8921 - 5) / (5,5 - 5)</t>
  </si>
  <si>
    <t>10^3 Cr (4,8921)</t>
  </si>
  <si>
    <t>4% Lpp + Lpp</t>
  </si>
  <si>
    <t>Cr_2 + (4% Cr_2)</t>
  </si>
  <si>
    <t>L = 134</t>
  </si>
  <si>
    <t>Speed</t>
  </si>
  <si>
    <t>10^3 Cr_4</t>
  </si>
  <si>
    <t>Luas Permukaan Basah (S)</t>
  </si>
  <si>
    <t>(134-100)/150-100 = L138-0,4/0,2-0,4</t>
  </si>
  <si>
    <t>w_T =</t>
  </si>
  <si>
    <t>=</t>
  </si>
  <si>
    <t>Thrust power (P_T)</t>
  </si>
  <si>
    <t>T</t>
  </si>
  <si>
    <t>T * V_a</t>
  </si>
  <si>
    <t>Speed pass propeller (V_a)</t>
  </si>
  <si>
    <t>V_s * (1 - w_T)</t>
  </si>
  <si>
    <t>R_t / (1 - t)</t>
  </si>
  <si>
    <t>P_E</t>
  </si>
  <si>
    <t>Efisiensi lambung</t>
  </si>
  <si>
    <t>(P_E / P_T) * 100</t>
  </si>
  <si>
    <t>effisiensi behind</t>
  </si>
  <si>
    <t>P_D</t>
  </si>
  <si>
    <t>ηr * ηo</t>
  </si>
  <si>
    <t>P_T / η_B</t>
  </si>
  <si>
    <t>P_B</t>
  </si>
  <si>
    <t>P_D / η_T</t>
  </si>
  <si>
    <t>Service power</t>
  </si>
  <si>
    <t>Main engine power</t>
  </si>
  <si>
    <t>engine:</t>
  </si>
  <si>
    <t>gear:</t>
  </si>
  <si>
    <t>Brake power</t>
  </si>
  <si>
    <t>1 HP = 0.7355 KW</t>
  </si>
  <si>
    <t>1 KW = 1.359619 HP</t>
  </si>
  <si>
    <t>Projected area</t>
  </si>
  <si>
    <t>Developed area</t>
  </si>
  <si>
    <t>Z -&gt; blade number</t>
  </si>
  <si>
    <t>Expanded area ratio</t>
  </si>
  <si>
    <t>Diste propeller</t>
  </si>
  <si>
    <t>Rake</t>
  </si>
  <si>
    <t>rpm</t>
  </si>
  <si>
    <t>Wartsila 12V46F</t>
  </si>
  <si>
    <t>kW</t>
  </si>
  <si>
    <t>y1</t>
  </si>
  <si>
    <t>y2</t>
  </si>
  <si>
    <t>Dimensions</t>
  </si>
  <si>
    <t>Cyl. No.</t>
  </si>
  <si>
    <t>LE2</t>
  </si>
  <si>
    <t>mm</t>
  </si>
  <si>
    <t>LE1</t>
  </si>
  <si>
    <t>H</t>
  </si>
  <si>
    <t>W</t>
  </si>
  <si>
    <t>weight</t>
  </si>
  <si>
    <t>Output</t>
  </si>
  <si>
    <t>Rating definitions</t>
  </si>
  <si>
    <t>MCR</t>
  </si>
  <si>
    <t>Average load</t>
  </si>
  <si>
    <t>%</t>
  </si>
  <si>
    <t>SFOC at 100 % MCR, Tier II</t>
  </si>
  <si>
    <t>g/kWh</t>
  </si>
  <si>
    <t>SFOC at 100 % MCR, Tier III</t>
  </si>
  <si>
    <t>PENENTUAN GEAR BOX</t>
  </si>
  <si>
    <t>Ratio Gear Box</t>
  </si>
  <si>
    <t>syarat 80 - 250</t>
  </si>
  <si>
    <t>Reduction Ratio</t>
  </si>
  <si>
    <t>Tipe Gear Box</t>
  </si>
  <si>
    <t>PF</t>
  </si>
  <si>
    <t>r</t>
  </si>
  <si>
    <t>ZF 83700 NR2H</t>
  </si>
  <si>
    <t>1/5.042</t>
  </si>
  <si>
    <t>rpm / ratio</t>
  </si>
  <si>
    <t>P_E / n_D</t>
  </si>
  <si>
    <t>P_S</t>
  </si>
  <si>
    <t>SCF</t>
  </si>
  <si>
    <t>ZF 60000 NR2H</t>
  </si>
  <si>
    <t>1/4.227</t>
  </si>
  <si>
    <t>MENGHITUNG PROPELLER</t>
  </si>
  <si>
    <t>Bp(B-Series Propeller)</t>
  </si>
  <si>
    <t>P/D</t>
  </si>
  <si>
    <t>1/J</t>
  </si>
  <si>
    <t>δ</t>
  </si>
  <si>
    <t>D</t>
  </si>
  <si>
    <t>RPM</t>
  </si>
  <si>
    <t>Hp</t>
  </si>
  <si>
    <t>1.2 - (SQRT(LPP) / 48)</t>
  </si>
  <si>
    <t>(R_T * V_s) / (T * V_a) * 100</t>
  </si>
  <si>
    <t>Diagram propeller B-Series</t>
  </si>
  <si>
    <t>Propeller Type</t>
  </si>
  <si>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</si>
  <si>
    <r>
      <t>pada suhu 15</t>
    </r>
    <r>
      <rPr>
        <vertAlign val="superscript"/>
        <sz val="10"/>
        <rFont val="Times New Roman"/>
        <family val="1"/>
      </rPr>
      <t xml:space="preserve">0 </t>
    </r>
  </si>
  <si>
    <r>
      <t xml:space="preserve"> L /Ñ</t>
    </r>
    <r>
      <rPr>
        <b/>
        <vertAlign val="superscript"/>
        <sz val="10"/>
        <color theme="1"/>
        <rFont val="Times New Roman"/>
        <family val="1"/>
      </rPr>
      <t xml:space="preserve">1/3 </t>
    </r>
  </si>
  <si>
    <r>
      <t>10</t>
    </r>
    <r>
      <rPr>
        <vertAlign val="superscript"/>
        <sz val="10"/>
        <color indexed="8"/>
        <rFont val="Times New Roman"/>
        <family val="1"/>
      </rPr>
      <t>3</t>
    </r>
    <r>
      <rPr>
        <sz val="10"/>
        <color indexed="8"/>
        <rFont val="Times New Roman"/>
        <family val="1"/>
      </rPr>
      <t>Cas</t>
    </r>
  </si>
  <si>
    <r>
      <t>10</t>
    </r>
    <r>
      <rPr>
        <vertAlign val="superscript"/>
        <sz val="10"/>
        <color indexed="8"/>
        <rFont val="Times New Roman"/>
        <family val="1"/>
      </rPr>
      <t>3</t>
    </r>
    <r>
      <rPr>
        <sz val="10"/>
        <color indexed="8"/>
        <rFont val="Times New Roman"/>
        <family val="1"/>
      </rPr>
      <t>Caa</t>
    </r>
  </si>
  <si>
    <t>Terdapat dua cara dalam penentuan harga Ca, yaitu dengan menggunakan L atau Displacement kapal.</t>
  </si>
  <si>
    <r>
      <t>L</t>
    </r>
    <r>
      <rPr>
        <vertAlign val="subscript"/>
        <sz val="10"/>
        <color theme="1"/>
        <rFont val="Times New Roman"/>
        <family val="1"/>
      </rPr>
      <t>1</t>
    </r>
  </si>
  <si>
    <r>
      <t>L</t>
    </r>
    <r>
      <rPr>
        <vertAlign val="subscript"/>
        <sz val="10"/>
        <color theme="1"/>
        <rFont val="Times New Roman"/>
        <family val="1"/>
      </rPr>
      <t>2</t>
    </r>
  </si>
  <si>
    <r>
      <t>L</t>
    </r>
    <r>
      <rPr>
        <vertAlign val="subscript"/>
        <sz val="10"/>
        <color theme="1"/>
        <rFont val="Times New Roman"/>
        <family val="1"/>
      </rPr>
      <t>3</t>
    </r>
  </si>
  <si>
    <r>
      <t>PF</t>
    </r>
    <r>
      <rPr>
        <vertAlign val="subscript"/>
        <sz val="10"/>
        <color theme="1"/>
        <rFont val="Times New Roman"/>
        <family val="1"/>
      </rPr>
      <t>engine</t>
    </r>
  </si>
  <si>
    <r>
      <t>kW</t>
    </r>
    <r>
      <rPr>
        <vertAlign val="subscript"/>
        <sz val="10"/>
        <color theme="1"/>
        <rFont val="Times New Roman"/>
        <family val="1"/>
      </rPr>
      <t>engine</t>
    </r>
    <r>
      <rPr>
        <sz val="10"/>
        <color theme="1"/>
        <rFont val="Times New Roman"/>
        <family val="1"/>
      </rPr>
      <t xml:space="preserve"> / rpm</t>
    </r>
    <r>
      <rPr>
        <vertAlign val="subscript"/>
        <sz val="10"/>
        <color theme="1"/>
        <rFont val="Times New Roman"/>
        <family val="1"/>
      </rPr>
      <t>engine</t>
    </r>
  </si>
  <si>
    <t>B3 - 35</t>
  </si>
  <si>
    <t>B3 - 50</t>
  </si>
  <si>
    <t>B3 - 65</t>
  </si>
  <si>
    <t>B3 - 80</t>
  </si>
  <si>
    <t>B4 - 55</t>
  </si>
  <si>
    <t>B4 - 70</t>
  </si>
  <si>
    <t>B4 - 85</t>
  </si>
  <si>
    <t>B4 - 100</t>
  </si>
  <si>
    <t>B5 - 45</t>
  </si>
  <si>
    <t>B5 - 60</t>
  </si>
  <si>
    <t>B5 - 75</t>
  </si>
  <si>
    <t>B5 - 90</t>
  </si>
  <si>
    <t>B5 - 105</t>
  </si>
  <si>
    <t>B6 - 50</t>
  </si>
  <si>
    <t>B6 - 65</t>
  </si>
  <si>
    <t>B6 - 80</t>
  </si>
  <si>
    <t>B6 - 95</t>
  </si>
  <si>
    <t>Dmax</t>
  </si>
  <si>
    <t>Yes/No</t>
  </si>
  <si>
    <t>Dmeter</t>
  </si>
  <si>
    <t>Keller's Formula</t>
  </si>
  <si>
    <t>Pitch ratio</t>
  </si>
  <si>
    <t>(v - v_A) / v</t>
  </si>
  <si>
    <t>w</t>
  </si>
  <si>
    <t>wake friction</t>
  </si>
  <si>
    <t>\rho * g * h_shaft</t>
  </si>
  <si>
    <t>seawater density</t>
  </si>
  <si>
    <t>kg/m^3</t>
  </si>
  <si>
    <t>gravity acceleration</t>
  </si>
  <si>
    <t>m/s^2</t>
  </si>
  <si>
    <t>h_shaft</t>
  </si>
  <si>
    <t>P_atm</t>
  </si>
  <si>
    <t>kg/m*s^2</t>
  </si>
  <si>
    <t>P_0</t>
  </si>
  <si>
    <t>P_atm + (\rho * g * h_shaft)</t>
  </si>
  <si>
    <t>quasi-propulsive efficiency</t>
  </si>
  <si>
    <t>P_E / P_D</t>
  </si>
  <si>
    <t>m</t>
  </si>
  <si>
    <t>propulsive efficiency</t>
  </si>
  <si>
    <t>P_E / P_B</t>
  </si>
  <si>
    <t>thrust of the propeller</t>
  </si>
  <si>
    <t>f</t>
  </si>
  <si>
    <t>a</t>
  </si>
  <si>
    <t>b</t>
  </si>
  <si>
    <t>Size of propeller, represented by diameter D</t>
  </si>
  <si>
    <t>c</t>
  </si>
  <si>
    <t>d</t>
  </si>
  <si>
    <t>Speed of advance, V_A</t>
  </si>
  <si>
    <t>Acceleration due to gravity, g.</t>
  </si>
  <si>
    <t>e</t>
  </si>
  <si>
    <t>Speed of rotation, n.</t>
  </si>
  <si>
    <t>Pressure in the fluid, p.</t>
  </si>
  <si>
    <t>g</t>
  </si>
  <si>
    <t>Viscosity of the water, \mu.</t>
  </si>
  <si>
    <t>Mass density of water, \rho</t>
  </si>
  <si>
    <t>\eta_P</t>
  </si>
  <si>
    <t>J</t>
  </si>
  <si>
    <t>D_max propeller (Oil Tanker)</t>
  </si>
  <si>
    <t>&lt;- gear</t>
  </si>
  <si>
    <t>&lt;- engine</t>
  </si>
  <si>
    <t>Vapor pressure</t>
  </si>
  <si>
    <t>p_V</t>
  </si>
  <si>
    <t>kg*m^-1*s^-2</t>
  </si>
  <si>
    <t>v_1</t>
  </si>
  <si>
    <t>RPS</t>
  </si>
  <si>
    <t>SQRT( (v_A)^2 + (\pi * rps * 0.7 * D)^2 )</t>
  </si>
  <si>
    <t>q_0.7</t>
  </si>
  <si>
    <t>1/2 * \rho * (v_1)^2</t>
  </si>
  <si>
    <t>dynamic pressure</t>
  </si>
  <si>
    <t>\sigma_b</t>
  </si>
  <si>
    <t>K</t>
  </si>
  <si>
    <t>for single screw vessels</t>
  </si>
  <si>
    <t>for slow twin vessels</t>
  </si>
  <si>
    <t>for fast twin vessels</t>
  </si>
  <si>
    <t>max</t>
  </si>
  <si>
    <t>Efisiensi open water</t>
  </si>
  <si>
    <t>A_0</t>
  </si>
  <si>
    <t>\pi * D^2 / 4</t>
  </si>
  <si>
    <t>m^2</t>
  </si>
  <si>
    <t>\tau_c</t>
  </si>
  <si>
    <t>(1.3 + 0.3 * Z) * T / ((P_0 - P_v) * D^2) + K</t>
  </si>
  <si>
    <t>0.715 * \sigma_b^0.184 - 0.437</t>
  </si>
  <si>
    <t>rps</t>
  </si>
  <si>
    <t>Type Propeller</t>
  </si>
  <si>
    <r>
      <t>AE/A0</t>
    </r>
    <r>
      <rPr>
        <b/>
        <vertAlign val="subscript"/>
        <sz val="10"/>
        <color theme="1"/>
        <rFont val="Times New Roman"/>
        <family val="1"/>
      </rPr>
      <t>prop</t>
    </r>
  </si>
  <si>
    <r>
      <t>D</t>
    </r>
    <r>
      <rPr>
        <b/>
        <vertAlign val="subscript"/>
        <sz val="10"/>
        <color theme="1"/>
        <rFont val="Times New Roman"/>
        <family val="1"/>
      </rPr>
      <t>meter</t>
    </r>
  </si>
  <si>
    <r>
      <t>D</t>
    </r>
    <r>
      <rPr>
        <b/>
        <vertAlign val="subscript"/>
        <sz val="10"/>
        <color theme="1"/>
        <rFont val="Times New Roman"/>
        <family val="1"/>
      </rPr>
      <t>max</t>
    </r>
  </si>
  <si>
    <r>
      <t>q</t>
    </r>
    <r>
      <rPr>
        <b/>
        <vertAlign val="subscript"/>
        <sz val="10"/>
        <color theme="1"/>
        <rFont val="Times New Roman"/>
        <family val="1"/>
      </rPr>
      <t>0,7</t>
    </r>
  </si>
  <si>
    <r>
      <rPr>
        <b/>
        <sz val="10"/>
        <color theme="1"/>
        <rFont val="Calibri"/>
        <family val="2"/>
      </rPr>
      <t>σ</t>
    </r>
    <r>
      <rPr>
        <b/>
        <vertAlign val="subscript"/>
        <sz val="7.5"/>
        <color theme="1"/>
        <rFont val="Calibri Light"/>
        <family val="2"/>
      </rPr>
      <t>b</t>
    </r>
  </si>
  <si>
    <r>
      <rPr>
        <b/>
        <sz val="10"/>
        <color theme="1"/>
        <rFont val="Calibri"/>
        <family val="2"/>
      </rPr>
      <t>τ</t>
    </r>
    <r>
      <rPr>
        <b/>
        <vertAlign val="subscript"/>
        <sz val="7.5"/>
        <color theme="1"/>
        <rFont val="Times New Roman"/>
        <family val="1"/>
      </rPr>
      <t>c</t>
    </r>
  </si>
  <si>
    <t>AP</t>
  </si>
  <si>
    <t>AD</t>
  </si>
  <si>
    <t>(p_V - p_0) / q_0.7</t>
  </si>
  <si>
    <t>(p_0 - p_V) / q_0.7</t>
  </si>
  <si>
    <t>(ITTC, 2011)</t>
  </si>
  <si>
    <t>SQRT( (v_A)^2 + (\pi * rpm * 0.7 * D)^2 )</t>
  </si>
  <si>
    <t>(A_E / A_0)_req</t>
  </si>
  <si>
    <t>\eta_0</t>
  </si>
  <si>
    <t>B_P1</t>
  </si>
  <si>
    <t>0.1739 * SQRT(B_P1)</t>
  </si>
  <si>
    <t>rpm * (P_S)^0.5 / (V_A)^2.5</t>
  </si>
  <si>
    <t>meter_to_feet</t>
  </si>
  <si>
    <t>ft_to_m</t>
  </si>
  <si>
    <t>ft</t>
  </si>
  <si>
    <t>m^2/s</t>
  </si>
  <si>
    <t>SHP / 98%</t>
  </si>
  <si>
    <t>(A_E / A_0)_req / (A_E / A_0)_prop * 100</t>
  </si>
  <si>
    <t>C_P</t>
  </si>
  <si>
    <t>ηH * ηo * ηr</t>
  </si>
  <si>
    <t>k_R * w_T</t>
  </si>
  <si>
    <t>0,5 * Cb - 0,05</t>
  </si>
  <si>
    <t>Rt * Vs</t>
  </si>
  <si>
    <t>DHP * losses</t>
  </si>
  <si>
    <t>\eta_O * \eta_r * \eta_H</t>
  </si>
  <si>
    <t>\eta_D</t>
  </si>
  <si>
    <t>(1 - t) / (1 - w_T)</t>
  </si>
  <si>
    <t>\eta_S</t>
  </si>
  <si>
    <t>shaft efficiency</t>
  </si>
  <si>
    <t>SHP / DHP</t>
  </si>
  <si>
    <t>HP_to_kW</t>
  </si>
  <si>
    <t>kW_to_HP</t>
  </si>
  <si>
    <t>DHP</t>
  </si>
  <si>
    <t>* 1000  [kg*m/s^2]</t>
  </si>
  <si>
    <t>* 1000 * kg*m/s^2 * m/s</t>
  </si>
  <si>
    <t>BHP</t>
  </si>
  <si>
    <t>EHP / (\eta_G * \eta_S * C_P)</t>
  </si>
  <si>
    <t>\eta_H</t>
  </si>
  <si>
    <t>\eta_B</t>
  </si>
  <si>
    <t>(P_E / \eta_D) * SCF * (1 / \eta_T)</t>
  </si>
  <si>
    <t>Katalog mesin utama (Wartsila 7L46F)</t>
  </si>
  <si>
    <t>7V</t>
  </si>
  <si>
    <t>Z</t>
  </si>
  <si>
    <t>N</t>
  </si>
  <si>
    <t>(A_E/A_0)_req &lt; (A_E/A_0)_prop</t>
  </si>
  <si>
    <t>10^3Ca</t>
  </si>
  <si>
    <t>LWL</t>
  </si>
  <si>
    <t>(0.395 * T) + 1.3</t>
  </si>
  <si>
    <t>L/B</t>
  </si>
  <si>
    <t>Length breadth ratio</t>
  </si>
  <si>
    <t>dimensionless</t>
  </si>
  <si>
    <t>B/D</t>
  </si>
  <si>
    <t>Breadth depth rario</t>
  </si>
  <si>
    <t>Metacentric height</t>
  </si>
  <si>
    <t>GM</t>
  </si>
  <si>
    <t>0.12 * B</t>
  </si>
  <si>
    <t>0.33 * B</t>
  </si>
  <si>
    <t>for homogeneously load conditions</t>
  </si>
  <si>
    <t>for ballast conditions</t>
  </si>
  <si>
    <t>&lt;</t>
  </si>
  <si>
    <t>&gt;</t>
  </si>
  <si>
    <t>must &gt;5</t>
  </si>
  <si>
    <t>must &lt;2.5</t>
  </si>
  <si>
    <t>Cb</t>
  </si>
  <si>
    <t>:</t>
  </si>
  <si>
    <t>must &gt;0.7</t>
  </si>
  <si>
    <t>Syarat Double Hull</t>
  </si>
  <si>
    <t>v_0 &gt; 1.6 * \sqrt(L)</t>
  </si>
  <si>
    <t>BKI - P1 - Vol. II - Bab 7 - 1.4</t>
  </si>
  <si>
    <t>Tebal pelat kubu-kubu</t>
  </si>
  <si>
    <t>[0.75 - L/1000] \sqrt(LWL)</t>
  </si>
  <si>
    <t>untuk L&lt;=100m</t>
  </si>
  <si>
    <t>untuk L&gt;100m</t>
  </si>
  <si>
    <t>0.65 * \sqrt(LWL)</t>
  </si>
  <si>
    <t>L&lt;200m</t>
  </si>
  <si>
    <t>syarat:</t>
  </si>
  <si>
    <t>BKI - P1 - Vol. II - Bab 6 - K.1.</t>
  </si>
  <si>
    <t>Bulkwarks plate thickness</t>
  </si>
  <si>
    <t>Tebal pelat bulkwarks untuk ..</t>
  </si>
  <si>
    <t>0.25 * LWL</t>
  </si>
  <si>
    <t>di belakang FP</t>
  </si>
  <si>
    <t>tebal bulkwark dapat dikurang 0.5mm</t>
  </si>
  <si>
    <t>4 * p * e * l^2</t>
  </si>
  <si>
    <t>General Arrangement</t>
  </si>
  <si>
    <t>penguatan tambahan geladak kekuatan</t>
  </si>
  <si>
    <t>55 * B - 45</t>
  </si>
  <si>
    <t>h</t>
  </si>
  <si>
    <t>floor plate depth in cargo hold area</t>
  </si>
  <si>
    <t>h_min</t>
  </si>
  <si>
    <t>t</t>
  </si>
  <si>
    <t>web thisckness</t>
  </si>
  <si>
    <t>h/100 + 3</t>
  </si>
  <si>
    <t>BKI - P1 - Vol. II - A.1.2.1. - 2022</t>
  </si>
  <si>
    <t>1.5 h</t>
  </si>
  <si>
    <t>0.5 + DW / 20000</t>
  </si>
  <si>
    <t>w_min</t>
  </si>
  <si>
    <t>&gt;=</t>
  </si>
  <si>
    <t>Deadweight</t>
  </si>
  <si>
    <t>MARPOL - Annex I - Chapter 4 - Part A - 3.1.</t>
  </si>
  <si>
    <t>MARPOL - Annex I - Chapter 4 - Part A - 3.2.</t>
  </si>
  <si>
    <t>Double bottom</t>
  </si>
  <si>
    <t>B/15</t>
  </si>
  <si>
    <t>MARPOL - Annex I - Chapter 4 - Part A - 3.3.</t>
  </si>
  <si>
    <t>longitudinal bulkheads of bulkcarriers</t>
  </si>
  <si>
    <t>V_S * LWL / \nu</t>
  </si>
  <si>
    <t>kinematik viskositas</t>
  </si>
  <si>
    <t>\rho * V_S * LWL / \mu</t>
  </si>
  <si>
    <t>dinamika viskositas</t>
  </si>
  <si>
    <t>V_S^2 / (LWL * g)</t>
  </si>
  <si>
    <t>0.298 * V_S / sqrt(LWL)</t>
  </si>
  <si>
    <t>reference:</t>
  </si>
  <si>
    <t>1. Edward V. Lewis. Principle of naval architecture Vol II.</t>
  </si>
  <si>
    <t>1. Anthony F. Molland. Ship resistance and propulsion.</t>
  </si>
  <si>
    <t>V_S / SQRT(LWL * g)</t>
  </si>
  <si>
    <t>Navigation deck</t>
  </si>
  <si>
    <t>2 * LOA</t>
  </si>
  <si>
    <t>minimum</t>
  </si>
  <si>
    <t>LOA</t>
  </si>
  <si>
    <t>Lpp</t>
  </si>
  <si>
    <t>Lwl</t>
  </si>
  <si>
    <t>SOLAS Reg. V/22 Visibility</t>
  </si>
  <si>
    <t>Double side tank</t>
  </si>
  <si>
    <t>Wing tanks/spaces</t>
  </si>
  <si>
    <t>w/2</t>
  </si>
  <si>
    <t>LPP</t>
  </si>
  <si>
    <t>disp^0.3 * Vs^0.3 * 3.2 * ((CB+0.5)/(0.145/Fn+0.5))</t>
  </si>
  <si>
    <t>Schneekluth's formula</t>
  </si>
  <si>
    <t>referensi</t>
  </si>
  <si>
    <t>1. Ship Design for Efficiency and Economy (Volker Bertram) (Z-Library).pdf. Halaman 2.</t>
  </si>
  <si>
    <t>rumus diatas digunakan dengan syarat displ&gt;=1000 ton, dan 0.16&lt;=Fn&lt;=0.32</t>
  </si>
  <si>
    <t>1/m^2</t>
  </si>
  <si>
    <t>L / (vol_disp^(1/3))</t>
  </si>
  <si>
    <t>10/3 + 5/3 * (Vs / L^(1/2))</t>
  </si>
  <si>
    <t>Ayre formula</t>
  </si>
  <si>
    <t>C * (Vs / (Vs/2))^2 * vol_disp^(1/3)</t>
  </si>
  <si>
    <t>R_T</t>
  </si>
  <si>
    <t>R_F</t>
  </si>
  <si>
    <t>R_F / R_T</t>
  </si>
  <si>
    <t>rho / 2 * Vs^2 * S * C_F</t>
  </si>
  <si>
    <t>Inteference ratios</t>
  </si>
  <si>
    <t>reference</t>
  </si>
  <si>
    <t>1. Ship Design for Efficiency and Economy (Volker Bertram) (Z-Library).pdf. Halaman 4.</t>
  </si>
  <si>
    <t>metric ton</t>
  </si>
  <si>
    <t>Marpol Annex I - Regulation 18</t>
  </si>
  <si>
    <t>moulded draught amidships (d_m)</t>
  </si>
  <si>
    <t>d_m</t>
  </si>
  <si>
    <t>2 + 0.02 * LWL</t>
  </si>
  <si>
    <t>0.015 * LWL</t>
  </si>
  <si>
    <t>Trim by stern</t>
  </si>
  <si>
    <t>Mumford's formula</t>
  </si>
  <si>
    <t>1.7 * LPP * T + Cb * LPP * B</t>
  </si>
  <si>
    <t>Practical Ship Design.pdf. Page 164</t>
  </si>
  <si>
    <t>Taylor's formula</t>
  </si>
  <si>
    <t>C * (\disp * LPP)^(1/2)</t>
  </si>
  <si>
    <t>C=</t>
  </si>
  <si>
    <t>(v - v_A) / v_A</t>
  </si>
  <si>
    <t>refernsi:</t>
  </si>
  <si>
    <t>w_T</t>
  </si>
  <si>
    <t>(1.095 - 3.4 * Cb + 3.3 * Cb^2) + (0.5 * Cb^2 * (6.5 - (L/B)) / (L/B))</t>
  </si>
  <si>
    <t>1.026 * Lwl (Cb * B + 1,7 * T)</t>
  </si>
  <si>
    <t>1.026 * Lwl * (Cb * B + 1,7 *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</si>
</sst>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64" formatCode="_-* #,##0.00_-;\-* #,##0.00_-;_-* &quot;-&quot;??_-;_-@_-"/>
    <numFmt numFmtId="165" formatCode="0.0"/>
    <numFmt numFmtId="166" formatCode="_(* #,##0.0000_);_(* \(#,##0.0000\);_(* &quot;-&quot;_);_(@_)"/>
    <numFmt numFmtId="167" formatCode="0.000000000"/>
    <numFmt numFmtId="168" formatCode="0.000000000000"/>
    <numFmt numFmtId="169" formatCode="0.000"/>
    <numFmt numFmtId="170" formatCode="_-* #,##0.0000000_-;\-* #,##0.0000000_-;_-* &quot;-&quot;??_-;_-@_-"/>
    <numFmt numFmtId="171" formatCode="0.0000"/>
    <numFmt numFmtId="172" formatCode="0.0000000"/>
  </numFmts>
  <fonts count="3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i/>
      <sz val="10"/>
      <color theme="1"/>
      <name val="Times New Roman"/>
      <family val="1"/>
    </font>
    <font>
      <sz val="10"/>
      <name val="Arial"/>
      <family val="2"/>
    </font>
    <font>
      <sz val="10"/>
      <name val="Franklin Gothic Book"/>
      <family val="2"/>
    </font>
    <font>
      <sz val="10"/>
      <name val="Times New Roman"/>
      <family val="1"/>
    </font>
    <font>
      <sz val="10"/>
      <color theme="0"/>
      <name val="Times New Roman"/>
      <family val="1"/>
    </font>
    <font>
      <b/>
      <vertAlign val="superscript"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vertAlign val="superscript"/>
      <sz val="10"/>
      <color indexed="8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  <family val="1"/>
    </font>
    <font>
      <b/>
      <vertAlign val="superscript"/>
      <sz val="10"/>
      <name val="Times New Roman"/>
      <family val="1"/>
    </font>
    <font>
      <b/>
      <vertAlign val="subscript"/>
      <sz val="10"/>
      <name val="Times New Roman"/>
      <family val="1"/>
    </font>
    <font>
      <vertAlign val="superscript"/>
      <sz val="10"/>
      <name val="Times New Roman"/>
      <family val="1"/>
    </font>
    <font>
      <vertAlign val="subscript"/>
      <sz val="10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rgb="FF1F1F1F"/>
      <name val="Times New Roman"/>
      <family val="1"/>
    </font>
    <font>
      <b/>
      <sz val="10"/>
      <color theme="1"/>
      <name val="Calibri Light"/>
      <family val="2"/>
    </font>
    <font>
      <b/>
      <sz val="10"/>
      <color theme="1"/>
      <name val="Calibri"/>
      <family val="2"/>
    </font>
    <font>
      <b/>
      <vertAlign val="subscript"/>
      <sz val="7.5"/>
      <color theme="1"/>
      <name val="Calibri Light"/>
      <family val="2"/>
    </font>
    <font>
      <b/>
      <sz val="10"/>
      <color theme="1"/>
      <name val="Times New Roman"/>
      <family val="2"/>
    </font>
    <font>
      <b/>
      <vertAlign val="subscript"/>
      <sz val="7.5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7" fillId="0" borderId="0"/>
    <xf numFmtId="0" fontId="6" fillId="0" borderId="0"/>
    <xf numFmtId="164" fontId="1" fillId="0" borderId="0" applyFont="0" applyFill="0" applyBorder="0" applyAlignment="0" applyProtection="0"/>
  </cellStyleXfs>
  <cellXfs count="177">
    <xf numFmtId="0" fontId="0" fillId="0" borderId="0" xfId="0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8" fillId="0" borderId="13" xfId="3" applyFont="1" applyBorder="1" applyAlignment="1">
      <alignment horizontal="left" vertical="top"/>
    </xf>
    <xf numFmtId="166" fontId="3" fillId="0" borderId="0" xfId="1" applyNumberFormat="1" applyFont="1" applyAlignment="1">
      <alignment horizontal="left" vertical="top"/>
    </xf>
    <xf numFmtId="0" fontId="2" fillId="0" borderId="13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4" fillId="0" borderId="0" xfId="3" applyFont="1" applyAlignment="1">
      <alignment horizontal="left" vertical="top"/>
    </xf>
    <xf numFmtId="0" fontId="8" fillId="0" borderId="0" xfId="3" applyFont="1" applyAlignment="1">
      <alignment horizontal="left" vertical="top"/>
    </xf>
    <xf numFmtId="0" fontId="14" fillId="0" borderId="0" xfId="3" applyFont="1" applyAlignment="1">
      <alignment horizontal="left" vertical="top"/>
    </xf>
    <xf numFmtId="10" fontId="2" fillId="0" borderId="0" xfId="2" applyNumberFormat="1" applyFont="1" applyAlignment="1">
      <alignment horizontal="left" vertical="top"/>
    </xf>
    <xf numFmtId="0" fontId="2" fillId="0" borderId="0" xfId="2" applyFont="1" applyAlignment="1">
      <alignment horizontal="left" vertical="top"/>
    </xf>
    <xf numFmtId="0" fontId="2" fillId="0" borderId="17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2" fillId="11" borderId="1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2" fillId="0" borderId="19" xfId="0" applyFont="1" applyBorder="1" applyAlignment="1">
      <alignment horizontal="center" vertical="top"/>
    </xf>
    <xf numFmtId="0" fontId="3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171" fontId="2" fillId="4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172" fontId="2" fillId="4" borderId="1" xfId="0" applyNumberFormat="1" applyFont="1" applyFill="1" applyBorder="1" applyAlignment="1">
      <alignment horizontal="left" vertical="top"/>
    </xf>
    <xf numFmtId="165" fontId="2" fillId="4" borderId="1" xfId="0" applyNumberFormat="1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3" fillId="4" borderId="4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17" fillId="0" borderId="0" xfId="3" applyFont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170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8" fillId="0" borderId="17" xfId="3" applyFont="1" applyBorder="1" applyAlignment="1">
      <alignment horizontal="left" vertical="top"/>
    </xf>
    <xf numFmtId="0" fontId="8" fillId="0" borderId="14" xfId="3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8" fillId="0" borderId="12" xfId="3" applyFont="1" applyBorder="1" applyAlignment="1">
      <alignment horizontal="left" vertical="top"/>
    </xf>
    <xf numFmtId="167" fontId="8" fillId="0" borderId="13" xfId="3" applyNumberFormat="1" applyFont="1" applyBorder="1" applyAlignment="1">
      <alignment horizontal="left" vertical="top"/>
    </xf>
    <xf numFmtId="166" fontId="3" fillId="2" borderId="1" xfId="1" applyNumberFormat="1" applyFont="1" applyFill="1" applyBorder="1" applyAlignment="1">
      <alignment horizontal="left" vertical="top"/>
    </xf>
    <xf numFmtId="166" fontId="3" fillId="2" borderId="15" xfId="1" applyNumberFormat="1" applyFont="1" applyFill="1" applyBorder="1" applyAlignment="1">
      <alignment horizontal="left" vertical="top"/>
    </xf>
    <xf numFmtId="166" fontId="3" fillId="0" borderId="14" xfId="1" applyNumberFormat="1" applyFont="1" applyFill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166" fontId="2" fillId="0" borderId="14" xfId="1" applyNumberFormat="1" applyFont="1" applyBorder="1" applyAlignment="1">
      <alignment horizontal="left" vertical="top"/>
    </xf>
    <xf numFmtId="166" fontId="2" fillId="0" borderId="0" xfId="1" applyNumberFormat="1" applyFont="1" applyBorder="1" applyAlignment="1">
      <alignment horizontal="left" vertical="top"/>
    </xf>
    <xf numFmtId="0" fontId="2" fillId="0" borderId="14" xfId="1" applyNumberFormat="1" applyFont="1" applyBorder="1" applyAlignment="1">
      <alignment horizontal="left" vertical="top"/>
    </xf>
    <xf numFmtId="0" fontId="2" fillId="0" borderId="0" xfId="1" applyNumberFormat="1" applyFont="1" applyAlignment="1">
      <alignment horizontal="left" vertical="top"/>
    </xf>
    <xf numFmtId="0" fontId="2" fillId="0" borderId="0" xfId="1" applyNumberFormat="1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left" vertical="top"/>
    </xf>
    <xf numFmtId="165" fontId="2" fillId="0" borderId="1" xfId="1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10" fontId="8" fillId="0" borderId="0" xfId="3" applyNumberFormat="1" applyFont="1" applyAlignment="1">
      <alignment horizontal="left" vertical="top"/>
    </xf>
    <xf numFmtId="10" fontId="3" fillId="2" borderId="1" xfId="2" applyNumberFormat="1" applyFont="1" applyFill="1" applyBorder="1" applyAlignment="1">
      <alignment horizontal="left" vertical="top"/>
    </xf>
    <xf numFmtId="10" fontId="3" fillId="0" borderId="0" xfId="2" applyNumberFormat="1" applyFont="1" applyAlignment="1">
      <alignment horizontal="left" vertical="top"/>
    </xf>
    <xf numFmtId="0" fontId="3" fillId="2" borderId="1" xfId="2" applyFont="1" applyFill="1" applyBorder="1" applyAlignment="1">
      <alignment horizontal="left" vertical="top"/>
    </xf>
    <xf numFmtId="10" fontId="2" fillId="0" borderId="0" xfId="0" applyNumberFormat="1" applyFont="1" applyAlignment="1">
      <alignment horizontal="left" vertical="top"/>
    </xf>
    <xf numFmtId="0" fontId="4" fillId="0" borderId="0" xfId="4" applyFont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171" fontId="2" fillId="0" borderId="0" xfId="0" applyNumberFormat="1" applyFont="1" applyAlignment="1">
      <alignment horizontal="left" vertical="top"/>
    </xf>
    <xf numFmtId="0" fontId="3" fillId="3" borderId="1" xfId="2" applyFont="1" applyFill="1" applyBorder="1" applyAlignment="1">
      <alignment horizontal="left" vertical="top"/>
    </xf>
    <xf numFmtId="0" fontId="2" fillId="0" borderId="1" xfId="2" applyFont="1" applyBorder="1" applyAlignment="1">
      <alignment horizontal="left" vertical="top"/>
    </xf>
    <xf numFmtId="0" fontId="2" fillId="0" borderId="13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8" fillId="0" borderId="0" xfId="2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13" fontId="3" fillId="0" borderId="0" xfId="0" applyNumberFormat="1" applyFont="1" applyAlignment="1">
      <alignment horizontal="left" vertical="top"/>
    </xf>
    <xf numFmtId="2" fontId="2" fillId="0" borderId="0" xfId="0" applyNumberFormat="1" applyFont="1" applyAlignment="1">
      <alignment horizontal="left" vertical="top"/>
    </xf>
    <xf numFmtId="168" fontId="2" fillId="0" borderId="0" xfId="0" applyNumberFormat="1" applyFont="1" applyAlignment="1">
      <alignment horizontal="left" vertical="top"/>
    </xf>
    <xf numFmtId="0" fontId="24" fillId="0" borderId="0" xfId="0" applyFont="1" applyAlignment="1">
      <alignment horizontal="left" vertical="top"/>
    </xf>
    <xf numFmtId="47" fontId="2" fillId="0" borderId="0" xfId="0" applyNumberFormat="1" applyFont="1" applyAlignment="1">
      <alignment horizontal="left" vertical="top"/>
    </xf>
    <xf numFmtId="0" fontId="2" fillId="13" borderId="1" xfId="0" applyFont="1" applyFill="1" applyBorder="1" applyAlignment="1">
      <alignment horizontal="left" vertical="top"/>
    </xf>
    <xf numFmtId="0" fontId="2" fillId="12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2" fillId="14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25" fillId="3" borderId="1" xfId="0" applyFont="1" applyFill="1" applyBorder="1" applyAlignment="1">
      <alignment horizontal="left" vertical="top"/>
    </xf>
    <xf numFmtId="0" fontId="28" fillId="3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169" fontId="2" fillId="2" borderId="1" xfId="0" applyNumberFormat="1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169" fontId="2" fillId="9" borderId="1" xfId="0" applyNumberFormat="1" applyFont="1" applyFill="1" applyBorder="1" applyAlignment="1">
      <alignment horizontal="left" vertical="top"/>
    </xf>
    <xf numFmtId="169" fontId="2" fillId="7" borderId="1" xfId="0" applyNumberFormat="1" applyFont="1" applyFill="1" applyBorder="1" applyAlignment="1">
      <alignment horizontal="left" vertical="top"/>
    </xf>
    <xf numFmtId="169" fontId="2" fillId="11" borderId="1" xfId="0" applyNumberFormat="1" applyFont="1" applyFill="1" applyBorder="1" applyAlignment="1">
      <alignment horizontal="left" vertical="top"/>
    </xf>
    <xf numFmtId="169" fontId="2" fillId="10" borderId="1" xfId="0" applyNumberFormat="1" applyFont="1" applyFill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4" borderId="2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vertical="top"/>
    </xf>
    <xf numFmtId="169" fontId="2" fillId="4" borderId="1" xfId="0" applyNumberFormat="1" applyFont="1" applyFill="1" applyBorder="1" applyAlignment="1">
      <alignment horizontal="left" vertical="top"/>
    </xf>
    <xf numFmtId="164" fontId="3" fillId="0" borderId="0" xfId="5" applyFont="1" applyAlignment="1">
      <alignment horizontal="left" vertical="top"/>
    </xf>
    <xf numFmtId="171" fontId="3" fillId="0" borderId="1" xfId="0" applyNumberFormat="1" applyFont="1" applyBorder="1" applyAlignment="1">
      <alignment horizontal="left" vertical="top"/>
    </xf>
    <xf numFmtId="171" fontId="2" fillId="0" borderId="11" xfId="0" applyNumberFormat="1" applyFont="1" applyBorder="1" applyAlignment="1">
      <alignment horizontal="left" vertical="top"/>
    </xf>
    <xf numFmtId="171" fontId="3" fillId="0" borderId="0" xfId="0" applyNumberFormat="1" applyFont="1" applyAlignment="1">
      <alignment horizontal="left" vertical="top"/>
    </xf>
    <xf numFmtId="0" fontId="3" fillId="6" borderId="17" xfId="0" applyFont="1" applyFill="1" applyBorder="1" applyAlignment="1">
      <alignment horizontal="left" vertical="top"/>
    </xf>
    <xf numFmtId="0" fontId="3" fillId="6" borderId="14" xfId="0" applyFont="1" applyFill="1" applyBorder="1" applyAlignment="1">
      <alignment horizontal="left" vertical="top"/>
    </xf>
    <xf numFmtId="0" fontId="3" fillId="6" borderId="16" xfId="0" applyFont="1" applyFill="1" applyBorder="1" applyAlignment="1">
      <alignment horizontal="left" vertical="top"/>
    </xf>
    <xf numFmtId="0" fontId="3" fillId="6" borderId="12" xfId="0" applyFont="1" applyFill="1" applyBorder="1" applyAlignment="1">
      <alignment horizontal="left" vertical="top"/>
    </xf>
    <xf numFmtId="0" fontId="3" fillId="6" borderId="13" xfId="0" applyFont="1" applyFill="1" applyBorder="1" applyAlignment="1">
      <alignment horizontal="left" vertical="top"/>
    </xf>
    <xf numFmtId="0" fontId="3" fillId="6" borderId="11" xfId="0" applyFont="1" applyFill="1" applyBorder="1" applyAlignment="1">
      <alignment horizontal="left" vertical="top"/>
    </xf>
    <xf numFmtId="0" fontId="2" fillId="5" borderId="17" xfId="0" applyFont="1" applyFill="1" applyBorder="1" applyAlignment="1">
      <alignment horizontal="left" vertical="top"/>
    </xf>
    <xf numFmtId="0" fontId="2" fillId="5" borderId="14" xfId="0" applyFont="1" applyFill="1" applyBorder="1" applyAlignment="1">
      <alignment horizontal="left" vertical="top"/>
    </xf>
    <xf numFmtId="0" fontId="2" fillId="5" borderId="16" xfId="0" applyFont="1" applyFill="1" applyBorder="1" applyAlignment="1">
      <alignment horizontal="left" vertical="top"/>
    </xf>
    <xf numFmtId="0" fontId="2" fillId="5" borderId="12" xfId="0" applyFont="1" applyFill="1" applyBorder="1" applyAlignment="1">
      <alignment horizontal="left" vertical="top"/>
    </xf>
    <xf numFmtId="0" fontId="2" fillId="5" borderId="13" xfId="0" applyFont="1" applyFill="1" applyBorder="1" applyAlignment="1">
      <alignment horizontal="left" vertical="top"/>
    </xf>
    <xf numFmtId="0" fontId="2" fillId="5" borderId="1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1" applyNumberFormat="1" applyFont="1" applyAlignment="1">
      <alignment horizontal="left" vertical="top"/>
    </xf>
    <xf numFmtId="0" fontId="8" fillId="0" borderId="13" xfId="3" applyFont="1" applyBorder="1" applyAlignment="1">
      <alignment horizontal="left" vertical="top"/>
    </xf>
    <xf numFmtId="0" fontId="8" fillId="0" borderId="11" xfId="3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166" fontId="2" fillId="0" borderId="14" xfId="1" applyNumberFormat="1" applyFont="1" applyBorder="1" applyAlignment="1">
      <alignment horizontal="left" vertical="top"/>
    </xf>
    <xf numFmtId="0" fontId="2" fillId="0" borderId="13" xfId="1" applyNumberFormat="1" applyFont="1" applyBorder="1" applyAlignment="1">
      <alignment horizontal="left" vertical="top"/>
    </xf>
    <xf numFmtId="166" fontId="3" fillId="3" borderId="1" xfId="1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2" borderId="12" xfId="0" applyFont="1" applyFill="1" applyBorder="1" applyAlignment="1">
      <alignment horizontal="left" vertical="top"/>
    </xf>
    <xf numFmtId="0" fontId="3" fillId="2" borderId="11" xfId="0" applyFont="1" applyFill="1" applyBorder="1" applyAlignment="1">
      <alignment horizontal="left" vertical="top"/>
    </xf>
    <xf numFmtId="0" fontId="4" fillId="3" borderId="3" xfId="3" applyFont="1" applyFill="1" applyBorder="1" applyAlignment="1">
      <alignment horizontal="left" vertical="top"/>
    </xf>
    <xf numFmtId="0" fontId="4" fillId="3" borderId="2" xfId="3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/>
    </xf>
  </cellXfs>
  <cellStyles count="6">
    <cellStyle name="Comma" xfId="5" builtinId="3"/>
    <cellStyle name="Comma [0]" xfId="1" builtinId="6"/>
    <cellStyle name="Normal" xfId="0" builtinId="0"/>
    <cellStyle name="Normal 11" xfId="4" xr:uid="{00000000-0005-0000-0000-000002000000}"/>
    <cellStyle name="Normal 2" xfId="2" xr:uid="{00000000-0005-0000-0000-000003000000}"/>
    <cellStyle name="Normal_Sheet1" xfId="3" xr:uid="{00000000-0005-0000-0000-000004000000}"/>
  </cellStyles>
  <dxfs count="0"/>
  <tableStyles count="0" defaultTableStyle="TableStyleMedium2" defaultPivotStyle="PivotStyleLight16"/>
  <colors>
    <mruColors>
      <color rgb="FF00FF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'[1]RT (V=14)'!$G$107:$G$110</c:f>
              <c:numCache>
                <c:formatCode>General</c:formatCode>
                <c:ptCount val="4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</c:numCache>
            </c:numRef>
          </c:xVal>
          <c:yVal>
            <c:numRef>
              <c:f>'[1]RT (V=14)'!$G$107:$G$110</c:f>
              <c:numCache>
                <c:formatCode>General</c:formatCode>
                <c:ptCount val="4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0B-4382-ADDA-5B2F28D76F6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230426801366491"/>
                  <c:y val="-0.35022857382177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'[1]RT (V=14)'!$G$107:$G$110</c:f>
              <c:numCache>
                <c:formatCode>General</c:formatCode>
                <c:ptCount val="4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</c:numCache>
            </c:numRef>
          </c:xVal>
          <c:yVal>
            <c:numRef>
              <c:f>'[1]RT (V=14)'!$H$107:$H$110</c:f>
              <c:numCache>
                <c:formatCode>General</c:formatCode>
                <c:ptCount val="4"/>
                <c:pt idx="0">
                  <c:v>1.21</c:v>
                </c:pt>
                <c:pt idx="1">
                  <c:v>1.05</c:v>
                </c:pt>
                <c:pt idx="2">
                  <c:v>0.98</c:v>
                </c:pt>
                <c:pt idx="3">
                  <c:v>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0B-4382-ADDA-5B2F28D76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907392"/>
        <c:axId val="8239079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'[2]RT (V=14)'!$G$107:$G$110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4.5</c:v>
                      </c:pt>
                      <c:pt idx="1">
                        <c:v>5</c:v>
                      </c:pt>
                      <c:pt idx="2">
                        <c:v>5.5</c:v>
                      </c:pt>
                      <c:pt idx="3">
                        <c:v>6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4-BE0B-4382-ADDA-5B2F28D76F69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'[2]RT (V=14)'!$G$107:$G$110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4.5</c:v>
                      </c:pt>
                      <c:pt idx="1">
                        <c:v>5</c:v>
                      </c:pt>
                      <c:pt idx="2">
                        <c:v>5.5</c:v>
                      </c:pt>
                      <c:pt idx="3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'[2]RT (V=14)'!$G$107:$G$110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4.5</c:v>
                      </c:pt>
                      <c:pt idx="1">
                        <c:v>5</c:v>
                      </c:pt>
                      <c:pt idx="2">
                        <c:v>5.5</c:v>
                      </c:pt>
                      <c:pt idx="3">
                        <c:v>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E0B-4382-ADDA-5B2F28D76F69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'[2]RT (V=14)'!$G$107:$G$110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4.5</c:v>
                      </c:pt>
                      <c:pt idx="1">
                        <c:v>5</c:v>
                      </c:pt>
                      <c:pt idx="2">
                        <c:v>5.5</c:v>
                      </c:pt>
                      <c:pt idx="3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'[2]RT (V=14)'!$H$107:$H$110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1.21</c:v>
                      </c:pt>
                      <c:pt idx="1">
                        <c:v>1.05</c:v>
                      </c:pt>
                      <c:pt idx="2">
                        <c:v>0.98</c:v>
                      </c:pt>
                      <c:pt idx="3">
                        <c:v>0.91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E0B-4382-ADDA-5B2F28D76F69}"/>
                  </c:ext>
                </c:extLst>
              </c15:ser>
            </c15:filteredScatterSeries>
          </c:ext>
        </c:extLst>
      </c:scatterChart>
      <c:valAx>
        <c:axId val="823907392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07968"/>
        <c:crosses val="autoZero"/>
        <c:crossBetween val="midCat"/>
        <c:majorUnit val="0.30000000000000004"/>
      </c:valAx>
      <c:valAx>
        <c:axId val="823907968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07392"/>
        <c:crosses val="autoZero"/>
        <c:crossBetween val="midCat"/>
        <c:majorUnit val="0.30000000000000004"/>
        <c:minorUnit val="0.3000000000000000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wmf"/><Relationship Id="rId3" Type="http://schemas.openxmlformats.org/officeDocument/2006/relationships/image" Target="../media/image3.png"/><Relationship Id="rId7" Type="http://schemas.openxmlformats.org/officeDocument/2006/relationships/image" Target="../media/image7.wmf"/><Relationship Id="rId12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wmf"/><Relationship Id="rId11" Type="http://schemas.microsoft.com/office/2007/relationships/hdphoto" Target="../media/hdphoto1.wdp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444501</xdr:colOff>
      <xdr:row>99</xdr:row>
      <xdr:rowOff>127000</xdr:rowOff>
    </xdr:from>
    <xdr:to>
      <xdr:col>3</xdr:col>
      <xdr:colOff>1210981</xdr:colOff>
      <xdr:row>101</xdr:row>
      <xdr:rowOff>127002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4341" y="9126220"/>
          <a:ext cx="766480" cy="33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243417</xdr:colOff>
      <xdr:row>91</xdr:row>
      <xdr:rowOff>31749</xdr:rowOff>
    </xdr:from>
    <xdr:to>
      <xdr:col>5</xdr:col>
      <xdr:colOff>510117</xdr:colOff>
      <xdr:row>92</xdr:row>
      <xdr:rowOff>171449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0737" y="7659369"/>
          <a:ext cx="266700" cy="307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285750</xdr:colOff>
      <xdr:row>200</xdr:row>
      <xdr:rowOff>84666</xdr:rowOff>
    </xdr:from>
    <xdr:to>
      <xdr:col>1</xdr:col>
      <xdr:colOff>893233</xdr:colOff>
      <xdr:row>203</xdr:row>
      <xdr:rowOff>71966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" y="26366046"/>
          <a:ext cx="607483" cy="56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42333</xdr:colOff>
      <xdr:row>198</xdr:row>
      <xdr:rowOff>31749</xdr:rowOff>
    </xdr:from>
    <xdr:to>
      <xdr:col>1</xdr:col>
      <xdr:colOff>1471409</xdr:colOff>
      <xdr:row>199</xdr:row>
      <xdr:rowOff>10583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713" y="25977849"/>
          <a:ext cx="1429076" cy="146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243417</xdr:colOff>
      <xdr:row>203</xdr:row>
      <xdr:rowOff>105834</xdr:rowOff>
    </xdr:from>
    <xdr:to>
      <xdr:col>3</xdr:col>
      <xdr:colOff>656166</xdr:colOff>
      <xdr:row>205</xdr:row>
      <xdr:rowOff>103289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3257" y="26966334"/>
          <a:ext cx="412749" cy="332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941916</xdr:colOff>
      <xdr:row>204</xdr:row>
      <xdr:rowOff>1</xdr:rowOff>
    </xdr:from>
    <xdr:to>
      <xdr:col>3</xdr:col>
      <xdr:colOff>1407583</xdr:colOff>
      <xdr:row>205</xdr:row>
      <xdr:rowOff>45491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1756" y="27028141"/>
          <a:ext cx="465667" cy="213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116</xdr:row>
      <xdr:rowOff>0</xdr:rowOff>
    </xdr:from>
    <xdr:ext cx="6200552" cy="6428211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0" y="11849100"/>
          <a:ext cx="6200552" cy="64282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1</xdr:col>
      <xdr:colOff>1453316</xdr:colOff>
      <xdr:row>142</xdr:row>
      <xdr:rowOff>129382</xdr:rowOff>
    </xdr:from>
    <xdr:to>
      <xdr:col>1</xdr:col>
      <xdr:colOff>1474482</xdr:colOff>
      <xdr:row>152</xdr:row>
      <xdr:rowOff>154195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V="1">
          <a:off x="1826696" y="16337122"/>
          <a:ext cx="21166" cy="173169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765498</xdr:colOff>
      <xdr:row>149</xdr:row>
      <xdr:rowOff>49453</xdr:rowOff>
    </xdr:from>
    <xdr:to>
      <xdr:col>1</xdr:col>
      <xdr:colOff>1627028</xdr:colOff>
      <xdr:row>149</xdr:row>
      <xdr:rowOff>62336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 flipH="1" flipV="1">
          <a:off x="1138878" y="17461153"/>
          <a:ext cx="861530" cy="1288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156</xdr:row>
      <xdr:rowOff>54429</xdr:rowOff>
    </xdr:from>
    <xdr:ext cx="5985259" cy="6279931"/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0" y="18685329"/>
          <a:ext cx="5985259" cy="62799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1</xdr:col>
      <xdr:colOff>133786</xdr:colOff>
      <xdr:row>175</xdr:row>
      <xdr:rowOff>148377</xdr:rowOff>
    </xdr:from>
    <xdr:to>
      <xdr:col>1</xdr:col>
      <xdr:colOff>133787</xdr:colOff>
      <xdr:row>189</xdr:row>
      <xdr:rowOff>2089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507166" y="22086357"/>
          <a:ext cx="1" cy="2261632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105835</xdr:colOff>
      <xdr:row>190</xdr:row>
      <xdr:rowOff>17277</xdr:rowOff>
    </xdr:from>
    <xdr:to>
      <xdr:col>1</xdr:col>
      <xdr:colOff>726890</xdr:colOff>
      <xdr:row>190</xdr:row>
      <xdr:rowOff>27860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H="1" flipV="1">
          <a:off x="105835" y="24530817"/>
          <a:ext cx="994435" cy="10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133350</xdr:colOff>
      <xdr:row>91</xdr:row>
      <xdr:rowOff>0</xdr:rowOff>
    </xdr:from>
    <xdr:to>
      <xdr:col>23</xdr:col>
      <xdr:colOff>962025</xdr:colOff>
      <xdr:row>93</xdr:row>
      <xdr:rowOff>57150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5590" y="7627620"/>
          <a:ext cx="828675" cy="392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140634</xdr:colOff>
      <xdr:row>98</xdr:row>
      <xdr:rowOff>0</xdr:rowOff>
    </xdr:from>
    <xdr:to>
      <xdr:col>23</xdr:col>
      <xdr:colOff>997884</xdr:colOff>
      <xdr:row>99</xdr:row>
      <xdr:rowOff>108136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72874" y="8801100"/>
          <a:ext cx="857250" cy="306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497543</xdr:colOff>
      <xdr:row>41</xdr:row>
      <xdr:rowOff>26896</xdr:rowOff>
    </xdr:from>
    <xdr:to>
      <xdr:col>24</xdr:col>
      <xdr:colOff>676276</xdr:colOff>
      <xdr:row>42</xdr:row>
      <xdr:rowOff>38135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biLevel thresh="75000"/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9783" y="4400776"/>
          <a:ext cx="1420793" cy="1788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1057275</xdr:colOff>
      <xdr:row>144</xdr:row>
      <xdr:rowOff>66675</xdr:rowOff>
    </xdr:from>
    <xdr:to>
      <xdr:col>21</xdr:col>
      <xdr:colOff>1323975</xdr:colOff>
      <xdr:row>146</xdr:row>
      <xdr:rowOff>114860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06435" y="16609695"/>
          <a:ext cx="91440" cy="383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186765</xdr:colOff>
      <xdr:row>105</xdr:row>
      <xdr:rowOff>22412</xdr:rowOff>
    </xdr:from>
    <xdr:to>
      <xdr:col>23</xdr:col>
      <xdr:colOff>896095</xdr:colOff>
      <xdr:row>106</xdr:row>
      <xdr:rowOff>149414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19005" y="10027472"/>
          <a:ext cx="709330" cy="294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108</xdr:row>
      <xdr:rowOff>133223</xdr:rowOff>
    </xdr:from>
    <xdr:to>
      <xdr:col>25</xdr:col>
      <xdr:colOff>352418</xdr:colOff>
      <xdr:row>143</xdr:row>
      <xdr:rowOff>101301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19499580" y="20425283"/>
          <a:ext cx="4688198" cy="5835478"/>
          <a:chOff x="275166" y="14213414"/>
          <a:chExt cx="5881309" cy="7704671"/>
        </a:xfrm>
      </xdr:grpSpPr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PicPr/>
        </xdr:nvPicPr>
        <xdr:blipFill>
          <a:blip xmlns:r="http://schemas.openxmlformats.org/officeDocument/2006/relationships" r:embed="rId6"/>
          <a:srcRect/>
          <a:stretch>
            <a:fillRect/>
          </a:stretch>
        </xdr:blipFill>
        <xdr:spPr bwMode="auto">
          <a:xfrm>
            <a:off x="275166" y="14213414"/>
            <a:ext cx="5881309" cy="770467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CxnSpPr/>
        </xdr:nvCxnSpPr>
        <xdr:spPr>
          <a:xfrm flipV="1">
            <a:off x="1488908" y="19155835"/>
            <a:ext cx="3342" cy="2190191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CxnSpPr/>
        </xdr:nvCxnSpPr>
        <xdr:spPr>
          <a:xfrm flipH="1" flipV="1">
            <a:off x="580571" y="20542690"/>
            <a:ext cx="1469811" cy="32654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263338</xdr:colOff>
      <xdr:row>145</xdr:row>
      <xdr:rowOff>44823</xdr:rowOff>
    </xdr:from>
    <xdr:to>
      <xdr:col>28</xdr:col>
      <xdr:colOff>583266</xdr:colOff>
      <xdr:row>158</xdr:row>
      <xdr:rowOff>42582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100853</xdr:colOff>
      <xdr:row>195</xdr:row>
      <xdr:rowOff>2589</xdr:rowOff>
    </xdr:from>
    <xdr:to>
      <xdr:col>28</xdr:col>
      <xdr:colOff>0</xdr:colOff>
      <xdr:row>201</xdr:row>
      <xdr:rowOff>123264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24881093" y="35184129"/>
          <a:ext cx="1324087" cy="1156995"/>
          <a:chOff x="818029" y="14702116"/>
          <a:chExt cx="4728883" cy="5049986"/>
        </a:xfrm>
      </xdr:grpSpPr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PicPr/>
        </xdr:nvPicPr>
        <xdr:blipFill>
          <a:blip xmlns:r="http://schemas.openxmlformats.org/officeDocument/2006/relationships" r:embed="rId13"/>
          <a:srcRect l="4948" r="3299" b="3457"/>
          <a:stretch>
            <a:fillRect/>
          </a:stretch>
        </xdr:blipFill>
        <xdr:spPr bwMode="auto">
          <a:xfrm>
            <a:off x="818029" y="14702116"/>
            <a:ext cx="4728883" cy="504998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CxnSpPr/>
        </xdr:nvCxnSpPr>
        <xdr:spPr>
          <a:xfrm flipV="1">
            <a:off x="3048001" y="16551088"/>
            <a:ext cx="0" cy="237564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Connector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CxnSpPr/>
        </xdr:nvCxnSpPr>
        <xdr:spPr>
          <a:xfrm flipH="1">
            <a:off x="1019736" y="16629530"/>
            <a:ext cx="2039471" cy="2241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45370</xdr:colOff>
      <xdr:row>188</xdr:row>
      <xdr:rowOff>64786</xdr:rowOff>
    </xdr:from>
    <xdr:to>
      <xdr:col>27</xdr:col>
      <xdr:colOff>561483</xdr:colOff>
      <xdr:row>194</xdr:row>
      <xdr:rowOff>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4825610" y="33981406"/>
          <a:ext cx="1308593" cy="1002014"/>
          <a:chOff x="1926906" y="22854398"/>
          <a:chExt cx="3044836" cy="2584453"/>
        </a:xfrm>
      </xdr:grpSpPr>
      <xdr:pic>
        <xdr:nvPicPr>
          <xdr:cNvPr id="32" name="Picture 31" descr="C:\Users\abdulrokim\Pictures\koreksi LCB.png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/>
        </xdr:nvPicPr>
        <xdr:blipFill>
          <a:blip xmlns:r="http://schemas.openxmlformats.org/officeDocument/2006/relationships" r:embed="rId14"/>
          <a:srcRect l="997" r="45657" b="20710"/>
          <a:stretch>
            <a:fillRect/>
          </a:stretch>
        </xdr:blipFill>
        <xdr:spPr bwMode="auto">
          <a:xfrm>
            <a:off x="1926906" y="22854398"/>
            <a:ext cx="3044836" cy="258445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cxnSp macro="">
        <xdr:nvCxnSpPr>
          <xdr:cNvPr id="33" name="Straight Connector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CxnSpPr/>
        </xdr:nvCxnSpPr>
        <xdr:spPr>
          <a:xfrm flipH="1">
            <a:off x="1982391" y="24495927"/>
            <a:ext cx="1648025" cy="2499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Connector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CxnSpPr/>
        </xdr:nvCxnSpPr>
        <xdr:spPr>
          <a:xfrm flipH="1" flipV="1">
            <a:off x="3470672" y="24294703"/>
            <a:ext cx="17859" cy="70842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6</xdr:col>
      <xdr:colOff>0</xdr:colOff>
      <xdr:row>412</xdr:row>
      <xdr:rowOff>0</xdr:rowOff>
    </xdr:from>
    <xdr:to>
      <xdr:col>9</xdr:col>
      <xdr:colOff>335658</xdr:colOff>
      <xdr:row>421</xdr:row>
      <xdr:rowOff>48040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16035" t="33207" r="33666" b="20563"/>
        <a:stretch/>
      </xdr:blipFill>
      <xdr:spPr>
        <a:xfrm>
          <a:off x="6035040" y="60243720"/>
          <a:ext cx="3147438" cy="16482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KOLAH/INTRA%20KAMPUS/PELAJARAN/(SANGAT%20RAHASIA)%20DOKUMEN%20NEGARA/(SANGAT%20RAHASIA)%20EPM%20MAN%20B&amp;W%20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splan"/>
      <sheetName val="RT (V=14)"/>
      <sheetName val="Propulsi_2"/>
      <sheetName val="Propulsi_1"/>
      <sheetName val="KT-J (V=14)"/>
      <sheetName val="KT-J (V=14) (2)"/>
    </sheetNames>
    <sheetDataSet>
      <sheetData sheetId="0">
        <row r="117">
          <cell r="D117">
            <v>0.98599999999999999</v>
          </cell>
        </row>
      </sheetData>
      <sheetData sheetId="1">
        <row r="8">
          <cell r="F8">
            <v>0</v>
          </cell>
        </row>
        <row r="107">
          <cell r="G107">
            <v>4.5</v>
          </cell>
          <cell r="H107">
            <v>1.21</v>
          </cell>
        </row>
        <row r="108">
          <cell r="G108">
            <v>5</v>
          </cell>
          <cell r="H108">
            <v>1.05</v>
          </cell>
        </row>
        <row r="109">
          <cell r="G109">
            <v>5.5</v>
          </cell>
          <cell r="H109">
            <v>0.98</v>
          </cell>
        </row>
        <row r="110">
          <cell r="G110">
            <v>6</v>
          </cell>
          <cell r="H110">
            <v>0.91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T (V=14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56"/>
  <sheetViews>
    <sheetView tabSelected="1" topLeftCell="A22" zoomScaleNormal="100" workbookViewId="0">
      <selection activeCell="D620" sqref="D620"/>
    </sheetView>
  </sheetViews>
  <sheetFormatPr defaultColWidth="9.21875" defaultRowHeight="13.2" x14ac:dyDescent="0.3"/>
  <cols>
    <col min="1" max="1" width="5.44140625" style="4" customWidth="1"/>
    <col min="2" max="2" width="27" style="10" customWidth="1"/>
    <col min="3" max="3" width="4.44140625" style="4" customWidth="1"/>
    <col min="4" max="4" width="24.5546875" style="10" customWidth="1"/>
    <col min="5" max="5" width="14.77734375" style="10" customWidth="1"/>
    <col min="6" max="6" width="14.44140625" style="10" customWidth="1"/>
    <col min="7" max="8" width="12.77734375" style="10" customWidth="1"/>
    <col min="9" max="9" width="15.44140625" style="10" customWidth="1"/>
    <col min="10" max="10" width="8.88671875" style="10" customWidth="1"/>
    <col min="11" max="18" width="15.6640625" style="10" customWidth="1"/>
    <col min="19" max="21" width="9.21875" style="10"/>
    <col min="22" max="22" width="16.77734375" style="10" customWidth="1"/>
    <col min="23" max="23" width="9.21875" style="10"/>
    <col min="24" max="24" width="18.77734375" style="10" customWidth="1"/>
    <col min="25" max="25" width="9.21875" style="10"/>
    <col min="26" max="26" width="13.77734375" style="10" customWidth="1"/>
    <col min="27" max="27" width="11.5546875" style="10" customWidth="1"/>
    <col min="28" max="16384" width="9.21875" style="10"/>
  </cols>
  <sheetData>
    <row r="1" spans="2:30" x14ac:dyDescent="0.3">
      <c r="V1" s="122" t="s">
        <v>241</v>
      </c>
      <c r="W1" s="123"/>
      <c r="X1" s="123"/>
      <c r="Y1" s="124"/>
    </row>
    <row r="2" spans="2:30" x14ac:dyDescent="0.3">
      <c r="B2" s="128" t="s">
        <v>241</v>
      </c>
      <c r="C2" s="129"/>
      <c r="D2" s="129"/>
      <c r="E2" s="130"/>
      <c r="V2" s="125"/>
      <c r="W2" s="126"/>
      <c r="X2" s="126"/>
      <c r="Y2" s="127"/>
    </row>
    <row r="3" spans="2:30" x14ac:dyDescent="0.3">
      <c r="B3" s="131"/>
      <c r="C3" s="132"/>
      <c r="D3" s="132"/>
      <c r="E3" s="133"/>
      <c r="V3" s="134"/>
      <c r="W3" s="134"/>
      <c r="X3" s="134"/>
      <c r="Y3" s="134"/>
    </row>
    <row r="4" spans="2:30" x14ac:dyDescent="0.3">
      <c r="V4" s="134"/>
      <c r="W4" s="134"/>
      <c r="X4" s="134"/>
      <c r="Y4" s="134"/>
    </row>
    <row r="5" spans="2:30" x14ac:dyDescent="0.3">
      <c r="B5" s="10" t="s">
        <v>546</v>
      </c>
      <c r="C5" s="4" t="s">
        <v>252</v>
      </c>
      <c r="D5" s="10">
        <v>148.16560000000001</v>
      </c>
      <c r="E5" s="10" t="s">
        <v>227</v>
      </c>
      <c r="V5" s="33"/>
      <c r="W5" s="33"/>
      <c r="X5" s="33"/>
      <c r="Y5" s="33"/>
    </row>
    <row r="6" spans="2:30" x14ac:dyDescent="0.3">
      <c r="B6" s="116" t="s">
        <v>547</v>
      </c>
      <c r="C6" s="116" t="s">
        <v>252</v>
      </c>
      <c r="D6" s="34">
        <v>137</v>
      </c>
      <c r="E6" s="34" t="s">
        <v>227</v>
      </c>
      <c r="V6" s="135" t="s">
        <v>240</v>
      </c>
      <c r="W6" s="135"/>
      <c r="X6" s="34">
        <v>134</v>
      </c>
      <c r="Y6" s="34" t="s">
        <v>227</v>
      </c>
      <c r="Z6" s="136"/>
      <c r="AA6" s="136"/>
    </row>
    <row r="7" spans="2:30" x14ac:dyDescent="0.3">
      <c r="B7" s="116"/>
      <c r="C7" s="116" t="s">
        <v>252</v>
      </c>
      <c r="D7" s="34">
        <f>D6 * F18</f>
        <v>449.47507999999999</v>
      </c>
      <c r="E7" s="34" t="s">
        <v>226</v>
      </c>
      <c r="V7" s="34"/>
      <c r="W7" s="34"/>
      <c r="X7" s="34"/>
      <c r="Y7" s="34"/>
    </row>
    <row r="8" spans="2:30" x14ac:dyDescent="0.3">
      <c r="B8" s="116" t="s">
        <v>548</v>
      </c>
      <c r="C8" s="116" t="s">
        <v>252</v>
      </c>
      <c r="D8" s="34" t="s">
        <v>244</v>
      </c>
      <c r="E8" s="34"/>
      <c r="V8" s="135" t="s">
        <v>239</v>
      </c>
      <c r="W8" s="135"/>
      <c r="X8" s="34" t="s">
        <v>238</v>
      </c>
      <c r="Y8" s="34"/>
      <c r="Z8" s="136"/>
      <c r="AA8" s="136"/>
    </row>
    <row r="9" spans="2:30" x14ac:dyDescent="0.3">
      <c r="B9" s="35"/>
      <c r="C9" s="115" t="s">
        <v>252</v>
      </c>
      <c r="D9" s="36">
        <f>(4/100*D6)+D6</f>
        <v>142.47999999999999</v>
      </c>
      <c r="E9" s="34" t="s">
        <v>227</v>
      </c>
      <c r="V9" s="135"/>
      <c r="W9" s="135"/>
      <c r="X9" s="37">
        <f>(4/100*134)+134</f>
        <v>139.36000000000001</v>
      </c>
      <c r="Y9" s="34" t="s">
        <v>227</v>
      </c>
    </row>
    <row r="10" spans="2:30" x14ac:dyDescent="0.3">
      <c r="B10" s="34"/>
      <c r="C10" s="5" t="s">
        <v>252</v>
      </c>
      <c r="D10" s="36">
        <f>D9 * F18</f>
        <v>467.45408319999996</v>
      </c>
      <c r="E10" s="34" t="s">
        <v>226</v>
      </c>
      <c r="V10" s="34"/>
      <c r="W10" s="34"/>
      <c r="X10" s="37"/>
      <c r="Y10" s="34"/>
    </row>
    <row r="11" spans="2:30" x14ac:dyDescent="0.3">
      <c r="B11" s="137" t="s">
        <v>237</v>
      </c>
      <c r="C11" s="137"/>
      <c r="D11" s="34">
        <v>23.7</v>
      </c>
      <c r="E11" s="34" t="s">
        <v>227</v>
      </c>
      <c r="V11" s="135" t="s">
        <v>237</v>
      </c>
      <c r="W11" s="135"/>
      <c r="X11" s="34">
        <v>23.7</v>
      </c>
      <c r="Y11" s="34" t="s">
        <v>227</v>
      </c>
    </row>
    <row r="12" spans="2:30" x14ac:dyDescent="0.3">
      <c r="B12" s="34"/>
      <c r="C12" s="5" t="s">
        <v>252</v>
      </c>
      <c r="D12" s="34">
        <f>D11 * F18</f>
        <v>77.755907999999991</v>
      </c>
      <c r="E12" s="34" t="s">
        <v>226</v>
      </c>
      <c r="V12" s="34"/>
      <c r="W12" s="34"/>
      <c r="X12" s="34"/>
      <c r="Y12" s="34"/>
    </row>
    <row r="13" spans="2:30" x14ac:dyDescent="0.3">
      <c r="B13" s="137" t="s">
        <v>236</v>
      </c>
      <c r="C13" s="137"/>
      <c r="D13" s="34">
        <v>13.34</v>
      </c>
      <c r="E13" s="34" t="s">
        <v>227</v>
      </c>
      <c r="V13" s="135" t="s">
        <v>236</v>
      </c>
      <c r="W13" s="135"/>
      <c r="X13" s="34">
        <v>13.34</v>
      </c>
      <c r="Y13" s="34" t="s">
        <v>227</v>
      </c>
    </row>
    <row r="14" spans="2:30" x14ac:dyDescent="0.3">
      <c r="B14" s="34"/>
      <c r="C14" s="5" t="s">
        <v>252</v>
      </c>
      <c r="D14" s="38">
        <f>D13 * F18</f>
        <v>43.766405599999999</v>
      </c>
      <c r="E14" s="34" t="s">
        <v>443</v>
      </c>
      <c r="V14" s="34"/>
      <c r="W14" s="34"/>
      <c r="X14" s="34"/>
      <c r="Y14" s="34"/>
    </row>
    <row r="15" spans="2:30" ht="14.25" customHeight="1" x14ac:dyDescent="0.3">
      <c r="B15" s="137" t="s">
        <v>234</v>
      </c>
      <c r="C15" s="137"/>
      <c r="D15" s="36">
        <v>9.9469999999999992</v>
      </c>
      <c r="E15" s="34" t="s">
        <v>227</v>
      </c>
      <c r="F15" s="138" t="s">
        <v>235</v>
      </c>
      <c r="G15" s="139"/>
      <c r="H15" s="40">
        <f>1.138 * 10^(-6)</f>
        <v>1.1379999999999999E-6</v>
      </c>
      <c r="I15" s="31" t="s">
        <v>444</v>
      </c>
      <c r="J15" s="31"/>
      <c r="K15" s="31"/>
      <c r="L15" s="31"/>
      <c r="M15" s="31"/>
      <c r="N15" s="31"/>
      <c r="O15" s="31"/>
      <c r="P15" s="31"/>
      <c r="Q15" s="31"/>
      <c r="R15" s="31"/>
      <c r="V15" s="135" t="s">
        <v>234</v>
      </c>
      <c r="W15" s="135"/>
      <c r="X15" s="39">
        <v>9.9</v>
      </c>
      <c r="Y15" s="34" t="s">
        <v>227</v>
      </c>
      <c r="AB15" s="136"/>
      <c r="AC15" s="136"/>
      <c r="AD15" s="136"/>
    </row>
    <row r="16" spans="2:30" ht="14.25" customHeight="1" x14ac:dyDescent="0.3">
      <c r="B16" s="34"/>
      <c r="C16" s="5" t="s">
        <v>252</v>
      </c>
      <c r="D16" s="36">
        <f>D15 * F18</f>
        <v>32.634515479999997</v>
      </c>
      <c r="E16" s="34" t="s">
        <v>443</v>
      </c>
      <c r="F16" s="41"/>
      <c r="G16" s="42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V16" s="34"/>
      <c r="W16" s="34"/>
      <c r="X16" s="39"/>
      <c r="Y16" s="34"/>
    </row>
    <row r="17" spans="1:26" x14ac:dyDescent="0.3">
      <c r="B17" s="137" t="s">
        <v>233</v>
      </c>
      <c r="C17" s="137"/>
      <c r="D17" s="34">
        <v>16</v>
      </c>
      <c r="E17" s="34" t="s">
        <v>232</v>
      </c>
      <c r="F17" s="43">
        <f>0.5144*D17</f>
        <v>8.2303999999999995</v>
      </c>
      <c r="G17" s="43" t="s">
        <v>193</v>
      </c>
      <c r="H17" s="31"/>
      <c r="V17" s="135" t="s">
        <v>233</v>
      </c>
      <c r="W17" s="135"/>
      <c r="X17" s="34">
        <v>16.3</v>
      </c>
      <c r="Y17" s="34" t="s">
        <v>232</v>
      </c>
      <c r="Z17" s="10">
        <v>0.51444000000000001</v>
      </c>
    </row>
    <row r="18" spans="1:26" x14ac:dyDescent="0.3">
      <c r="A18" s="4" t="s">
        <v>231</v>
      </c>
      <c r="B18" s="137" t="s">
        <v>228</v>
      </c>
      <c r="C18" s="137"/>
      <c r="D18" s="34">
        <v>139.74</v>
      </c>
      <c r="E18" s="34" t="s">
        <v>227</v>
      </c>
      <c r="F18" s="44">
        <v>3.28084</v>
      </c>
      <c r="G18" s="44" t="s">
        <v>441</v>
      </c>
      <c r="H18" s="31"/>
      <c r="U18" s="10" t="s">
        <v>231</v>
      </c>
      <c r="V18" s="135" t="s">
        <v>230</v>
      </c>
      <c r="W18" s="135"/>
      <c r="X18" s="34">
        <f>X17/Z17</f>
        <v>31.68493896275562</v>
      </c>
      <c r="Y18" s="34" t="s">
        <v>193</v>
      </c>
    </row>
    <row r="19" spans="1:26" x14ac:dyDescent="0.3">
      <c r="B19" s="34"/>
      <c r="C19" s="5"/>
      <c r="D19" s="34">
        <f>D18 * F18</f>
        <v>458.46458160000003</v>
      </c>
      <c r="E19" s="34" t="s">
        <v>226</v>
      </c>
      <c r="F19" s="44">
        <v>0.30480000000000002</v>
      </c>
      <c r="G19" s="44" t="s">
        <v>442</v>
      </c>
      <c r="H19" s="31"/>
      <c r="V19" s="34"/>
      <c r="W19" s="34"/>
      <c r="X19" s="34"/>
      <c r="Y19" s="34"/>
    </row>
    <row r="20" spans="1:26" x14ac:dyDescent="0.3">
      <c r="B20" s="137" t="s">
        <v>225</v>
      </c>
      <c r="C20" s="137"/>
      <c r="D20" s="117">
        <v>0.68</v>
      </c>
      <c r="E20" s="34"/>
      <c r="F20" s="44" t="s">
        <v>229</v>
      </c>
      <c r="G20" s="44">
        <v>1.026</v>
      </c>
      <c r="H20" s="31"/>
      <c r="V20" s="135" t="s">
        <v>228</v>
      </c>
      <c r="W20" s="135"/>
      <c r="X20" s="34">
        <v>139.74</v>
      </c>
      <c r="Y20" s="34" t="s">
        <v>227</v>
      </c>
      <c r="Z20" s="10">
        <v>3.28084</v>
      </c>
    </row>
    <row r="21" spans="1:26" x14ac:dyDescent="0.3">
      <c r="B21" s="137" t="s">
        <v>224</v>
      </c>
      <c r="C21" s="137"/>
      <c r="D21" s="34">
        <v>0.98199999999999998</v>
      </c>
      <c r="E21" s="34"/>
      <c r="V21" s="135"/>
      <c r="W21" s="135"/>
      <c r="X21" s="34">
        <f>X20/Z20</f>
        <v>42.592750637031983</v>
      </c>
      <c r="Y21" s="34" t="s">
        <v>226</v>
      </c>
    </row>
    <row r="22" spans="1:26" x14ac:dyDescent="0.3">
      <c r="B22" s="137" t="s">
        <v>222</v>
      </c>
      <c r="C22" s="137"/>
      <c r="D22" s="117">
        <v>0.69</v>
      </c>
      <c r="E22" s="34"/>
      <c r="V22" s="135" t="s">
        <v>225</v>
      </c>
      <c r="W22" s="135"/>
      <c r="X22" s="34">
        <v>0.68</v>
      </c>
      <c r="Y22" s="34"/>
    </row>
    <row r="23" spans="1:26" x14ac:dyDescent="0.3">
      <c r="B23" s="45" t="s">
        <v>526</v>
      </c>
      <c r="C23" s="8" t="s">
        <v>252</v>
      </c>
      <c r="D23" s="45">
        <v>20704</v>
      </c>
      <c r="E23" s="45" t="s">
        <v>207</v>
      </c>
      <c r="V23" s="34"/>
      <c r="W23" s="34"/>
      <c r="X23" s="34"/>
      <c r="Y23" s="34"/>
    </row>
    <row r="24" spans="1:26" x14ac:dyDescent="0.3">
      <c r="B24" s="45"/>
      <c r="C24" s="8"/>
      <c r="D24" s="45"/>
      <c r="E24" s="45"/>
      <c r="V24" s="34"/>
      <c r="W24" s="34"/>
      <c r="X24" s="34"/>
      <c r="Y24" s="34"/>
    </row>
    <row r="25" spans="1:26" x14ac:dyDescent="0.3">
      <c r="V25" s="135" t="s">
        <v>224</v>
      </c>
      <c r="W25" s="135"/>
      <c r="X25" s="34">
        <v>0.98199999999999998</v>
      </c>
      <c r="Y25" s="34"/>
    </row>
    <row r="26" spans="1:26" x14ac:dyDescent="0.3">
      <c r="B26" s="10" t="s">
        <v>366</v>
      </c>
      <c r="C26" s="4" t="s">
        <v>252</v>
      </c>
      <c r="D26" s="10">
        <v>1.026</v>
      </c>
      <c r="E26" s="10" t="s">
        <v>367</v>
      </c>
      <c r="V26" s="34"/>
      <c r="W26" s="34"/>
      <c r="X26" s="34"/>
      <c r="Y26" s="34"/>
    </row>
    <row r="27" spans="1:26" x14ac:dyDescent="0.3">
      <c r="B27" s="10" t="s">
        <v>368</v>
      </c>
      <c r="C27" s="4" t="s">
        <v>252</v>
      </c>
      <c r="D27" s="10">
        <v>9.7931670000000004</v>
      </c>
      <c r="E27" s="10" t="s">
        <v>369</v>
      </c>
      <c r="V27" s="34"/>
      <c r="W27" s="34"/>
      <c r="X27" s="34"/>
      <c r="Y27" s="34"/>
    </row>
    <row r="28" spans="1:26" x14ac:dyDescent="0.3">
      <c r="V28" s="34"/>
      <c r="W28" s="34"/>
      <c r="X28" s="34"/>
      <c r="Y28" s="34"/>
    </row>
    <row r="29" spans="1:26" x14ac:dyDescent="0.3">
      <c r="B29" s="10" t="s">
        <v>555</v>
      </c>
      <c r="V29" s="34"/>
      <c r="W29" s="34"/>
      <c r="X29" s="34"/>
      <c r="Y29" s="34"/>
    </row>
    <row r="30" spans="1:26" ht="52.8" x14ac:dyDescent="0.3">
      <c r="B30" s="10" t="s">
        <v>556</v>
      </c>
      <c r="C30" s="4" t="s">
        <v>493</v>
      </c>
      <c r="D30" s="3" t="s">
        <v>557</v>
      </c>
      <c r="V30" s="34"/>
      <c r="W30" s="34"/>
      <c r="X30" s="34"/>
      <c r="Y30" s="34"/>
    </row>
    <row r="31" spans="1:26" x14ac:dyDescent="0.3">
      <c r="B31" s="10" t="s">
        <v>553</v>
      </c>
      <c r="C31" s="4" t="s">
        <v>252</v>
      </c>
      <c r="D31" s="10" t="s">
        <v>554</v>
      </c>
      <c r="V31" s="34"/>
      <c r="W31" s="34"/>
      <c r="X31" s="34"/>
      <c r="Y31" s="34"/>
    </row>
    <row r="32" spans="1:26" x14ac:dyDescent="0.3">
      <c r="C32" s="4" t="s">
        <v>252</v>
      </c>
      <c r="D32" s="10">
        <f>D45^0.3 * D17^0.3 * 3.2 * ((D20+0.5) / (0.145/D65 +0.5))</f>
        <v>153.20351721269432</v>
      </c>
      <c r="V32" s="34"/>
      <c r="W32" s="34"/>
      <c r="X32" s="34"/>
      <c r="Y32" s="34"/>
    </row>
    <row r="33" spans="1:25" ht="39.6" x14ac:dyDescent="0.3">
      <c r="B33" s="3" t="s">
        <v>558</v>
      </c>
      <c r="V33" s="34"/>
      <c r="W33" s="34"/>
      <c r="X33" s="34"/>
      <c r="Y33" s="34"/>
    </row>
    <row r="34" spans="1:25" x14ac:dyDescent="0.3">
      <c r="V34" s="34"/>
      <c r="W34" s="34"/>
      <c r="X34" s="34"/>
      <c r="Y34" s="34"/>
    </row>
    <row r="35" spans="1:25" x14ac:dyDescent="0.3">
      <c r="V35" s="34"/>
      <c r="W35" s="34"/>
      <c r="X35" s="34"/>
      <c r="Y35" s="34"/>
    </row>
    <row r="36" spans="1:25" x14ac:dyDescent="0.3">
      <c r="V36" s="34"/>
      <c r="W36" s="34"/>
      <c r="X36" s="34"/>
      <c r="Y36" s="34"/>
    </row>
    <row r="37" spans="1:25" x14ac:dyDescent="0.3">
      <c r="V37" s="34"/>
      <c r="W37" s="34"/>
      <c r="X37" s="34"/>
      <c r="Y37" s="34"/>
    </row>
    <row r="38" spans="1:25" x14ac:dyDescent="0.3">
      <c r="V38" s="34"/>
      <c r="W38" s="34"/>
      <c r="X38" s="34"/>
      <c r="Y38" s="34"/>
    </row>
    <row r="39" spans="1:25" x14ac:dyDescent="0.3">
      <c r="V39" s="34"/>
      <c r="W39" s="34"/>
      <c r="X39" s="34"/>
      <c r="Y39" s="34"/>
    </row>
    <row r="40" spans="1:25" x14ac:dyDescent="0.3">
      <c r="V40" s="34"/>
      <c r="W40" s="34"/>
      <c r="X40" s="34"/>
      <c r="Y40" s="34"/>
    </row>
    <row r="41" spans="1:25" x14ac:dyDescent="0.3">
      <c r="A41" s="4" t="s">
        <v>215</v>
      </c>
      <c r="B41" s="10" t="s">
        <v>223</v>
      </c>
      <c r="C41" s="4" t="s">
        <v>1</v>
      </c>
      <c r="D41" s="10" t="s">
        <v>211</v>
      </c>
      <c r="V41" s="135" t="s">
        <v>222</v>
      </c>
      <c r="W41" s="135"/>
      <c r="X41" s="34">
        <v>0.69</v>
      </c>
      <c r="Y41" s="34"/>
    </row>
    <row r="42" spans="1:25" x14ac:dyDescent="0.3">
      <c r="C42" s="4" t="s">
        <v>1</v>
      </c>
      <c r="D42" s="121">
        <f>D9 * D11 * D15 * D20</f>
        <v>22840.37779296</v>
      </c>
      <c r="E42" s="10" t="s">
        <v>221</v>
      </c>
      <c r="V42" s="135" t="s">
        <v>220</v>
      </c>
      <c r="W42" s="135"/>
      <c r="X42" s="141"/>
      <c r="Y42" s="142"/>
    </row>
    <row r="44" spans="1:25" x14ac:dyDescent="0.3">
      <c r="A44" s="4" t="s">
        <v>209</v>
      </c>
      <c r="B44" s="10" t="s">
        <v>219</v>
      </c>
      <c r="C44" s="4" t="s">
        <v>1</v>
      </c>
      <c r="D44" s="10" t="s">
        <v>218</v>
      </c>
      <c r="U44" s="46" t="s">
        <v>217</v>
      </c>
      <c r="V44" s="143" t="s">
        <v>216</v>
      </c>
      <c r="W44" s="143"/>
      <c r="X44" s="143"/>
      <c r="Y44" s="144"/>
    </row>
    <row r="45" spans="1:25" x14ac:dyDescent="0.3">
      <c r="C45" s="4" t="s">
        <v>1</v>
      </c>
      <c r="D45" s="1">
        <f>D9*D11*D15*D20*G20</f>
        <v>23434.227615576961</v>
      </c>
      <c r="E45" s="10" t="s">
        <v>207</v>
      </c>
      <c r="U45" s="1" t="s">
        <v>215</v>
      </c>
      <c r="V45" s="140" t="s">
        <v>214</v>
      </c>
      <c r="W45" s="140"/>
      <c r="X45" s="140"/>
      <c r="Y45" s="140"/>
    </row>
    <row r="46" spans="1:25" x14ac:dyDescent="0.3">
      <c r="C46" s="4" t="s">
        <v>252</v>
      </c>
      <c r="D46" s="118">
        <f>D45*1000</f>
        <v>23434227.61557696</v>
      </c>
      <c r="E46" s="10" t="s">
        <v>571</v>
      </c>
      <c r="U46" s="1"/>
      <c r="V46" s="1"/>
      <c r="W46" s="1"/>
      <c r="X46" s="1"/>
      <c r="Y46" s="1"/>
    </row>
    <row r="47" spans="1:25" x14ac:dyDescent="0.3">
      <c r="C47" s="4" t="s">
        <v>489</v>
      </c>
      <c r="D47" s="1">
        <f>D45-(D45 * 0.1)</f>
        <v>21090.804854019265</v>
      </c>
      <c r="E47" s="10" t="s">
        <v>207</v>
      </c>
      <c r="U47" s="1"/>
      <c r="V47" s="1"/>
      <c r="W47" s="1"/>
      <c r="X47" s="1"/>
      <c r="Y47" s="1"/>
    </row>
    <row r="48" spans="1:25" x14ac:dyDescent="0.3">
      <c r="D48" s="1">
        <v>3838</v>
      </c>
      <c r="U48" s="1"/>
      <c r="V48" s="1"/>
      <c r="W48" s="1"/>
      <c r="X48" s="1"/>
      <c r="Y48" s="1"/>
    </row>
    <row r="49" spans="1:25" x14ac:dyDescent="0.3">
      <c r="D49" s="1">
        <f>D48-(D48*0.06735)</f>
        <v>3579.5106999999998</v>
      </c>
      <c r="U49" s="1"/>
      <c r="V49" s="1"/>
      <c r="W49" s="1"/>
      <c r="X49" s="1"/>
      <c r="Y49" s="1"/>
    </row>
    <row r="50" spans="1:25" ht="13.8" x14ac:dyDescent="0.3">
      <c r="U50" s="1"/>
      <c r="V50" s="145" t="s">
        <v>213</v>
      </c>
      <c r="W50" s="146"/>
      <c r="X50" s="146"/>
      <c r="Y50" s="1"/>
    </row>
    <row r="51" spans="1:25" x14ac:dyDescent="0.3">
      <c r="A51" s="4" t="s">
        <v>206</v>
      </c>
      <c r="B51" s="10" t="s">
        <v>249</v>
      </c>
      <c r="C51" s="4" t="s">
        <v>1</v>
      </c>
      <c r="D51" s="10" t="s">
        <v>588</v>
      </c>
      <c r="V51" s="1" t="s">
        <v>212</v>
      </c>
      <c r="W51" s="10" t="s">
        <v>1</v>
      </c>
      <c r="X51" s="10" t="s">
        <v>211</v>
      </c>
    </row>
    <row r="52" spans="1:25" ht="15.6" x14ac:dyDescent="0.3">
      <c r="B52" s="10" t="s">
        <v>204</v>
      </c>
      <c r="C52" s="4" t="s">
        <v>1</v>
      </c>
      <c r="D52" s="1">
        <f>1.026*D9*((D20*D11)+(1.7*D15))</f>
        <v>4827.8740180319983</v>
      </c>
      <c r="E52" s="10" t="s">
        <v>210</v>
      </c>
      <c r="W52" s="10" t="s">
        <v>1</v>
      </c>
      <c r="X52" s="47">
        <f>X9*X11*X15*X22</f>
        <v>22234.665024000005</v>
      </c>
      <c r="Y52" s="48" t="s">
        <v>329</v>
      </c>
    </row>
    <row r="53" spans="1:25" ht="15.6" x14ac:dyDescent="0.3">
      <c r="C53" s="4" t="s">
        <v>252</v>
      </c>
      <c r="D53" s="1" t="s">
        <v>589</v>
      </c>
      <c r="X53" s="49"/>
      <c r="Y53" s="48"/>
    </row>
    <row r="54" spans="1:25" ht="15.6" x14ac:dyDescent="0.3">
      <c r="C54" s="4" t="s">
        <v>252</v>
      </c>
      <c r="D54" s="1">
        <f>1.026 * D9 * (D20 * D11 + 1.7 * D15)</f>
        <v>4827.8740180319983</v>
      </c>
      <c r="X54" s="49"/>
      <c r="Y54" s="48"/>
    </row>
    <row r="55" spans="1:25" ht="15.6" x14ac:dyDescent="0.3">
      <c r="B55" s="10" t="s">
        <v>578</v>
      </c>
      <c r="C55" s="4" t="s">
        <v>252</v>
      </c>
      <c r="D55" s="1" t="s">
        <v>579</v>
      </c>
      <c r="F55" s="10" t="s">
        <v>580</v>
      </c>
      <c r="X55" s="49"/>
      <c r="Y55" s="48"/>
    </row>
    <row r="56" spans="1:25" x14ac:dyDescent="0.3">
      <c r="C56" s="4" t="s">
        <v>252</v>
      </c>
      <c r="D56" s="10">
        <f>D52/1.025</f>
        <v>4710.1209932019501</v>
      </c>
    </row>
    <row r="57" spans="1:25" x14ac:dyDescent="0.3">
      <c r="B57" s="10" t="s">
        <v>581</v>
      </c>
      <c r="C57" s="4" t="s">
        <v>252</v>
      </c>
      <c r="D57" s="10" t="s">
        <v>582</v>
      </c>
    </row>
    <row r="58" spans="1:25" x14ac:dyDescent="0.3">
      <c r="C58" s="4" t="s">
        <v>252</v>
      </c>
      <c r="D58" s="10">
        <f>D59 * (D47 * D6)^(1/2)</f>
        <v>4249.5884102173941</v>
      </c>
      <c r="E58" s="10" t="s">
        <v>210</v>
      </c>
    </row>
    <row r="59" spans="1:25" x14ac:dyDescent="0.3">
      <c r="C59" s="4" t="s">
        <v>583</v>
      </c>
      <c r="D59" s="10">
        <v>2.5</v>
      </c>
    </row>
    <row r="64" spans="1:25" ht="52.8" x14ac:dyDescent="0.3">
      <c r="A64" s="4" t="s">
        <v>202</v>
      </c>
      <c r="B64" s="10" t="s">
        <v>201</v>
      </c>
      <c r="C64" s="4" t="s">
        <v>1</v>
      </c>
      <c r="D64" s="10" t="s">
        <v>542</v>
      </c>
      <c r="E64" s="10" t="s">
        <v>539</v>
      </c>
      <c r="F64" s="3" t="s">
        <v>541</v>
      </c>
      <c r="U64" s="1" t="s">
        <v>209</v>
      </c>
      <c r="V64" s="1" t="s">
        <v>208</v>
      </c>
      <c r="W64" s="1"/>
      <c r="X64" s="1"/>
    </row>
    <row r="65" spans="1:25" x14ac:dyDescent="0.3">
      <c r="B65" s="10" t="s">
        <v>175</v>
      </c>
      <c r="C65" s="4" t="s">
        <v>1</v>
      </c>
      <c r="D65" s="1">
        <f>F17/SQRT(D9*9.81)</f>
        <v>0.22014533434050246</v>
      </c>
      <c r="E65" s="10" t="s">
        <v>479</v>
      </c>
      <c r="W65" s="10" t="s">
        <v>1</v>
      </c>
      <c r="X65" s="47">
        <f>X9*X11*X15*X22*1.025</f>
        <v>22790.531649600005</v>
      </c>
      <c r="Y65" s="10" t="s">
        <v>207</v>
      </c>
    </row>
    <row r="66" spans="1:25" x14ac:dyDescent="0.3">
      <c r="C66" s="4" t="s">
        <v>252</v>
      </c>
      <c r="D66" s="1" t="s">
        <v>537</v>
      </c>
      <c r="E66" s="10" t="s">
        <v>539</v>
      </c>
      <c r="X66" s="49"/>
    </row>
    <row r="67" spans="1:25" x14ac:dyDescent="0.3">
      <c r="C67" s="4" t="s">
        <v>252</v>
      </c>
      <c r="D67" s="1">
        <f>F17^2 / (D9 * 9.81)</f>
        <v>4.846396823189162E-2</v>
      </c>
      <c r="E67" s="10" t="s">
        <v>479</v>
      </c>
      <c r="X67" s="49"/>
    </row>
    <row r="68" spans="1:25" ht="66" x14ac:dyDescent="0.3">
      <c r="C68" s="4" t="s">
        <v>252</v>
      </c>
      <c r="D68" s="1" t="s">
        <v>538</v>
      </c>
      <c r="E68" s="10" t="s">
        <v>539</v>
      </c>
      <c r="F68" s="3" t="s">
        <v>540</v>
      </c>
      <c r="X68" s="49"/>
    </row>
    <row r="69" spans="1:25" x14ac:dyDescent="0.3">
      <c r="C69" s="4" t="s">
        <v>252</v>
      </c>
      <c r="D69" s="1">
        <f>0.298 * D17 / SQRT(D10)</f>
        <v>0.2205295381258818</v>
      </c>
      <c r="E69" s="10" t="s">
        <v>479</v>
      </c>
      <c r="X69" s="49"/>
    </row>
    <row r="71" spans="1:25" x14ac:dyDescent="0.3">
      <c r="A71" s="4" t="s">
        <v>197</v>
      </c>
      <c r="B71" s="10" t="s">
        <v>196</v>
      </c>
      <c r="C71" s="4" t="s">
        <v>1</v>
      </c>
      <c r="D71" s="10" t="s">
        <v>533</v>
      </c>
      <c r="E71" s="10" t="s">
        <v>534</v>
      </c>
      <c r="U71" s="1" t="s">
        <v>206</v>
      </c>
      <c r="V71" s="140" t="s">
        <v>205</v>
      </c>
      <c r="W71" s="140"/>
      <c r="X71" s="140"/>
    </row>
    <row r="72" spans="1:25" x14ac:dyDescent="0.3">
      <c r="B72" s="10" t="s">
        <v>192</v>
      </c>
      <c r="C72" s="4" t="s">
        <v>1</v>
      </c>
      <c r="D72" s="1">
        <f>F17*D9*1000000/1.138</f>
        <v>1030463437.6098417</v>
      </c>
      <c r="E72" s="1" t="s">
        <v>203</v>
      </c>
    </row>
    <row r="73" spans="1:25" x14ac:dyDescent="0.3">
      <c r="C73" s="4" t="s">
        <v>252</v>
      </c>
      <c r="D73" s="1">
        <f>F17 * D9 / (0.978875 * 10^(-6))</f>
        <v>1197974605.5420761</v>
      </c>
      <c r="E73" s="1"/>
    </row>
    <row r="74" spans="1:25" x14ac:dyDescent="0.3">
      <c r="C74" s="4" t="s">
        <v>252</v>
      </c>
      <c r="D74" s="10" t="s">
        <v>535</v>
      </c>
      <c r="E74" s="10" t="s">
        <v>536</v>
      </c>
    </row>
    <row r="75" spans="1:25" x14ac:dyDescent="0.3">
      <c r="C75" s="4" t="s">
        <v>252</v>
      </c>
      <c r="D75" s="1"/>
      <c r="E75" s="1"/>
    </row>
    <row r="76" spans="1:25" x14ac:dyDescent="0.3">
      <c r="C76" s="4" t="s">
        <v>252</v>
      </c>
      <c r="D76" s="1"/>
      <c r="E76" s="1"/>
    </row>
    <row r="77" spans="1:25" x14ac:dyDescent="0.3">
      <c r="D77" s="1"/>
      <c r="E77" s="1"/>
    </row>
    <row r="78" spans="1:25" x14ac:dyDescent="0.3">
      <c r="D78" s="1"/>
      <c r="E78" s="1"/>
    </row>
    <row r="79" spans="1:25" x14ac:dyDescent="0.3">
      <c r="D79" s="1"/>
      <c r="E79" s="1"/>
    </row>
    <row r="80" spans="1:25" x14ac:dyDescent="0.3">
      <c r="I80" s="10">
        <v>1.67322032899E-3</v>
      </c>
      <c r="U80" s="1" t="s">
        <v>202</v>
      </c>
      <c r="V80" s="140" t="s">
        <v>201</v>
      </c>
      <c r="W80" s="140"/>
      <c r="X80" s="140"/>
    </row>
    <row r="81" spans="1:28" x14ac:dyDescent="0.3">
      <c r="A81" s="4" t="s">
        <v>178</v>
      </c>
      <c r="B81" s="10" t="s">
        <v>200</v>
      </c>
      <c r="C81" s="4" t="s">
        <v>1</v>
      </c>
      <c r="D81" s="10" t="s">
        <v>560</v>
      </c>
      <c r="U81" s="1"/>
      <c r="V81" s="1"/>
      <c r="W81" s="1"/>
      <c r="X81" s="1"/>
    </row>
    <row r="82" spans="1:28" x14ac:dyDescent="0.3">
      <c r="C82" s="4" t="s">
        <v>252</v>
      </c>
      <c r="D82" s="12">
        <f>D9/(D42^(1/3))</f>
        <v>5.0217236808527028</v>
      </c>
      <c r="E82" s="10" t="s">
        <v>559</v>
      </c>
      <c r="I82" s="10">
        <f>(15/8)*I80^2</f>
        <v>5.2493742550226314E-6</v>
      </c>
      <c r="U82" s="1"/>
      <c r="V82" s="2" t="s">
        <v>199</v>
      </c>
      <c r="W82" s="1"/>
      <c r="X82" s="1"/>
    </row>
    <row r="83" spans="1:28" x14ac:dyDescent="0.3">
      <c r="B83" s="10" t="s">
        <v>562</v>
      </c>
      <c r="D83" s="12"/>
      <c r="U83" s="1"/>
      <c r="V83" s="2"/>
      <c r="W83" s="1"/>
      <c r="X83" s="1"/>
    </row>
    <row r="84" spans="1:28" x14ac:dyDescent="0.3">
      <c r="C84" s="4" t="s">
        <v>252</v>
      </c>
      <c r="D84" s="12" t="s">
        <v>561</v>
      </c>
      <c r="U84" s="1"/>
      <c r="V84" s="2"/>
      <c r="W84" s="1"/>
      <c r="X84" s="1"/>
    </row>
    <row r="85" spans="1:28" x14ac:dyDescent="0.3">
      <c r="D85" s="12">
        <f>10/3 + 5/3 * (F17 / D9^(1/2))</f>
        <v>4.4825257168440524</v>
      </c>
      <c r="E85" s="10" t="s">
        <v>559</v>
      </c>
      <c r="U85" s="1"/>
      <c r="V85" s="2"/>
      <c r="W85" s="1"/>
      <c r="X85" s="1"/>
    </row>
    <row r="86" spans="1:28" x14ac:dyDescent="0.3">
      <c r="B86" s="10" t="s">
        <v>475</v>
      </c>
      <c r="C86" s="4" t="s">
        <v>252</v>
      </c>
      <c r="D86" s="12" t="s">
        <v>563</v>
      </c>
      <c r="U86" s="1"/>
      <c r="V86" s="2"/>
      <c r="W86" s="1"/>
      <c r="X86" s="1"/>
    </row>
    <row r="87" spans="1:28" x14ac:dyDescent="0.3">
      <c r="C87" s="4" t="s">
        <v>252</v>
      </c>
      <c r="D87" s="12">
        <f>7.25 * (D17 / (D17+2))^2 * D42^(1/3)</f>
        <v>162.53019486258782</v>
      </c>
      <c r="E87" s="10" t="s">
        <v>377</v>
      </c>
      <c r="U87" s="1"/>
      <c r="V87" s="2"/>
      <c r="W87" s="1"/>
      <c r="X87" s="1"/>
    </row>
    <row r="88" spans="1:28" x14ac:dyDescent="0.3">
      <c r="D88" s="12"/>
      <c r="U88" s="1"/>
      <c r="V88" s="2"/>
      <c r="W88" s="1"/>
      <c r="X88" s="1"/>
    </row>
    <row r="89" spans="1:28" x14ac:dyDescent="0.3">
      <c r="D89" s="12"/>
      <c r="U89" s="1"/>
      <c r="V89" s="2"/>
      <c r="W89" s="1"/>
      <c r="X89" s="1"/>
    </row>
    <row r="90" spans="1:28" x14ac:dyDescent="0.3">
      <c r="D90" s="12"/>
      <c r="U90" s="1"/>
      <c r="V90" s="2"/>
      <c r="W90" s="1"/>
      <c r="X90" s="1"/>
    </row>
    <row r="91" spans="1:28" x14ac:dyDescent="0.3">
      <c r="D91" s="12"/>
      <c r="U91" s="1"/>
      <c r="V91" s="2"/>
      <c r="W91" s="1"/>
      <c r="X91" s="1"/>
    </row>
    <row r="92" spans="1:28" x14ac:dyDescent="0.3">
      <c r="F92" s="147"/>
      <c r="G92" s="147" t="s">
        <v>162</v>
      </c>
      <c r="V92" s="1" t="s">
        <v>175</v>
      </c>
      <c r="W92" s="10" t="s">
        <v>1</v>
      </c>
    </row>
    <row r="93" spans="1:28" x14ac:dyDescent="0.3">
      <c r="B93" s="150" t="s">
        <v>198</v>
      </c>
      <c r="F93" s="147"/>
      <c r="G93" s="147"/>
    </row>
    <row r="94" spans="1:28" x14ac:dyDescent="0.3">
      <c r="A94" s="4" t="s">
        <v>188</v>
      </c>
      <c r="B94" s="150"/>
      <c r="C94" s="4" t="s">
        <v>1</v>
      </c>
      <c r="D94" s="10" t="s">
        <v>242</v>
      </c>
      <c r="F94" s="50">
        <v>5</v>
      </c>
      <c r="G94" s="50">
        <v>1.2250000000000001</v>
      </c>
    </row>
    <row r="95" spans="1:28" x14ac:dyDescent="0.3">
      <c r="B95" s="150"/>
      <c r="F95" s="50">
        <v>5.5</v>
      </c>
      <c r="G95" s="50">
        <v>1</v>
      </c>
      <c r="W95" s="10" t="s">
        <v>1</v>
      </c>
      <c r="X95" s="47">
        <f>F17/SQRT(D9*9.81)</f>
        <v>0.22014533434050246</v>
      </c>
    </row>
    <row r="96" spans="1:28" x14ac:dyDescent="0.3">
      <c r="F96" s="51">
        <f>D82</f>
        <v>5.0217236808527028</v>
      </c>
      <c r="G96" s="52">
        <f>(G95 * (F96-F94) - G94 * (F96-F95)) / ((F96-F94) - (F96-F95))</f>
        <v>1.2152243436162837</v>
      </c>
      <c r="AB96" s="16"/>
    </row>
    <row r="97" spans="1:29" x14ac:dyDescent="0.3">
      <c r="B97" s="10" t="s">
        <v>243</v>
      </c>
      <c r="C97" s="4" t="s">
        <v>1</v>
      </c>
      <c r="D97" s="1">
        <f>(((D82-F94)/(F95-F94)*(G95-G94)+G94))</f>
        <v>1.2152243436162837</v>
      </c>
      <c r="E97" s="1">
        <f>D97/1000</f>
        <v>1.2152243436162836E-3</v>
      </c>
      <c r="U97" s="1" t="s">
        <v>197</v>
      </c>
      <c r="V97" s="140" t="s">
        <v>196</v>
      </c>
      <c r="W97" s="140"/>
      <c r="X97" s="140"/>
      <c r="Y97" s="16"/>
    </row>
    <row r="98" spans="1:29" x14ac:dyDescent="0.3">
      <c r="D98" s="53">
        <f>(G95*G98-G94*G99)/(G98-G99)</f>
        <v>1.2152243436162837</v>
      </c>
      <c r="F98" s="10" t="s">
        <v>284</v>
      </c>
      <c r="G98" s="53">
        <f>D82-F94</f>
        <v>2.172368085270282E-2</v>
      </c>
      <c r="H98" s="53"/>
      <c r="U98" s="1"/>
      <c r="V98" s="2" t="s">
        <v>195</v>
      </c>
      <c r="W98" s="1"/>
      <c r="X98" s="1"/>
      <c r="Y98" s="16"/>
      <c r="Z98" s="54" t="s">
        <v>194</v>
      </c>
      <c r="AA98" s="55">
        <v>0.51444000000000001</v>
      </c>
      <c r="AB98" s="55" t="s">
        <v>193</v>
      </c>
      <c r="AC98" s="56"/>
    </row>
    <row r="99" spans="1:29" ht="15.6" x14ac:dyDescent="0.3">
      <c r="F99" s="10" t="s">
        <v>285</v>
      </c>
      <c r="G99" s="53">
        <f>D82-F95</f>
        <v>-0.47827631914729718</v>
      </c>
      <c r="H99" s="53"/>
      <c r="V99" s="1" t="s">
        <v>192</v>
      </c>
      <c r="W99" s="10" t="s">
        <v>1</v>
      </c>
      <c r="Z99" s="57" t="s">
        <v>191</v>
      </c>
      <c r="AA99" s="58">
        <f>0.849*10^-6</f>
        <v>8.4899999999999994E-7</v>
      </c>
      <c r="AB99" s="152" t="s">
        <v>330</v>
      </c>
      <c r="AC99" s="153"/>
    </row>
    <row r="101" spans="1:29" x14ac:dyDescent="0.3">
      <c r="A101" s="4" t="s">
        <v>188</v>
      </c>
      <c r="B101" s="10" t="s">
        <v>190</v>
      </c>
      <c r="C101" s="4" t="s">
        <v>1</v>
      </c>
      <c r="W101" s="10" t="s">
        <v>1</v>
      </c>
      <c r="X101" s="47">
        <f>F17*X9*1000000/1.138</f>
        <v>1007898544.8154658</v>
      </c>
      <c r="Y101" s="1"/>
    </row>
    <row r="102" spans="1:29" x14ac:dyDescent="0.3">
      <c r="W102" s="10" t="s">
        <v>1</v>
      </c>
      <c r="X102" s="47" t="s">
        <v>189</v>
      </c>
    </row>
    <row r="103" spans="1:29" x14ac:dyDescent="0.3">
      <c r="C103" s="4" t="s">
        <v>1</v>
      </c>
      <c r="D103" s="1">
        <f>0.075/((LOG(D72)-2)^2)</f>
        <v>1.5249287400705357E-3</v>
      </c>
      <c r="E103" s="1"/>
    </row>
    <row r="104" spans="1:29" x14ac:dyDescent="0.3">
      <c r="U104" s="1" t="s">
        <v>188</v>
      </c>
      <c r="V104" s="1" t="s">
        <v>187</v>
      </c>
    </row>
    <row r="105" spans="1:29" x14ac:dyDescent="0.3">
      <c r="A105" s="4" t="s">
        <v>186</v>
      </c>
      <c r="B105" s="10" t="s">
        <v>185</v>
      </c>
      <c r="C105" s="4" t="s">
        <v>1</v>
      </c>
      <c r="D105" s="10" t="s">
        <v>73</v>
      </c>
      <c r="U105" s="1"/>
      <c r="V105" s="2" t="s">
        <v>184</v>
      </c>
    </row>
    <row r="106" spans="1:29" x14ac:dyDescent="0.3">
      <c r="C106" s="4" t="s">
        <v>1</v>
      </c>
      <c r="D106" s="1">
        <f>D11/D15</f>
        <v>2.3826279280184983</v>
      </c>
      <c r="V106" s="1" t="s">
        <v>183</v>
      </c>
      <c r="W106" s="10" t="s">
        <v>1</v>
      </c>
    </row>
    <row r="107" spans="1:29" x14ac:dyDescent="0.3">
      <c r="D107" s="1"/>
      <c r="AA107" s="10">
        <f>LOG(X101)</f>
        <v>9.0034168181766265</v>
      </c>
    </row>
    <row r="108" spans="1:29" x14ac:dyDescent="0.3">
      <c r="B108" s="10" t="s">
        <v>182</v>
      </c>
      <c r="C108" s="4" t="s">
        <v>1</v>
      </c>
      <c r="D108" s="1" t="s">
        <v>181</v>
      </c>
      <c r="W108" s="10" t="s">
        <v>1</v>
      </c>
      <c r="X108" s="47">
        <f>0.075/(LOG(X101)-2)^2</f>
        <v>1.52911910287441E-3</v>
      </c>
      <c r="AA108" s="10">
        <f>AA107/0.00000001</f>
        <v>900341681.8176626</v>
      </c>
    </row>
    <row r="109" spans="1:29" x14ac:dyDescent="0.3">
      <c r="C109" s="4" t="s">
        <v>1</v>
      </c>
      <c r="D109" s="1">
        <f>E97+(0.16*(D106-2.5)/1000)</f>
        <v>1.1964448120992434E-3</v>
      </c>
      <c r="E109" s="10">
        <f>D109*100</f>
        <v>0.11964448120992434</v>
      </c>
      <c r="X109" s="1"/>
    </row>
    <row r="110" spans="1:29" x14ac:dyDescent="0.3">
      <c r="D110" s="1"/>
      <c r="E110" s="1"/>
      <c r="X110" s="1"/>
    </row>
    <row r="111" spans="1:29" x14ac:dyDescent="0.3">
      <c r="B111" s="10" t="s">
        <v>180</v>
      </c>
      <c r="C111" s="4" t="s">
        <v>1</v>
      </c>
      <c r="D111" s="1" t="s">
        <v>245</v>
      </c>
      <c r="F111" s="1"/>
      <c r="X111" s="1"/>
    </row>
    <row r="112" spans="1:29" x14ac:dyDescent="0.3">
      <c r="C112" s="4" t="s">
        <v>1</v>
      </c>
      <c r="D112" s="1">
        <f>D109+(4/100*D109)</f>
        <v>1.2443026045832132E-3</v>
      </c>
      <c r="X112" s="1"/>
    </row>
    <row r="113" spans="2:24" x14ac:dyDescent="0.3">
      <c r="X113" s="1"/>
    </row>
    <row r="114" spans="2:24" x14ac:dyDescent="0.3">
      <c r="B114" s="10" t="s">
        <v>179</v>
      </c>
      <c r="C114" s="4" t="s">
        <v>1</v>
      </c>
      <c r="D114" s="1">
        <f>D112+D109+E97</f>
        <v>3.6559717602987407E-3</v>
      </c>
      <c r="E114" s="10">
        <f>D114*100</f>
        <v>0.36559717602987407</v>
      </c>
      <c r="X114" s="1"/>
    </row>
    <row r="115" spans="2:24" x14ac:dyDescent="0.3">
      <c r="X115" s="1"/>
    </row>
    <row r="116" spans="2:24" x14ac:dyDescent="0.3">
      <c r="X116" s="1"/>
    </row>
    <row r="117" spans="2:24" x14ac:dyDescent="0.3">
      <c r="X117" s="1"/>
    </row>
    <row r="118" spans="2:24" x14ac:dyDescent="0.3">
      <c r="X118" s="1"/>
    </row>
    <row r="119" spans="2:24" x14ac:dyDescent="0.3">
      <c r="X119" s="1"/>
    </row>
    <row r="120" spans="2:24" x14ac:dyDescent="0.3">
      <c r="X120" s="1"/>
    </row>
    <row r="121" spans="2:24" x14ac:dyDescent="0.3">
      <c r="X121" s="1"/>
    </row>
    <row r="122" spans="2:24" x14ac:dyDescent="0.3">
      <c r="X122" s="1"/>
    </row>
    <row r="123" spans="2:24" x14ac:dyDescent="0.3">
      <c r="X123" s="1"/>
    </row>
    <row r="124" spans="2:24" x14ac:dyDescent="0.3">
      <c r="X124" s="1"/>
    </row>
    <row r="125" spans="2:24" x14ac:dyDescent="0.3">
      <c r="X125" s="1"/>
    </row>
    <row r="126" spans="2:24" x14ac:dyDescent="0.3">
      <c r="X126" s="1"/>
    </row>
    <row r="127" spans="2:24" x14ac:dyDescent="0.3">
      <c r="X127" s="1"/>
    </row>
    <row r="128" spans="2:24" x14ac:dyDescent="0.3">
      <c r="X128" s="1"/>
    </row>
    <row r="129" spans="24:24" x14ac:dyDescent="0.3">
      <c r="X129" s="1"/>
    </row>
    <row r="130" spans="24:24" x14ac:dyDescent="0.3">
      <c r="X130" s="1"/>
    </row>
    <row r="131" spans="24:24" x14ac:dyDescent="0.3">
      <c r="X131" s="1"/>
    </row>
    <row r="132" spans="24:24" x14ac:dyDescent="0.3">
      <c r="X132" s="1"/>
    </row>
    <row r="133" spans="24:24" x14ac:dyDescent="0.3">
      <c r="X133" s="1"/>
    </row>
    <row r="134" spans="24:24" x14ac:dyDescent="0.3">
      <c r="X134" s="1"/>
    </row>
    <row r="135" spans="24:24" x14ac:dyDescent="0.3">
      <c r="X135" s="1"/>
    </row>
    <row r="136" spans="24:24" x14ac:dyDescent="0.3">
      <c r="X136" s="1"/>
    </row>
    <row r="137" spans="24:24" x14ac:dyDescent="0.3">
      <c r="X137" s="1"/>
    </row>
    <row r="138" spans="24:24" x14ac:dyDescent="0.3">
      <c r="X138" s="1"/>
    </row>
    <row r="139" spans="24:24" x14ac:dyDescent="0.3">
      <c r="X139" s="1"/>
    </row>
    <row r="140" spans="24:24" x14ac:dyDescent="0.3">
      <c r="X140" s="1"/>
    </row>
    <row r="141" spans="24:24" x14ac:dyDescent="0.3">
      <c r="X141" s="1"/>
    </row>
    <row r="142" spans="24:24" x14ac:dyDescent="0.3">
      <c r="X142" s="1"/>
    </row>
    <row r="143" spans="24:24" x14ac:dyDescent="0.3">
      <c r="X143" s="1"/>
    </row>
    <row r="144" spans="24:24" x14ac:dyDescent="0.3">
      <c r="X144" s="1"/>
    </row>
    <row r="146" spans="21:29" x14ac:dyDescent="0.3">
      <c r="U146" s="1" t="s">
        <v>178</v>
      </c>
      <c r="V146" s="1" t="s">
        <v>177</v>
      </c>
    </row>
    <row r="147" spans="21:29" x14ac:dyDescent="0.3">
      <c r="V147" s="2" t="s">
        <v>176</v>
      </c>
      <c r="X147" s="12"/>
    </row>
    <row r="148" spans="21:29" ht="15.6" x14ac:dyDescent="0.3">
      <c r="V148" s="1" t="s">
        <v>331</v>
      </c>
      <c r="W148" s="10" t="s">
        <v>1</v>
      </c>
      <c r="X148" s="59">
        <f>X9/(X52)^(1/3)</f>
        <v>4.9559616909917255</v>
      </c>
    </row>
    <row r="149" spans="21:29" x14ac:dyDescent="0.3">
      <c r="V149" s="1" t="s">
        <v>175</v>
      </c>
      <c r="W149" s="10" t="s">
        <v>1</v>
      </c>
      <c r="X149" s="12">
        <f>X95</f>
        <v>0.22014533434050246</v>
      </c>
    </row>
    <row r="150" spans="21:29" x14ac:dyDescent="0.3">
      <c r="V150" s="1" t="s">
        <v>174</v>
      </c>
      <c r="W150" s="10" t="s">
        <v>1</v>
      </c>
      <c r="X150" s="12">
        <f>X41</f>
        <v>0.69</v>
      </c>
    </row>
    <row r="151" spans="21:29" x14ac:dyDescent="0.3">
      <c r="V151" s="136" t="s">
        <v>173</v>
      </c>
      <c r="W151" s="136"/>
      <c r="X151" s="136"/>
    </row>
    <row r="152" spans="21:29" x14ac:dyDescent="0.3">
      <c r="V152" s="1" t="s">
        <v>172</v>
      </c>
      <c r="W152" s="10" t="s">
        <v>1</v>
      </c>
      <c r="X152" s="10" t="s">
        <v>171</v>
      </c>
    </row>
    <row r="153" spans="21:29" x14ac:dyDescent="0.3">
      <c r="W153" s="10" t="s">
        <v>1</v>
      </c>
      <c r="X153" s="10">
        <f>(0.08*X22) + 0.93</f>
        <v>0.98440000000000005</v>
      </c>
    </row>
    <row r="154" spans="21:29" x14ac:dyDescent="0.3">
      <c r="V154" s="1" t="s">
        <v>170</v>
      </c>
      <c r="W154" s="10" t="s">
        <v>1</v>
      </c>
      <c r="X154" s="60">
        <f>X22/X153</f>
        <v>0.69077610727346606</v>
      </c>
    </row>
    <row r="155" spans="21:29" x14ac:dyDescent="0.3">
      <c r="X155" s="61"/>
    </row>
    <row r="156" spans="21:29" ht="15.6" x14ac:dyDescent="0.3">
      <c r="V156" s="62" t="s">
        <v>166</v>
      </c>
      <c r="W156" s="10" t="s">
        <v>1</v>
      </c>
      <c r="X156" s="154" t="s">
        <v>169</v>
      </c>
      <c r="Y156" s="154"/>
    </row>
    <row r="157" spans="21:29" x14ac:dyDescent="0.3">
      <c r="V157" s="63" t="s">
        <v>168</v>
      </c>
      <c r="W157" s="64"/>
      <c r="X157" s="155" t="s">
        <v>167</v>
      </c>
      <c r="Y157" s="155"/>
    </row>
    <row r="158" spans="21:29" x14ac:dyDescent="0.3">
      <c r="V158" s="64"/>
      <c r="W158" s="64"/>
      <c r="X158" s="64"/>
      <c r="Y158" s="64"/>
    </row>
    <row r="159" spans="21:29" ht="15.6" x14ac:dyDescent="0.3">
      <c r="V159" s="62" t="s">
        <v>166</v>
      </c>
      <c r="W159" s="10" t="s">
        <v>1</v>
      </c>
      <c r="X159" s="156">
        <v>0.1903</v>
      </c>
      <c r="Y159" s="156"/>
    </row>
    <row r="160" spans="21:29" x14ac:dyDescent="0.3">
      <c r="V160" s="65">
        <v>-0.106</v>
      </c>
      <c r="X160" s="151">
        <v>0.5</v>
      </c>
      <c r="Y160" s="151"/>
      <c r="AA160" s="157" t="s">
        <v>165</v>
      </c>
      <c r="AB160" s="23" t="s">
        <v>164</v>
      </c>
      <c r="AC160" s="23" t="s">
        <v>163</v>
      </c>
    </row>
    <row r="161" spans="21:29" x14ac:dyDescent="0.3">
      <c r="V161" s="67"/>
      <c r="X161" s="66"/>
      <c r="Y161" s="66"/>
      <c r="AA161" s="157"/>
      <c r="AB161" s="23" t="s">
        <v>162</v>
      </c>
      <c r="AC161" s="23" t="s">
        <v>162</v>
      </c>
    </row>
    <row r="162" spans="21:29" ht="15.6" x14ac:dyDescent="0.3">
      <c r="V162" s="1" t="s">
        <v>160</v>
      </c>
      <c r="W162" s="10" t="s">
        <v>1</v>
      </c>
      <c r="X162" s="136" t="s">
        <v>161</v>
      </c>
      <c r="Y162" s="136"/>
      <c r="AA162" s="68">
        <v>4.5</v>
      </c>
      <c r="AB162" s="50">
        <v>1.52</v>
      </c>
      <c r="AC162" s="50">
        <v>1.2190000000000001</v>
      </c>
    </row>
    <row r="163" spans="21:29" ht="15.6" x14ac:dyDescent="0.3">
      <c r="V163" s="1" t="s">
        <v>160</v>
      </c>
      <c r="W163" s="10" t="s">
        <v>1</v>
      </c>
      <c r="X163" s="148">
        <f>1.13+((0.1903)/(0.5)*(-0.106))</f>
        <v>1.0896564</v>
      </c>
      <c r="Y163" s="149"/>
      <c r="Z163" s="10">
        <f>G96</f>
        <v>1.2152243436162837</v>
      </c>
      <c r="AA163" s="68">
        <v>5</v>
      </c>
      <c r="AB163" s="50">
        <v>1.32</v>
      </c>
      <c r="AC163" s="50">
        <v>1.113</v>
      </c>
    </row>
    <row r="164" spans="21:29" x14ac:dyDescent="0.3">
      <c r="V164" s="1" t="s">
        <v>147</v>
      </c>
      <c r="W164" s="10" t="s">
        <v>1</v>
      </c>
      <c r="X164" s="148">
        <f>Z163/1000</f>
        <v>1.2152243436162836E-3</v>
      </c>
      <c r="Y164" s="149"/>
      <c r="AA164" s="69">
        <v>5.5</v>
      </c>
      <c r="AB164" s="50">
        <v>0.98</v>
      </c>
      <c r="AC164" s="50">
        <v>1.0069999999999999</v>
      </c>
    </row>
    <row r="165" spans="21:29" x14ac:dyDescent="0.3">
      <c r="AA165" s="69">
        <v>6</v>
      </c>
      <c r="AB165" s="50">
        <v>0.91</v>
      </c>
      <c r="AC165" s="50">
        <v>0.90100000000000002</v>
      </c>
    </row>
    <row r="166" spans="21:29" x14ac:dyDescent="0.3">
      <c r="U166" s="70" t="s">
        <v>159</v>
      </c>
      <c r="V166" s="143" t="s">
        <v>158</v>
      </c>
      <c r="W166" s="143"/>
      <c r="X166" s="143"/>
      <c r="Y166" s="144"/>
      <c r="Z166" s="1"/>
    </row>
    <row r="167" spans="21:29" x14ac:dyDescent="0.3">
      <c r="U167" s="1" t="s">
        <v>157</v>
      </c>
      <c r="V167" s="161" t="s">
        <v>156</v>
      </c>
      <c r="W167" s="161"/>
      <c r="X167" s="161"/>
    </row>
    <row r="168" spans="21:29" x14ac:dyDescent="0.3">
      <c r="V168" s="2" t="s">
        <v>155</v>
      </c>
    </row>
    <row r="169" spans="21:29" x14ac:dyDescent="0.3">
      <c r="V169" s="10" t="s">
        <v>154</v>
      </c>
    </row>
    <row r="170" spans="21:29" x14ac:dyDescent="0.3">
      <c r="V170" s="10" t="s">
        <v>153</v>
      </c>
    </row>
    <row r="172" spans="21:29" x14ac:dyDescent="0.3">
      <c r="U172" s="1" t="s">
        <v>152</v>
      </c>
      <c r="V172" s="1" t="s">
        <v>151</v>
      </c>
    </row>
    <row r="173" spans="21:29" x14ac:dyDescent="0.3">
      <c r="U173" s="1"/>
      <c r="V173" s="10" t="s">
        <v>150</v>
      </c>
    </row>
    <row r="174" spans="21:29" x14ac:dyDescent="0.3">
      <c r="U174" s="1"/>
      <c r="V174" s="10" t="s">
        <v>149</v>
      </c>
    </row>
    <row r="175" spans="21:29" x14ac:dyDescent="0.3">
      <c r="U175" s="1"/>
      <c r="V175" s="150" t="s">
        <v>148</v>
      </c>
      <c r="W175" s="150"/>
      <c r="X175" s="150"/>
      <c r="Y175" s="150"/>
      <c r="Z175" s="150"/>
      <c r="AA175" s="150"/>
    </row>
    <row r="176" spans="21:29" x14ac:dyDescent="0.3">
      <c r="U176" s="1"/>
      <c r="V176" s="150"/>
      <c r="W176" s="150"/>
      <c r="X176" s="150"/>
      <c r="Y176" s="150"/>
      <c r="Z176" s="150"/>
      <c r="AA176" s="150"/>
    </row>
    <row r="177" spans="21:27" x14ac:dyDescent="0.3">
      <c r="U177" s="1"/>
      <c r="V177" s="71" t="s">
        <v>73</v>
      </c>
      <c r="W177" s="3" t="s">
        <v>1</v>
      </c>
      <c r="X177" s="3">
        <f>X11/X15</f>
        <v>2.3939393939393936</v>
      </c>
      <c r="Y177" s="3"/>
      <c r="Z177" s="3"/>
      <c r="AA177" s="3"/>
    </row>
    <row r="178" spans="21:27" x14ac:dyDescent="0.3">
      <c r="U178" s="1"/>
      <c r="V178" s="1" t="s">
        <v>147</v>
      </c>
      <c r="W178" s="10" t="s">
        <v>1</v>
      </c>
      <c r="X178" s="10">
        <v>1.08965</v>
      </c>
      <c r="Y178" s="1"/>
      <c r="Z178" s="3"/>
      <c r="AA178" s="3"/>
    </row>
    <row r="179" spans="21:27" ht="15.6" x14ac:dyDescent="0.3">
      <c r="U179" s="1"/>
      <c r="V179" s="15" t="s">
        <v>145</v>
      </c>
      <c r="W179" s="3" t="s">
        <v>1</v>
      </c>
      <c r="X179" s="16" t="s">
        <v>146</v>
      </c>
      <c r="Y179" s="3"/>
      <c r="Z179" s="3"/>
      <c r="AA179" s="3"/>
    </row>
    <row r="180" spans="21:27" ht="15.6" x14ac:dyDescent="0.3">
      <c r="U180" s="1"/>
      <c r="V180" s="15" t="s">
        <v>145</v>
      </c>
      <c r="W180" s="3" t="s">
        <v>1</v>
      </c>
      <c r="X180" s="3">
        <f>X178+(0.16*(X177-2.5))</f>
        <v>1.0726803030303029</v>
      </c>
      <c r="Y180" s="3"/>
      <c r="Z180" s="3"/>
      <c r="AA180" s="3"/>
    </row>
    <row r="181" spans="21:27" x14ac:dyDescent="0.3">
      <c r="U181" s="1"/>
      <c r="V181" s="15" t="s">
        <v>144</v>
      </c>
      <c r="W181" s="3" t="s">
        <v>1</v>
      </c>
      <c r="X181" s="72">
        <f>X180/1000</f>
        <v>1.072680303030303E-3</v>
      </c>
      <c r="Y181" s="3"/>
      <c r="Z181" s="3"/>
      <c r="AA181" s="3"/>
    </row>
    <row r="182" spans="21:27" x14ac:dyDescent="0.3">
      <c r="U182" s="1"/>
      <c r="V182" s="15"/>
      <c r="W182" s="3"/>
      <c r="X182" s="71"/>
      <c r="Y182" s="3"/>
      <c r="Z182" s="3"/>
      <c r="AA182" s="3"/>
    </row>
    <row r="183" spans="21:27" x14ac:dyDescent="0.3">
      <c r="U183" s="1" t="s">
        <v>143</v>
      </c>
      <c r="V183" s="15" t="s">
        <v>115</v>
      </c>
      <c r="W183" s="3"/>
      <c r="X183" s="71"/>
      <c r="Y183" s="3"/>
      <c r="Z183" s="3"/>
      <c r="AA183" s="3"/>
    </row>
    <row r="184" spans="21:27" x14ac:dyDescent="0.3">
      <c r="U184" s="1"/>
      <c r="V184" s="16" t="s">
        <v>142</v>
      </c>
      <c r="W184" s="3"/>
      <c r="X184" s="71"/>
      <c r="Y184" s="3"/>
      <c r="Z184" s="3"/>
      <c r="AA184" s="3"/>
    </row>
    <row r="185" spans="21:27" x14ac:dyDescent="0.3">
      <c r="U185" s="1"/>
      <c r="V185" s="16" t="s">
        <v>141</v>
      </c>
      <c r="W185" s="3"/>
      <c r="X185" s="71"/>
      <c r="Y185" s="3"/>
      <c r="Z185" s="3"/>
      <c r="AA185" s="3"/>
    </row>
    <row r="186" spans="21:27" x14ac:dyDescent="0.3">
      <c r="U186" s="1"/>
      <c r="V186" s="16" t="s">
        <v>140</v>
      </c>
      <c r="W186" s="3"/>
      <c r="X186" s="71"/>
      <c r="Y186" s="3"/>
      <c r="Z186" s="3"/>
      <c r="AA186" s="3"/>
    </row>
    <row r="187" spans="21:27" x14ac:dyDescent="0.3">
      <c r="U187" s="1"/>
      <c r="V187" s="15" t="s">
        <v>137</v>
      </c>
      <c r="W187" s="3" t="s">
        <v>1</v>
      </c>
      <c r="X187" s="73" t="s">
        <v>139</v>
      </c>
      <c r="Y187" s="16"/>
      <c r="Z187" s="3"/>
      <c r="AA187" s="3"/>
    </row>
    <row r="188" spans="21:27" x14ac:dyDescent="0.3">
      <c r="U188" s="1"/>
      <c r="V188" s="15" t="s">
        <v>137</v>
      </c>
      <c r="W188" s="3" t="s">
        <v>1</v>
      </c>
      <c r="X188" s="19" t="s">
        <v>138</v>
      </c>
      <c r="Y188" s="19"/>
      <c r="Z188" s="3"/>
      <c r="AA188" s="3"/>
    </row>
    <row r="189" spans="21:27" x14ac:dyDescent="0.3">
      <c r="U189" s="1"/>
      <c r="V189" s="15" t="s">
        <v>137</v>
      </c>
      <c r="W189" s="3" t="s">
        <v>1</v>
      </c>
      <c r="X189" s="74">
        <v>1.4999999999999999E-2</v>
      </c>
      <c r="Y189" s="19"/>
      <c r="Z189" s="3"/>
      <c r="AA189" s="3"/>
    </row>
    <row r="190" spans="21:27" x14ac:dyDescent="0.3">
      <c r="U190" s="1"/>
      <c r="V190" s="15"/>
      <c r="W190" s="3"/>
      <c r="X190" s="75"/>
      <c r="Y190" s="19"/>
      <c r="Z190" s="3"/>
      <c r="AA190" s="3"/>
    </row>
    <row r="191" spans="21:27" ht="15.6" x14ac:dyDescent="0.3">
      <c r="U191" s="1"/>
      <c r="V191" s="15" t="s">
        <v>136</v>
      </c>
      <c r="W191" s="16" t="s">
        <v>1</v>
      </c>
      <c r="X191" s="76">
        <f>X181/X189</f>
        <v>7.1512020202020202E-2</v>
      </c>
      <c r="Y191" s="19"/>
      <c r="Z191" s="3"/>
      <c r="AA191" s="3"/>
    </row>
    <row r="192" spans="21:27" x14ac:dyDescent="0.3">
      <c r="U192" s="1"/>
      <c r="V192" s="17" t="s">
        <v>135</v>
      </c>
      <c r="W192" s="3"/>
      <c r="X192" s="75"/>
      <c r="Y192" s="19"/>
      <c r="Z192" s="3"/>
      <c r="AA192" s="3"/>
    </row>
    <row r="193" spans="1:27" x14ac:dyDescent="0.3">
      <c r="U193" s="1"/>
      <c r="V193" s="17"/>
      <c r="W193" s="3"/>
      <c r="X193" s="75"/>
      <c r="Y193" s="19"/>
      <c r="Z193" s="3"/>
      <c r="AA193" s="3"/>
    </row>
    <row r="194" spans="1:27" ht="15.6" x14ac:dyDescent="0.3">
      <c r="U194" s="1"/>
      <c r="V194" s="15" t="s">
        <v>131</v>
      </c>
      <c r="W194" s="3" t="s">
        <v>1</v>
      </c>
      <c r="X194" s="18" t="s">
        <v>134</v>
      </c>
      <c r="Y194" s="19"/>
      <c r="Z194" s="3"/>
      <c r="AA194" s="3"/>
    </row>
    <row r="195" spans="1:27" ht="15.6" x14ac:dyDescent="0.3">
      <c r="B195" s="10" t="s">
        <v>133</v>
      </c>
      <c r="C195" s="4" t="s">
        <v>1</v>
      </c>
      <c r="D195" s="10" t="s">
        <v>132</v>
      </c>
      <c r="E195" s="10">
        <v>0.5</v>
      </c>
      <c r="U195" s="1"/>
      <c r="V195" s="15" t="s">
        <v>131</v>
      </c>
      <c r="W195" s="3" t="s">
        <v>1</v>
      </c>
      <c r="X195" s="19">
        <f>0.95 + (X191*X189)</f>
        <v>0.95107268030303027</v>
      </c>
      <c r="Y195" s="19"/>
      <c r="Z195" s="3"/>
      <c r="AA195" s="3"/>
    </row>
    <row r="196" spans="1:27" x14ac:dyDescent="0.3">
      <c r="D196" s="10" t="s">
        <v>130</v>
      </c>
      <c r="E196" s="10">
        <v>2</v>
      </c>
      <c r="U196" s="1"/>
      <c r="V196" s="15" t="s">
        <v>129</v>
      </c>
      <c r="W196" s="3" t="s">
        <v>1</v>
      </c>
      <c r="X196" s="76">
        <f>X195/1000</f>
        <v>9.5107268030303024E-4</v>
      </c>
      <c r="Y196" s="19"/>
      <c r="Z196" s="3"/>
      <c r="AA196" s="3"/>
    </row>
    <row r="197" spans="1:27" x14ac:dyDescent="0.3">
      <c r="E197" s="77">
        <v>1.7999999999999999E-2</v>
      </c>
      <c r="U197" s="1"/>
      <c r="V197" s="17"/>
      <c r="W197" s="3"/>
      <c r="X197" s="75"/>
      <c r="Y197" s="19"/>
      <c r="Z197" s="3"/>
      <c r="AA197" s="3"/>
    </row>
    <row r="198" spans="1:27" x14ac:dyDescent="0.3">
      <c r="A198" s="4" t="s">
        <v>128</v>
      </c>
      <c r="E198" s="77">
        <v>9.7999999999999997E-3</v>
      </c>
      <c r="U198" s="1" t="s">
        <v>127</v>
      </c>
      <c r="V198" s="15" t="s">
        <v>126</v>
      </c>
      <c r="W198" s="3"/>
      <c r="X198" s="71"/>
      <c r="Y198" s="3"/>
      <c r="Z198" s="3"/>
      <c r="AA198" s="3"/>
    </row>
    <row r="199" spans="1:27" x14ac:dyDescent="0.3">
      <c r="C199" s="4" t="s">
        <v>1</v>
      </c>
      <c r="D199" s="10" t="s">
        <v>125</v>
      </c>
      <c r="F199" s="150" t="s">
        <v>124</v>
      </c>
      <c r="U199" s="1"/>
      <c r="V199" s="17" t="s">
        <v>123</v>
      </c>
      <c r="W199" s="3"/>
      <c r="X199" s="71"/>
      <c r="Y199" s="3"/>
      <c r="Z199" s="3"/>
      <c r="AA199" s="3"/>
    </row>
    <row r="200" spans="1:27" x14ac:dyDescent="0.3">
      <c r="C200" s="4" t="s">
        <v>1</v>
      </c>
      <c r="D200" s="1">
        <f>E196-E195</f>
        <v>1.5</v>
      </c>
      <c r="F200" s="150"/>
      <c r="U200" s="1"/>
      <c r="V200" s="16" t="s">
        <v>122</v>
      </c>
      <c r="W200" s="3"/>
      <c r="X200" s="71"/>
      <c r="Y200" s="3"/>
      <c r="Z200" s="3"/>
      <c r="AA200" s="3"/>
    </row>
    <row r="201" spans="1:27" ht="15.6" x14ac:dyDescent="0.3">
      <c r="U201" s="1"/>
      <c r="V201" s="78" t="s">
        <v>119</v>
      </c>
      <c r="W201" s="3" t="s">
        <v>1</v>
      </c>
      <c r="X201" s="3" t="s">
        <v>121</v>
      </c>
      <c r="Y201" s="3"/>
      <c r="Z201" s="3"/>
      <c r="AA201" s="3"/>
    </row>
    <row r="202" spans="1:27" ht="15.6" x14ac:dyDescent="0.3">
      <c r="A202" s="4" t="s">
        <v>120</v>
      </c>
      <c r="C202" s="4" t="s">
        <v>1</v>
      </c>
      <c r="D202" s="1">
        <v>0.1</v>
      </c>
      <c r="U202" s="1"/>
      <c r="V202" s="78" t="s">
        <v>119</v>
      </c>
      <c r="W202" s="3" t="s">
        <v>1</v>
      </c>
      <c r="X202" s="3" t="s">
        <v>118</v>
      </c>
      <c r="Y202" s="3"/>
      <c r="Z202" s="3"/>
      <c r="AA202" s="3"/>
    </row>
    <row r="203" spans="1:27" x14ac:dyDescent="0.3">
      <c r="U203" s="1"/>
      <c r="V203" s="15" t="s">
        <v>117</v>
      </c>
      <c r="W203" s="3" t="s">
        <v>1</v>
      </c>
      <c r="X203" s="72">
        <f>(1+5%)*X196</f>
        <v>9.986263143181818E-4</v>
      </c>
      <c r="Y203" s="3"/>
      <c r="Z203" s="3"/>
      <c r="AA203" s="3"/>
    </row>
    <row r="204" spans="1:27" x14ac:dyDescent="0.3">
      <c r="U204" s="1"/>
      <c r="V204" s="15"/>
      <c r="W204" s="3"/>
      <c r="X204" s="3"/>
      <c r="Y204" s="3"/>
      <c r="Z204" s="3"/>
      <c r="AA204" s="3"/>
    </row>
    <row r="205" spans="1:27" x14ac:dyDescent="0.3">
      <c r="A205" s="4" t="s">
        <v>116</v>
      </c>
      <c r="B205" s="10" t="s">
        <v>115</v>
      </c>
      <c r="C205" s="4" t="s">
        <v>1</v>
      </c>
      <c r="D205" s="10" t="s">
        <v>114</v>
      </c>
      <c r="G205" s="10" t="s">
        <v>475</v>
      </c>
      <c r="H205" s="10" t="s">
        <v>474</v>
      </c>
      <c r="U205" s="79" t="s">
        <v>113</v>
      </c>
      <c r="V205" s="164" t="s">
        <v>112</v>
      </c>
      <c r="W205" s="164"/>
      <c r="X205" s="164"/>
      <c r="Y205" s="164"/>
      <c r="Z205" s="165"/>
      <c r="AA205" s="3"/>
    </row>
    <row r="206" spans="1:27" x14ac:dyDescent="0.3">
      <c r="G206" s="10">
        <v>100</v>
      </c>
      <c r="H206" s="10">
        <v>0.4</v>
      </c>
      <c r="U206" s="1"/>
      <c r="V206" s="16" t="s">
        <v>334</v>
      </c>
      <c r="W206" s="3"/>
      <c r="X206" s="3"/>
      <c r="Y206" s="3"/>
      <c r="Z206" s="3"/>
      <c r="AA206" s="3"/>
    </row>
    <row r="207" spans="1:27" x14ac:dyDescent="0.3">
      <c r="C207" s="4" t="s">
        <v>1</v>
      </c>
      <c r="D207" s="1">
        <f>D202*D200</f>
        <v>0.15000000000000002</v>
      </c>
      <c r="G207" s="80">
        <f>D9</f>
        <v>142.47999999999999</v>
      </c>
      <c r="H207" s="10">
        <f>(H208 * (G207 - G206) - H206 * (G207 - G208)) / ((G207 - G206) - (G207 - G208))</f>
        <v>0.23008000000000006</v>
      </c>
      <c r="U207" s="1"/>
      <c r="V207" s="17" t="s">
        <v>111</v>
      </c>
      <c r="W207" s="3"/>
      <c r="X207" s="3"/>
      <c r="Y207" s="3"/>
      <c r="Z207" s="3"/>
      <c r="AA207" s="3"/>
    </row>
    <row r="208" spans="1:27" x14ac:dyDescent="0.3">
      <c r="A208" s="4" t="s">
        <v>110</v>
      </c>
      <c r="G208" s="10">
        <v>150</v>
      </c>
      <c r="H208" s="10">
        <v>0.2</v>
      </c>
      <c r="U208" s="1"/>
      <c r="V208" s="15"/>
      <c r="W208" s="3"/>
      <c r="X208" s="3"/>
      <c r="Y208" s="3"/>
      <c r="Z208" s="3"/>
      <c r="AA208" s="3"/>
    </row>
    <row r="209" spans="1:28" ht="15.6" x14ac:dyDescent="0.3">
      <c r="B209" s="10" t="s">
        <v>109</v>
      </c>
      <c r="C209" s="4" t="s">
        <v>1</v>
      </c>
      <c r="D209" s="10" t="s">
        <v>246</v>
      </c>
      <c r="U209" s="1"/>
      <c r="V209" s="81" t="s">
        <v>92</v>
      </c>
      <c r="W209" s="81" t="s">
        <v>91</v>
      </c>
      <c r="X209" s="3"/>
      <c r="Y209" s="81" t="s">
        <v>108</v>
      </c>
      <c r="Z209" s="81" t="s">
        <v>91</v>
      </c>
      <c r="AA209" s="3"/>
    </row>
    <row r="210" spans="1:28" x14ac:dyDescent="0.3">
      <c r="D210" s="10" t="s">
        <v>107</v>
      </c>
      <c r="U210" s="1"/>
      <c r="V210" s="82" t="s">
        <v>106</v>
      </c>
      <c r="W210" s="82">
        <v>0.4</v>
      </c>
      <c r="X210" s="3"/>
      <c r="Y210" s="82" t="s">
        <v>105</v>
      </c>
      <c r="Z210" s="82">
        <v>0.6</v>
      </c>
      <c r="AA210" s="3"/>
    </row>
    <row r="211" spans="1:28" ht="39.6" x14ac:dyDescent="0.3">
      <c r="B211" s="1" t="s">
        <v>72</v>
      </c>
      <c r="C211" s="9" t="s">
        <v>1</v>
      </c>
      <c r="D211" s="1">
        <f>(((134-100)/(150-100))*(-0.2)+0.4)/1000</f>
        <v>2.6400000000000002E-4</v>
      </c>
      <c r="E211" s="3" t="s">
        <v>250</v>
      </c>
      <c r="F211" s="10">
        <f>H207/1000</f>
        <v>2.3008000000000007E-4</v>
      </c>
      <c r="U211" s="1"/>
      <c r="V211" s="82" t="s">
        <v>104</v>
      </c>
      <c r="W211" s="82">
        <v>0.2</v>
      </c>
      <c r="X211" s="3"/>
      <c r="Y211" s="82" t="s">
        <v>103</v>
      </c>
      <c r="Z211" s="82">
        <v>0.4</v>
      </c>
      <c r="AA211" s="3"/>
    </row>
    <row r="212" spans="1:28" ht="12.75" customHeight="1" x14ac:dyDescent="0.3">
      <c r="A212" s="4" t="s">
        <v>102</v>
      </c>
      <c r="E212" s="3"/>
      <c r="F212" s="3"/>
      <c r="U212" s="1"/>
      <c r="V212" s="82" t="s">
        <v>101</v>
      </c>
      <c r="W212" s="82">
        <v>0</v>
      </c>
      <c r="X212" s="3"/>
      <c r="Y212" s="82" t="s">
        <v>100</v>
      </c>
      <c r="Z212" s="82">
        <v>0</v>
      </c>
      <c r="AA212" s="3"/>
    </row>
    <row r="213" spans="1:28" x14ac:dyDescent="0.3">
      <c r="B213" s="10" t="s">
        <v>99</v>
      </c>
      <c r="E213" s="3"/>
      <c r="F213" s="3"/>
      <c r="U213" s="1"/>
      <c r="V213" s="82" t="s">
        <v>98</v>
      </c>
      <c r="W213" s="82">
        <v>-0.2</v>
      </c>
      <c r="X213" s="3"/>
      <c r="Y213" s="82" t="s">
        <v>97</v>
      </c>
      <c r="Z213" s="82">
        <v>-0.6</v>
      </c>
      <c r="AA213" s="3"/>
    </row>
    <row r="214" spans="1:28" x14ac:dyDescent="0.3">
      <c r="B214" s="1" t="s">
        <v>78</v>
      </c>
      <c r="C214" s="9" t="s">
        <v>1</v>
      </c>
      <c r="D214" s="1">
        <f>0.07/1000</f>
        <v>7.0000000000000007E-5</v>
      </c>
      <c r="F214" s="3">
        <v>5.9999999999999995E-4</v>
      </c>
      <c r="G214" s="10">
        <v>1000</v>
      </c>
      <c r="U214" s="1"/>
      <c r="V214" s="82" t="s">
        <v>96</v>
      </c>
      <c r="W214" s="82">
        <v>-0.3</v>
      </c>
      <c r="X214" s="3"/>
      <c r="Y214" s="3"/>
      <c r="Z214" s="3"/>
      <c r="AA214" s="3"/>
    </row>
    <row r="215" spans="1:28" x14ac:dyDescent="0.3">
      <c r="F215" s="10">
        <v>4.0000000000000002E-4</v>
      </c>
      <c r="G215" s="10">
        <v>10000</v>
      </c>
      <c r="U215" s="1"/>
      <c r="V215" s="15"/>
      <c r="W215" s="3"/>
      <c r="X215" s="166" t="s">
        <v>95</v>
      </c>
      <c r="Y215" s="167"/>
      <c r="Z215" s="3"/>
      <c r="AA215" s="3"/>
    </row>
    <row r="216" spans="1:28" ht="15.6" x14ac:dyDescent="0.3">
      <c r="A216" s="4" t="s">
        <v>94</v>
      </c>
      <c r="B216" s="10" t="s">
        <v>93</v>
      </c>
      <c r="G216" s="10">
        <v>6418</v>
      </c>
      <c r="U216" s="1"/>
      <c r="V216" s="81" t="s">
        <v>92</v>
      </c>
      <c r="W216" s="81" t="s">
        <v>91</v>
      </c>
      <c r="X216" s="3"/>
      <c r="Y216" s="19" t="s">
        <v>90</v>
      </c>
      <c r="Z216" s="19"/>
      <c r="AA216" s="19"/>
      <c r="AB216" s="19"/>
    </row>
    <row r="217" spans="1:28" x14ac:dyDescent="0.3">
      <c r="B217" s="1" t="s">
        <v>76</v>
      </c>
      <c r="C217" s="9" t="s">
        <v>1</v>
      </c>
      <c r="D217" s="1">
        <f>0.04/1000</f>
        <v>4.0000000000000003E-5</v>
      </c>
      <c r="U217" s="1"/>
      <c r="V217" s="82">
        <v>150</v>
      </c>
      <c r="W217" s="82">
        <v>0.2</v>
      </c>
      <c r="X217" s="3"/>
      <c r="Y217" s="19" t="s">
        <v>89</v>
      </c>
      <c r="Z217" s="19"/>
      <c r="AA217" s="19"/>
      <c r="AB217" s="19"/>
    </row>
    <row r="218" spans="1:28" ht="15.6" x14ac:dyDescent="0.3">
      <c r="U218" s="1"/>
      <c r="V218" s="82">
        <v>138</v>
      </c>
      <c r="W218" s="82" t="s">
        <v>88</v>
      </c>
      <c r="X218" s="3"/>
      <c r="Y218" s="81" t="s">
        <v>87</v>
      </c>
      <c r="Z218" s="82">
        <f>X226</f>
        <v>0.15200000000000002</v>
      </c>
      <c r="AB218" s="19"/>
    </row>
    <row r="219" spans="1:28" x14ac:dyDescent="0.3">
      <c r="A219" s="4" t="s">
        <v>86</v>
      </c>
      <c r="B219" s="10" t="s">
        <v>85</v>
      </c>
      <c r="U219" s="1"/>
      <c r="V219" s="82">
        <v>200</v>
      </c>
      <c r="W219" s="82">
        <v>0</v>
      </c>
      <c r="X219" s="3"/>
      <c r="Y219" s="81" t="s">
        <v>71</v>
      </c>
      <c r="Z219" s="82">
        <f>Z218/1000</f>
        <v>1.5200000000000004E-4</v>
      </c>
      <c r="AB219" s="19"/>
    </row>
    <row r="220" spans="1:28" x14ac:dyDescent="0.3">
      <c r="B220" s="10" t="s">
        <v>84</v>
      </c>
      <c r="C220" s="4" t="s">
        <v>1</v>
      </c>
      <c r="D220" s="10">
        <f>D103</f>
        <v>1.5249287400705357E-3</v>
      </c>
      <c r="U220" s="1"/>
      <c r="V220" s="15"/>
      <c r="W220" s="3"/>
      <c r="X220" s="3"/>
      <c r="Y220" s="3"/>
      <c r="Z220" s="3"/>
      <c r="AA220" s="3"/>
    </row>
    <row r="221" spans="1:28" x14ac:dyDescent="0.3">
      <c r="B221" s="10" t="s">
        <v>248</v>
      </c>
      <c r="C221" s="4" t="s">
        <v>1</v>
      </c>
      <c r="D221" s="10">
        <f>D112+(D112*4/100)</f>
        <v>1.2940747087665416E-3</v>
      </c>
      <c r="U221" s="1"/>
      <c r="V221" s="11" t="s">
        <v>83</v>
      </c>
      <c r="W221" s="3" t="s">
        <v>1</v>
      </c>
      <c r="X221" s="83" t="s">
        <v>82</v>
      </c>
      <c r="Y221" s="3"/>
      <c r="Z221" s="3"/>
      <c r="AA221" s="3"/>
    </row>
    <row r="222" spans="1:28" x14ac:dyDescent="0.3">
      <c r="A222" s="4" t="s">
        <v>81</v>
      </c>
      <c r="B222" s="10" t="s">
        <v>72</v>
      </c>
      <c r="C222" s="4" t="s">
        <v>1</v>
      </c>
      <c r="D222" s="10">
        <f>F211</f>
        <v>2.3008000000000007E-4</v>
      </c>
      <c r="U222" s="1"/>
      <c r="V222" s="16" t="s">
        <v>80</v>
      </c>
      <c r="W222" s="3"/>
      <c r="X222" s="3" t="s">
        <v>79</v>
      </c>
      <c r="Y222" s="3"/>
      <c r="Z222" s="3"/>
      <c r="AA222" s="3"/>
    </row>
    <row r="223" spans="1:28" x14ac:dyDescent="0.3">
      <c r="B223" s="10" t="s">
        <v>78</v>
      </c>
      <c r="C223" s="4" t="s">
        <v>1</v>
      </c>
      <c r="D223" s="10">
        <f>D214</f>
        <v>7.0000000000000007E-5</v>
      </c>
      <c r="U223" s="1"/>
      <c r="V223" s="62">
        <v>-12</v>
      </c>
      <c r="W223" s="3" t="s">
        <v>1</v>
      </c>
      <c r="X223" s="11" t="s">
        <v>77</v>
      </c>
      <c r="Y223" s="3"/>
      <c r="Z223" s="3"/>
      <c r="AA223" s="3"/>
    </row>
    <row r="224" spans="1:28" x14ac:dyDescent="0.3">
      <c r="B224" s="10" t="s">
        <v>76</v>
      </c>
      <c r="C224" s="4" t="s">
        <v>1</v>
      </c>
      <c r="D224" s="10">
        <f>D217</f>
        <v>4.0000000000000003E-5</v>
      </c>
      <c r="F224" s="84">
        <f>0.98 - 1.46</f>
        <v>-0.48</v>
      </c>
      <c r="G224" s="84">
        <f>(5.1907 - 5)/(5.5-5)</f>
        <v>0.3813999999999993</v>
      </c>
      <c r="H224" s="84"/>
      <c r="U224" s="1"/>
      <c r="V224" s="16">
        <v>50</v>
      </c>
      <c r="W224" s="3"/>
      <c r="X224" s="3">
        <v>-0.2</v>
      </c>
      <c r="Y224" s="3"/>
      <c r="Z224" s="3"/>
      <c r="AA224" s="3"/>
    </row>
    <row r="225" spans="1:27" x14ac:dyDescent="0.3">
      <c r="B225" s="10" t="s">
        <v>75</v>
      </c>
      <c r="C225" s="4" t="s">
        <v>1</v>
      </c>
      <c r="D225" s="10">
        <f>D207</f>
        <v>0.15000000000000002</v>
      </c>
      <c r="U225" s="1"/>
      <c r="V225" s="15" t="s">
        <v>72</v>
      </c>
      <c r="W225" s="3" t="s">
        <v>1</v>
      </c>
      <c r="X225" s="150" t="s">
        <v>74</v>
      </c>
      <c r="Y225" s="150"/>
      <c r="Z225" s="3"/>
      <c r="AA225" s="3"/>
    </row>
    <row r="226" spans="1:27" x14ac:dyDescent="0.3">
      <c r="B226" s="10" t="s">
        <v>73</v>
      </c>
      <c r="C226" s="4" t="s">
        <v>1</v>
      </c>
      <c r="D226" s="10">
        <f>D11/D15</f>
        <v>2.3826279280184983</v>
      </c>
      <c r="U226" s="1"/>
      <c r="V226" s="15" t="s">
        <v>72</v>
      </c>
      <c r="W226" s="3" t="s">
        <v>1</v>
      </c>
      <c r="X226" s="168">
        <f>0.2+(((-12)/50)*(0.2))</f>
        <v>0.15200000000000002</v>
      </c>
      <c r="Y226" s="168"/>
      <c r="Z226" s="3"/>
      <c r="AA226" s="3"/>
    </row>
    <row r="227" spans="1:27" x14ac:dyDescent="0.3">
      <c r="V227" s="15" t="s">
        <v>71</v>
      </c>
      <c r="W227" s="10" t="s">
        <v>1</v>
      </c>
      <c r="X227" s="162">
        <f>X226/1000</f>
        <v>1.5200000000000004E-4</v>
      </c>
      <c r="Y227" s="163"/>
    </row>
    <row r="228" spans="1:27" x14ac:dyDescent="0.3">
      <c r="B228" s="1" t="s">
        <v>70</v>
      </c>
      <c r="C228" s="9" t="s">
        <v>1</v>
      </c>
      <c r="D228" s="1">
        <f>SUM(D220:D224)</f>
        <v>3.1590834488370778E-3</v>
      </c>
      <c r="E228" s="10">
        <f>D228/1000</f>
        <v>3.1590834488370778E-6</v>
      </c>
    </row>
    <row r="229" spans="1:27" x14ac:dyDescent="0.3">
      <c r="U229" s="1" t="s">
        <v>69</v>
      </c>
      <c r="V229" s="1" t="s">
        <v>68</v>
      </c>
    </row>
    <row r="230" spans="1:27" x14ac:dyDescent="0.3">
      <c r="B230" s="1" t="s">
        <v>67</v>
      </c>
      <c r="C230" s="4" t="s">
        <v>1</v>
      </c>
      <c r="D230" s="10" t="s">
        <v>66</v>
      </c>
      <c r="E230" s="1"/>
      <c r="V230" s="2" t="s">
        <v>65</v>
      </c>
    </row>
    <row r="231" spans="1:27" ht="15.6" x14ac:dyDescent="0.3">
      <c r="C231" s="4" t="s">
        <v>1</v>
      </c>
      <c r="D231" s="10">
        <f>0.5*1025*D228*D52*(F17^2)</f>
        <v>529483.92775231018</v>
      </c>
      <c r="E231" s="10" t="s">
        <v>62</v>
      </c>
      <c r="V231" s="19" t="s">
        <v>332</v>
      </c>
      <c r="W231" s="10" t="s">
        <v>1</v>
      </c>
      <c r="X231" s="85">
        <v>0.04</v>
      </c>
    </row>
    <row r="232" spans="1:27" x14ac:dyDescent="0.3">
      <c r="C232" s="4" t="s">
        <v>1</v>
      </c>
      <c r="D232" s="1">
        <f>D231/1000</f>
        <v>529.48392775231014</v>
      </c>
      <c r="E232" s="1" t="s">
        <v>33</v>
      </c>
      <c r="V232" s="86" t="s">
        <v>64</v>
      </c>
      <c r="W232" s="10" t="s">
        <v>1</v>
      </c>
      <c r="X232" s="76">
        <f>X231/1000</f>
        <v>4.0000000000000003E-5</v>
      </c>
    </row>
    <row r="233" spans="1:27" x14ac:dyDescent="0.3">
      <c r="A233" s="4" t="s">
        <v>63</v>
      </c>
    </row>
    <row r="234" spans="1:27" x14ac:dyDescent="0.3">
      <c r="U234" s="1" t="s">
        <v>61</v>
      </c>
      <c r="V234" s="1" t="s">
        <v>60</v>
      </c>
    </row>
    <row r="235" spans="1:27" x14ac:dyDescent="0.3">
      <c r="V235" s="2" t="s">
        <v>59</v>
      </c>
    </row>
    <row r="236" spans="1:27" ht="15.6" x14ac:dyDescent="0.3">
      <c r="V236" s="19" t="s">
        <v>333</v>
      </c>
      <c r="W236" s="10" t="s">
        <v>1</v>
      </c>
      <c r="X236" s="19">
        <v>7.0000000000000007E-2</v>
      </c>
    </row>
    <row r="237" spans="1:27" x14ac:dyDescent="0.3">
      <c r="B237" s="1" t="s">
        <v>41</v>
      </c>
      <c r="C237" s="4" t="s">
        <v>1</v>
      </c>
      <c r="D237" s="150" t="s">
        <v>58</v>
      </c>
      <c r="E237" s="10" t="s">
        <v>459</v>
      </c>
      <c r="F237" s="10">
        <v>0.73550000000000004</v>
      </c>
      <c r="I237" s="10" t="s">
        <v>273</v>
      </c>
      <c r="V237" s="86" t="s">
        <v>57</v>
      </c>
      <c r="W237" s="10" t="s">
        <v>1</v>
      </c>
      <c r="X237" s="76">
        <f>X236/1000</f>
        <v>7.0000000000000007E-5</v>
      </c>
    </row>
    <row r="238" spans="1:27" x14ac:dyDescent="0.3">
      <c r="D238" s="150"/>
      <c r="E238" s="10" t="s">
        <v>460</v>
      </c>
      <c r="F238" s="10">
        <v>1.3596189999999999</v>
      </c>
      <c r="I238" s="10" t="s">
        <v>274</v>
      </c>
    </row>
    <row r="239" spans="1:27" x14ac:dyDescent="0.3">
      <c r="B239" s="1" t="s">
        <v>564</v>
      </c>
      <c r="C239" s="4" t="s">
        <v>1</v>
      </c>
      <c r="D239" s="10" t="s">
        <v>56</v>
      </c>
      <c r="U239" s="1" t="s">
        <v>55</v>
      </c>
      <c r="V239" s="1" t="s">
        <v>54</v>
      </c>
    </row>
    <row r="240" spans="1:27" x14ac:dyDescent="0.3">
      <c r="C240" s="4" t="s">
        <v>1</v>
      </c>
      <c r="D240" s="1">
        <f>(1+(15/100))*D232</f>
        <v>608.90651691515666</v>
      </c>
      <c r="E240" s="1" t="s">
        <v>33</v>
      </c>
      <c r="V240" s="2" t="s">
        <v>53</v>
      </c>
    </row>
    <row r="241" spans="1:25" x14ac:dyDescent="0.3">
      <c r="C241" s="4" t="s">
        <v>252</v>
      </c>
      <c r="D241" s="10">
        <f>(1+(15/100))*D231</f>
        <v>608906.51691515662</v>
      </c>
      <c r="E241" s="10" t="s">
        <v>472</v>
      </c>
      <c r="V241" s="10" t="s">
        <v>50</v>
      </c>
      <c r="W241" s="10" t="s">
        <v>1</v>
      </c>
      <c r="X241" s="10" t="s">
        <v>52</v>
      </c>
    </row>
    <row r="243" spans="1:25" x14ac:dyDescent="0.3">
      <c r="B243" s="10" t="s">
        <v>565</v>
      </c>
      <c r="C243" s="4" t="s">
        <v>252</v>
      </c>
      <c r="D243" s="10" t="s">
        <v>567</v>
      </c>
    </row>
    <row r="244" spans="1:25" x14ac:dyDescent="0.3">
      <c r="C244" s="4" t="s">
        <v>252</v>
      </c>
      <c r="D244" s="10">
        <f>D26 /2 * F17^2 * D52 * D220 * 1000</f>
        <v>255837.80988510684</v>
      </c>
      <c r="E244" s="10" t="s">
        <v>472</v>
      </c>
    </row>
    <row r="246" spans="1:25" x14ac:dyDescent="0.3">
      <c r="B246" s="10" t="s">
        <v>568</v>
      </c>
    </row>
    <row r="247" spans="1:25" ht="52.8" x14ac:dyDescent="0.3">
      <c r="B247" s="10" t="s">
        <v>569</v>
      </c>
      <c r="C247" s="4" t="s">
        <v>493</v>
      </c>
      <c r="D247" s="3" t="s">
        <v>570</v>
      </c>
    </row>
    <row r="248" spans="1:25" x14ac:dyDescent="0.3">
      <c r="B248" s="10" t="s">
        <v>566</v>
      </c>
      <c r="C248" s="4" t="s">
        <v>252</v>
      </c>
      <c r="D248" s="10">
        <f>D244/D231</f>
        <v>0.48318333470697233</v>
      </c>
      <c r="V248" s="10" t="s">
        <v>50</v>
      </c>
      <c r="W248" s="10" t="s">
        <v>1</v>
      </c>
      <c r="X248" s="10" t="s">
        <v>51</v>
      </c>
    </row>
    <row r="249" spans="1:25" x14ac:dyDescent="0.3">
      <c r="D249" s="10">
        <f>D248*100</f>
        <v>48.318333470697233</v>
      </c>
      <c r="E249" s="10" t="s">
        <v>298</v>
      </c>
      <c r="V249" s="1" t="s">
        <v>50</v>
      </c>
      <c r="W249" s="10" t="s">
        <v>1</v>
      </c>
      <c r="X249" s="47">
        <f>X108+X227+X232+X237+X203</f>
        <v>2.7897454171925918E-3</v>
      </c>
    </row>
    <row r="251" spans="1:25" ht="13.8" thickBot="1" x14ac:dyDescent="0.35">
      <c r="V251" s="1" t="s">
        <v>34</v>
      </c>
      <c r="W251" s="10" t="s">
        <v>1</v>
      </c>
      <c r="X251" s="10" t="s">
        <v>49</v>
      </c>
    </row>
    <row r="252" spans="1:25" ht="15" customHeight="1" x14ac:dyDescent="0.3">
      <c r="A252" s="169" t="s">
        <v>48</v>
      </c>
      <c r="B252" s="170"/>
      <c r="C252" s="170"/>
      <c r="D252" s="170"/>
      <c r="E252" s="170"/>
      <c r="F252" s="170"/>
      <c r="G252" s="171"/>
      <c r="H252" s="87"/>
      <c r="W252" s="10" t="s">
        <v>1</v>
      </c>
      <c r="X252" s="10" t="s">
        <v>47</v>
      </c>
    </row>
    <row r="253" spans="1:25" ht="15" customHeight="1" thickBot="1" x14ac:dyDescent="0.35">
      <c r="A253" s="172"/>
      <c r="B253" s="173"/>
      <c r="C253" s="173"/>
      <c r="D253" s="173"/>
      <c r="E253" s="173"/>
      <c r="F253" s="173"/>
      <c r="G253" s="174"/>
      <c r="H253" s="87"/>
      <c r="W253" s="10" t="s">
        <v>1</v>
      </c>
      <c r="X253" s="47">
        <f>X249*0.5*1.025*(X18^2)*4296</f>
        <v>6166.3541663224332</v>
      </c>
      <c r="Y253" s="10" t="s">
        <v>33</v>
      </c>
    </row>
    <row r="255" spans="1:25" x14ac:dyDescent="0.3">
      <c r="A255" s="4" t="s">
        <v>46</v>
      </c>
      <c r="B255" s="10" t="s">
        <v>259</v>
      </c>
      <c r="C255" s="4" t="s">
        <v>1</v>
      </c>
      <c r="D255" s="10" t="s">
        <v>451</v>
      </c>
      <c r="U255" s="79" t="s">
        <v>44</v>
      </c>
      <c r="V255" s="158" t="s">
        <v>43</v>
      </c>
      <c r="W255" s="159"/>
      <c r="X255" s="160"/>
    </row>
    <row r="256" spans="1:25" x14ac:dyDescent="0.3">
      <c r="B256" s="10" t="s">
        <v>45</v>
      </c>
      <c r="C256" s="4" t="s">
        <v>1</v>
      </c>
      <c r="D256" s="10">
        <f>$D$240 * $F$17</f>
        <v>5011.544196818505</v>
      </c>
      <c r="E256" s="1" t="s">
        <v>0</v>
      </c>
      <c r="U256" s="1"/>
      <c r="V256" s="1"/>
      <c r="W256" s="1"/>
      <c r="X256" s="1"/>
    </row>
    <row r="257" spans="1:25" x14ac:dyDescent="0.3">
      <c r="C257" s="4" t="s">
        <v>1</v>
      </c>
      <c r="D257" s="1">
        <f>$D$256 * $F$238</f>
        <v>6813.7907093341782</v>
      </c>
      <c r="E257" s="1" t="s">
        <v>2</v>
      </c>
      <c r="U257" s="1"/>
      <c r="V257" s="10" t="s">
        <v>42</v>
      </c>
      <c r="W257" s="1"/>
      <c r="X257" s="1"/>
    </row>
    <row r="258" spans="1:25" x14ac:dyDescent="0.3">
      <c r="D258" s="1"/>
      <c r="E258" s="1"/>
      <c r="U258" s="1"/>
      <c r="W258" s="1"/>
      <c r="X258" s="1"/>
    </row>
    <row r="259" spans="1:25" x14ac:dyDescent="0.3">
      <c r="B259" s="10" t="s">
        <v>586</v>
      </c>
      <c r="C259" s="4" t="s">
        <v>252</v>
      </c>
      <c r="D259" s="1" t="s">
        <v>587</v>
      </c>
      <c r="E259" s="1"/>
      <c r="U259" s="1"/>
      <c r="W259" s="1"/>
      <c r="X259" s="1"/>
    </row>
    <row r="260" spans="1:25" x14ac:dyDescent="0.3">
      <c r="C260" s="4" t="s">
        <v>252</v>
      </c>
      <c r="D260" s="1">
        <f>(1.095 - 3.4 * D20 + 3.3 * D20^2) + (0.5 * D20^2 * (6.5 - (D385)) / (D385))</f>
        <v>0.32769445255474439</v>
      </c>
      <c r="E260" s="1"/>
      <c r="U260" s="1"/>
      <c r="W260" s="1"/>
      <c r="X260" s="1"/>
    </row>
    <row r="261" spans="1:25" x14ac:dyDescent="0.3">
      <c r="D261" s="1"/>
      <c r="E261" s="1"/>
      <c r="U261" s="1"/>
      <c r="W261" s="1"/>
      <c r="X261" s="1"/>
    </row>
    <row r="262" spans="1:25" x14ac:dyDescent="0.3">
      <c r="D262" s="1"/>
      <c r="E262" s="1"/>
      <c r="U262" s="1"/>
      <c r="W262" s="1"/>
      <c r="X262" s="1"/>
    </row>
    <row r="263" spans="1:25" x14ac:dyDescent="0.3">
      <c r="D263" s="1"/>
      <c r="E263" s="1"/>
      <c r="U263" s="1"/>
      <c r="W263" s="1"/>
      <c r="X263" s="1"/>
    </row>
    <row r="264" spans="1:25" x14ac:dyDescent="0.3">
      <c r="D264" s="1"/>
      <c r="E264" s="1"/>
      <c r="U264" s="1"/>
      <c r="W264" s="1"/>
      <c r="X264" s="1"/>
    </row>
    <row r="265" spans="1:25" x14ac:dyDescent="0.3">
      <c r="D265" s="1"/>
      <c r="E265" s="1"/>
      <c r="U265" s="1"/>
      <c r="W265" s="1"/>
      <c r="X265" s="1"/>
    </row>
    <row r="266" spans="1:25" x14ac:dyDescent="0.3">
      <c r="V266" s="1" t="s">
        <v>41</v>
      </c>
      <c r="W266" s="10" t="s">
        <v>1</v>
      </c>
      <c r="X266" s="10" t="s">
        <v>40</v>
      </c>
    </row>
    <row r="267" spans="1:25" x14ac:dyDescent="0.3">
      <c r="V267" s="1"/>
    </row>
    <row r="268" spans="1:25" x14ac:dyDescent="0.3">
      <c r="A268" s="4" t="s">
        <v>39</v>
      </c>
      <c r="B268" s="10" t="s">
        <v>38</v>
      </c>
      <c r="V268" s="1" t="s">
        <v>34</v>
      </c>
      <c r="W268" s="10" t="s">
        <v>1</v>
      </c>
      <c r="X268" s="10" t="s">
        <v>37</v>
      </c>
    </row>
    <row r="269" spans="1:25" x14ac:dyDescent="0.3">
      <c r="A269" s="4" t="s">
        <v>36</v>
      </c>
      <c r="B269" s="10" t="s">
        <v>35</v>
      </c>
      <c r="C269" s="4" t="s">
        <v>1</v>
      </c>
      <c r="D269" s="10" t="s">
        <v>455</v>
      </c>
      <c r="V269" s="1" t="s">
        <v>34</v>
      </c>
      <c r="W269" s="10" t="s">
        <v>1</v>
      </c>
      <c r="X269" s="47">
        <f>(1+18%)*X253</f>
        <v>7276.2979162604706</v>
      </c>
      <c r="Y269" s="10" t="s">
        <v>33</v>
      </c>
    </row>
    <row r="270" spans="1:25" x14ac:dyDescent="0.3">
      <c r="C270" s="4" t="s">
        <v>1</v>
      </c>
      <c r="D270" s="1">
        <f>(1 - G273) / (1 - G271)</f>
        <v>1.1225352112676057</v>
      </c>
      <c r="E270" s="175" t="s">
        <v>32</v>
      </c>
      <c r="F270" s="50" t="s">
        <v>251</v>
      </c>
      <c r="G270" s="50" t="s">
        <v>450</v>
      </c>
      <c r="H270" s="10" t="s">
        <v>585</v>
      </c>
      <c r="I270" s="88" t="s">
        <v>363</v>
      </c>
      <c r="J270" s="89" t="s">
        <v>252</v>
      </c>
      <c r="K270" s="56" t="s">
        <v>362</v>
      </c>
      <c r="V270" s="1"/>
      <c r="X270" s="1"/>
    </row>
    <row r="271" spans="1:25" x14ac:dyDescent="0.3">
      <c r="E271" s="175"/>
      <c r="F271" s="50" t="s">
        <v>31</v>
      </c>
      <c r="G271" s="119">
        <f>0.5 * D20 - 0.05</f>
        <v>0.29000000000000004</v>
      </c>
      <c r="H271" s="1"/>
      <c r="I271" s="91" t="s">
        <v>364</v>
      </c>
      <c r="J271" s="62" t="s">
        <v>252</v>
      </c>
      <c r="K271" s="120">
        <f>(F17 - D315) / F17</f>
        <v>0.29000000000000009</v>
      </c>
    </row>
    <row r="272" spans="1:25" x14ac:dyDescent="0.3">
      <c r="A272" s="4" t="s">
        <v>30</v>
      </c>
      <c r="B272" s="10" t="s">
        <v>29</v>
      </c>
      <c r="C272" s="4" t="s">
        <v>1</v>
      </c>
      <c r="D272" s="10" t="s">
        <v>28</v>
      </c>
      <c r="E272" s="175" t="s">
        <v>27</v>
      </c>
      <c r="F272" s="50" t="s">
        <v>26</v>
      </c>
      <c r="G272" s="50" t="s">
        <v>449</v>
      </c>
      <c r="I272" s="10" t="s">
        <v>363</v>
      </c>
      <c r="J272" s="10" t="s">
        <v>252</v>
      </c>
      <c r="K272" s="56" t="s">
        <v>584</v>
      </c>
    </row>
    <row r="273" spans="1:11" x14ac:dyDescent="0.3">
      <c r="C273" s="4" t="s">
        <v>1</v>
      </c>
      <c r="D273" s="1">
        <v>1.05</v>
      </c>
      <c r="E273" s="175"/>
      <c r="F273" s="50" t="s">
        <v>25</v>
      </c>
      <c r="G273" s="90">
        <f>0.7*G271</f>
        <v>0.20300000000000001</v>
      </c>
      <c r="H273" s="1"/>
      <c r="J273" s="10" t="s">
        <v>252</v>
      </c>
      <c r="K273" s="10">
        <f>($F$17 - D315) / D315</f>
        <v>0.40845070422535229</v>
      </c>
    </row>
    <row r="274" spans="1:11" x14ac:dyDescent="0.3">
      <c r="K274" s="10">
        <f>(D17 - D316) / D316</f>
        <v>0.40845070422535218</v>
      </c>
    </row>
    <row r="275" spans="1:11" x14ac:dyDescent="0.3">
      <c r="A275" s="4" t="s">
        <v>24</v>
      </c>
      <c r="B275" s="10" t="s">
        <v>23</v>
      </c>
      <c r="C275" s="4" t="s">
        <v>1</v>
      </c>
      <c r="D275" s="10" t="s">
        <v>22</v>
      </c>
      <c r="E275" s="10" t="s">
        <v>21</v>
      </c>
    </row>
    <row r="276" spans="1:11" x14ac:dyDescent="0.3">
      <c r="C276" s="4" t="s">
        <v>1</v>
      </c>
      <c r="D276" s="93">
        <v>0.62</v>
      </c>
    </row>
    <row r="278" spans="1:11" x14ac:dyDescent="0.3">
      <c r="A278" s="4" t="s">
        <v>20</v>
      </c>
      <c r="B278" s="10" t="s">
        <v>19</v>
      </c>
      <c r="C278" s="4" t="s">
        <v>1</v>
      </c>
      <c r="D278" s="10" t="s">
        <v>448</v>
      </c>
    </row>
    <row r="279" spans="1:11" x14ac:dyDescent="0.3">
      <c r="B279" s="10" t="s">
        <v>447</v>
      </c>
      <c r="C279" s="4" t="s">
        <v>1</v>
      </c>
      <c r="D279" s="1">
        <f>D276*D273*D270</f>
        <v>0.73077042253521129</v>
      </c>
    </row>
    <row r="281" spans="1:11" x14ac:dyDescent="0.3">
      <c r="A281" s="4" t="s">
        <v>18</v>
      </c>
      <c r="B281" s="10" t="s">
        <v>17</v>
      </c>
      <c r="C281" s="4" t="s">
        <v>1</v>
      </c>
      <c r="D281" s="10" t="s">
        <v>16</v>
      </c>
    </row>
    <row r="282" spans="1:11" x14ac:dyDescent="0.3">
      <c r="C282" s="4" t="s">
        <v>1</v>
      </c>
      <c r="D282" s="10">
        <f>D257/D279</f>
        <v>9324.1194487532284</v>
      </c>
      <c r="E282" s="1" t="s">
        <v>2</v>
      </c>
    </row>
    <row r="283" spans="1:11" x14ac:dyDescent="0.3">
      <c r="C283" s="4" t="s">
        <v>1</v>
      </c>
      <c r="D283" s="1">
        <f>D282*F237</f>
        <v>6857.8898545579996</v>
      </c>
      <c r="E283" s="1" t="s">
        <v>0</v>
      </c>
    </row>
    <row r="285" spans="1:11" ht="26.4" x14ac:dyDescent="0.3">
      <c r="A285" s="4" t="s">
        <v>15</v>
      </c>
      <c r="B285" s="10" t="s">
        <v>14</v>
      </c>
      <c r="C285" s="4" t="s">
        <v>1</v>
      </c>
      <c r="D285" s="3" t="s">
        <v>13</v>
      </c>
    </row>
    <row r="286" spans="1:11" ht="26.4" x14ac:dyDescent="0.3">
      <c r="D286" s="3" t="s">
        <v>12</v>
      </c>
    </row>
    <row r="287" spans="1:11" x14ac:dyDescent="0.3">
      <c r="C287" s="4" t="s">
        <v>1</v>
      </c>
      <c r="D287" s="10">
        <v>0.2</v>
      </c>
      <c r="E287" s="10">
        <v>0.98</v>
      </c>
    </row>
    <row r="288" spans="1:11" x14ac:dyDescent="0.3">
      <c r="B288" s="10" t="s">
        <v>11</v>
      </c>
      <c r="C288" s="4" t="s">
        <v>1</v>
      </c>
      <c r="D288" s="10" t="s">
        <v>452</v>
      </c>
    </row>
    <row r="289" spans="1:8" x14ac:dyDescent="0.3">
      <c r="C289" s="4" t="s">
        <v>1</v>
      </c>
      <c r="D289" s="1">
        <f>D282 * 0.98</f>
        <v>9137.6370597781643</v>
      </c>
      <c r="E289" s="1" t="s">
        <v>2</v>
      </c>
    </row>
    <row r="290" spans="1:8" x14ac:dyDescent="0.3">
      <c r="C290" s="4" t="s">
        <v>1</v>
      </c>
      <c r="D290" s="1">
        <f>D289*F237</f>
        <v>6720.7320574668402</v>
      </c>
      <c r="E290" s="1" t="s">
        <v>0</v>
      </c>
    </row>
    <row r="292" spans="1:8" x14ac:dyDescent="0.3">
      <c r="B292" s="10" t="s">
        <v>456</v>
      </c>
      <c r="C292" s="4" t="s">
        <v>252</v>
      </c>
      <c r="D292" s="10" t="s">
        <v>458</v>
      </c>
    </row>
    <row r="293" spans="1:8" x14ac:dyDescent="0.3">
      <c r="B293" s="10" t="s">
        <v>457</v>
      </c>
      <c r="C293" s="4" t="s">
        <v>252</v>
      </c>
      <c r="D293" s="10">
        <f>D290 / D283</f>
        <v>0.98000000000000009</v>
      </c>
      <c r="E293" s="1" t="s">
        <v>0</v>
      </c>
    </row>
    <row r="294" spans="1:8" x14ac:dyDescent="0.3">
      <c r="C294" s="4" t="s">
        <v>252</v>
      </c>
      <c r="D294" s="10">
        <f>D289 / D282</f>
        <v>0.98000000000000009</v>
      </c>
      <c r="E294" s="1" t="s">
        <v>2</v>
      </c>
    </row>
    <row r="295" spans="1:8" x14ac:dyDescent="0.3">
      <c r="E295" s="1"/>
    </row>
    <row r="296" spans="1:8" ht="12.75" customHeight="1" x14ac:dyDescent="0.3">
      <c r="A296" s="4" t="s">
        <v>10</v>
      </c>
      <c r="B296" s="10" t="s">
        <v>9</v>
      </c>
      <c r="C296" s="4" t="s">
        <v>1</v>
      </c>
      <c r="D296" s="3" t="s">
        <v>8</v>
      </c>
      <c r="E296" s="3"/>
      <c r="F296" s="3"/>
    </row>
    <row r="297" spans="1:8" x14ac:dyDescent="0.3">
      <c r="D297" s="3"/>
      <c r="E297" s="3"/>
      <c r="F297" s="3"/>
    </row>
    <row r="298" spans="1:8" x14ac:dyDescent="0.3">
      <c r="D298" s="3"/>
      <c r="E298" s="3"/>
      <c r="F298" s="3"/>
    </row>
    <row r="299" spans="1:8" x14ac:dyDescent="0.3">
      <c r="B299" s="10" t="s">
        <v>7</v>
      </c>
      <c r="C299" s="4" t="s">
        <v>1</v>
      </c>
      <c r="D299" s="10" t="s">
        <v>445</v>
      </c>
    </row>
    <row r="300" spans="1:8" x14ac:dyDescent="0.3">
      <c r="B300" s="10" t="s">
        <v>461</v>
      </c>
      <c r="C300" s="4" t="s">
        <v>1</v>
      </c>
      <c r="D300" s="1">
        <f>D290/0.98</f>
        <v>6857.8898545580005</v>
      </c>
      <c r="E300" s="1" t="s">
        <v>0</v>
      </c>
      <c r="F300" s="1">
        <f>D300*F238</f>
        <v>9324.1173461642938</v>
      </c>
      <c r="G300" s="1" t="s">
        <v>2</v>
      </c>
      <c r="H300" s="1"/>
    </row>
    <row r="302" spans="1:8" x14ac:dyDescent="0.3">
      <c r="A302" s="4" t="s">
        <v>6</v>
      </c>
      <c r="B302" s="10" t="s">
        <v>5</v>
      </c>
      <c r="C302" s="4" t="s">
        <v>1</v>
      </c>
      <c r="D302" s="10" t="s">
        <v>4</v>
      </c>
    </row>
    <row r="303" spans="1:8" x14ac:dyDescent="0.3">
      <c r="C303" s="4" t="s">
        <v>1</v>
      </c>
      <c r="D303" s="10" t="s">
        <v>3</v>
      </c>
    </row>
    <row r="304" spans="1:8" x14ac:dyDescent="0.3">
      <c r="C304" s="4" t="s">
        <v>1</v>
      </c>
      <c r="D304" s="1">
        <f>F300 / 0.85</f>
        <v>10969.549819016816</v>
      </c>
      <c r="E304" s="1" t="s">
        <v>2</v>
      </c>
    </row>
    <row r="305" spans="1:6" x14ac:dyDescent="0.3">
      <c r="C305" s="4" t="s">
        <v>1</v>
      </c>
      <c r="D305" s="1">
        <f>D300 / 0.85</f>
        <v>8068.105711244707</v>
      </c>
      <c r="E305" s="1" t="s">
        <v>0</v>
      </c>
    </row>
    <row r="306" spans="1:6" x14ac:dyDescent="0.3">
      <c r="D306" s="1"/>
      <c r="E306" s="1"/>
    </row>
    <row r="307" spans="1:6" x14ac:dyDescent="0.3">
      <c r="B307" s="10" t="s">
        <v>464</v>
      </c>
      <c r="C307" s="4" t="s">
        <v>252</v>
      </c>
      <c r="D307" s="1" t="s">
        <v>465</v>
      </c>
      <c r="E307" s="1"/>
    </row>
    <row r="308" spans="1:6" x14ac:dyDescent="0.3">
      <c r="C308" s="4" t="s">
        <v>252</v>
      </c>
      <c r="D308" s="1">
        <f>D256 / (0.95 * D293 * D279)</f>
        <v>7366.1561772422247</v>
      </c>
      <c r="E308" s="1" t="s">
        <v>0</v>
      </c>
    </row>
    <row r="309" spans="1:6" x14ac:dyDescent="0.3">
      <c r="C309" s="4" t="s">
        <v>252</v>
      </c>
      <c r="D309" s="1">
        <f>D257 / (0.95 * D294 * D279)</f>
        <v>10015.165895545895</v>
      </c>
      <c r="E309" s="1" t="s">
        <v>2</v>
      </c>
    </row>
    <row r="310" spans="1:6" x14ac:dyDescent="0.3">
      <c r="D310" s="1"/>
      <c r="E310" s="1"/>
    </row>
    <row r="311" spans="1:6" x14ac:dyDescent="0.3">
      <c r="A311" s="4">
        <v>24</v>
      </c>
      <c r="B311" s="10" t="s">
        <v>254</v>
      </c>
      <c r="C311" s="9" t="s">
        <v>252</v>
      </c>
      <c r="D311" s="10" t="s">
        <v>258</v>
      </c>
      <c r="E311" s="1"/>
    </row>
    <row r="312" spans="1:6" x14ac:dyDescent="0.3">
      <c r="B312" s="1"/>
      <c r="C312" s="9" t="s">
        <v>252</v>
      </c>
      <c r="D312" s="1">
        <f>D240 / (1 - G273)</f>
        <v>763.99813916581775</v>
      </c>
      <c r="E312" s="1" t="s">
        <v>33</v>
      </c>
      <c r="F312" s="1" t="s">
        <v>462</v>
      </c>
    </row>
    <row r="314" spans="1:6" x14ac:dyDescent="0.3">
      <c r="A314" s="4">
        <v>25</v>
      </c>
      <c r="B314" s="10" t="s">
        <v>256</v>
      </c>
      <c r="C314" s="4" t="s">
        <v>252</v>
      </c>
      <c r="D314" s="10" t="s">
        <v>257</v>
      </c>
    </row>
    <row r="315" spans="1:6" x14ac:dyDescent="0.3">
      <c r="C315" s="4" t="s">
        <v>252</v>
      </c>
      <c r="D315" s="10">
        <f>F17 * (1-G271)</f>
        <v>5.843583999999999</v>
      </c>
      <c r="E315" s="1" t="s">
        <v>193</v>
      </c>
    </row>
    <row r="316" spans="1:6" x14ac:dyDescent="0.3">
      <c r="D316" s="94">
        <f>D17 * (1 - G271)</f>
        <v>11.36</v>
      </c>
      <c r="E316" s="1" t="s">
        <v>232</v>
      </c>
    </row>
    <row r="317" spans="1:6" x14ac:dyDescent="0.3">
      <c r="C317" s="4" t="s">
        <v>252</v>
      </c>
      <c r="D317" s="1"/>
      <c r="E317" s="1"/>
    </row>
    <row r="319" spans="1:6" x14ac:dyDescent="0.3">
      <c r="A319" s="4">
        <v>26</v>
      </c>
      <c r="B319" s="10" t="s">
        <v>253</v>
      </c>
      <c r="C319" s="4" t="s">
        <v>252</v>
      </c>
      <c r="D319" s="10" t="s">
        <v>255</v>
      </c>
    </row>
    <row r="320" spans="1:6" x14ac:dyDescent="0.3">
      <c r="C320" s="4" t="s">
        <v>252</v>
      </c>
      <c r="D320" s="10">
        <f>D312*D315</f>
        <v>4464.4873020591449</v>
      </c>
      <c r="E320" s="1" t="s">
        <v>0</v>
      </c>
      <c r="F320" s="1" t="s">
        <v>463</v>
      </c>
    </row>
    <row r="321" spans="1:6" x14ac:dyDescent="0.3">
      <c r="C321" s="4" t="s">
        <v>252</v>
      </c>
      <c r="D321" s="10">
        <f>D320*F238</f>
        <v>6070.0017611383519</v>
      </c>
      <c r="E321" s="1" t="s">
        <v>2</v>
      </c>
    </row>
    <row r="323" spans="1:6" x14ac:dyDescent="0.3">
      <c r="A323" s="4">
        <v>27</v>
      </c>
      <c r="B323" s="10" t="s">
        <v>260</v>
      </c>
      <c r="C323" s="4" t="s">
        <v>252</v>
      </c>
      <c r="D323" s="10" t="s">
        <v>326</v>
      </c>
    </row>
    <row r="324" spans="1:6" x14ac:dyDescent="0.3">
      <c r="B324" s="10" t="s">
        <v>466</v>
      </c>
      <c r="C324" s="4" t="s">
        <v>252</v>
      </c>
      <c r="D324" s="10" t="s">
        <v>261</v>
      </c>
    </row>
    <row r="325" spans="1:6" x14ac:dyDescent="0.3">
      <c r="C325" s="4" t="s">
        <v>252</v>
      </c>
      <c r="D325" s="10">
        <f>(D256/D320)</f>
        <v>1.1225352112676057</v>
      </c>
      <c r="F325" s="10" t="s">
        <v>283</v>
      </c>
    </row>
    <row r="326" spans="1:6" x14ac:dyDescent="0.3">
      <c r="D326" s="10">
        <f>D257/D321</f>
        <v>1.1225352112676057</v>
      </c>
      <c r="F326" s="10" t="s">
        <v>2</v>
      </c>
    </row>
    <row r="328" spans="1:6" x14ac:dyDescent="0.3">
      <c r="A328" s="4">
        <v>28</v>
      </c>
      <c r="B328" s="10" t="s">
        <v>262</v>
      </c>
      <c r="C328" s="4" t="s">
        <v>252</v>
      </c>
      <c r="D328" s="10" t="s">
        <v>264</v>
      </c>
    </row>
    <row r="329" spans="1:6" x14ac:dyDescent="0.3">
      <c r="B329" s="10" t="s">
        <v>467</v>
      </c>
      <c r="C329" s="4" t="s">
        <v>252</v>
      </c>
      <c r="D329" s="10">
        <f>D273*D276</f>
        <v>0.65100000000000002</v>
      </c>
    </row>
    <row r="331" spans="1:6" x14ac:dyDescent="0.3">
      <c r="A331" s="4">
        <v>29</v>
      </c>
      <c r="B331" s="10" t="s">
        <v>454</v>
      </c>
      <c r="C331" s="4" t="s">
        <v>252</v>
      </c>
      <c r="D331" s="10" t="s">
        <v>453</v>
      </c>
    </row>
    <row r="332" spans="1:6" x14ac:dyDescent="0.3">
      <c r="B332" s="10" t="s">
        <v>375</v>
      </c>
      <c r="C332" s="4" t="s">
        <v>252</v>
      </c>
      <c r="D332" s="10">
        <f>D276*D273*D270</f>
        <v>0.73077042253521129</v>
      </c>
    </row>
    <row r="333" spans="1:6" x14ac:dyDescent="0.3">
      <c r="C333" s="4" t="s">
        <v>252</v>
      </c>
      <c r="D333" s="10" t="s">
        <v>376</v>
      </c>
    </row>
    <row r="334" spans="1:6" x14ac:dyDescent="0.3">
      <c r="C334" s="4" t="s">
        <v>252</v>
      </c>
      <c r="D334" s="10">
        <f>D256/D342</f>
        <v>0.73077042253521129</v>
      </c>
      <c r="F334" s="10" t="s">
        <v>0</v>
      </c>
    </row>
    <row r="335" spans="1:6" x14ac:dyDescent="0.3">
      <c r="C335" s="4" t="s">
        <v>252</v>
      </c>
      <c r="D335" s="10">
        <f>D257/D339</f>
        <v>0.73077042253521129</v>
      </c>
      <c r="F335" s="10" t="s">
        <v>2</v>
      </c>
    </row>
    <row r="337" spans="1:7" x14ac:dyDescent="0.3">
      <c r="B337" s="10" t="s">
        <v>263</v>
      </c>
      <c r="C337" s="4" t="s">
        <v>252</v>
      </c>
      <c r="D337" s="10" t="s">
        <v>265</v>
      </c>
    </row>
    <row r="338" spans="1:7" x14ac:dyDescent="0.3">
      <c r="C338" s="4" t="s">
        <v>252</v>
      </c>
      <c r="D338" s="10">
        <f>D320/D329</f>
        <v>6857.8914010125109</v>
      </c>
      <c r="E338" s="10" t="s">
        <v>0</v>
      </c>
      <c r="F338" s="88" t="s">
        <v>271</v>
      </c>
      <c r="G338" s="56">
        <v>0.95</v>
      </c>
    </row>
    <row r="339" spans="1:7" x14ac:dyDescent="0.3">
      <c r="C339" s="4" t="s">
        <v>252</v>
      </c>
      <c r="D339" s="10">
        <f>D321/D329</f>
        <v>9324.1194487532284</v>
      </c>
      <c r="E339" s="10" t="s">
        <v>324</v>
      </c>
      <c r="F339" s="91" t="s">
        <v>270</v>
      </c>
      <c r="G339" s="92">
        <v>0.98</v>
      </c>
    </row>
    <row r="341" spans="1:7" x14ac:dyDescent="0.3">
      <c r="B341" s="10" t="s">
        <v>263</v>
      </c>
      <c r="C341" s="4" t="s">
        <v>252</v>
      </c>
      <c r="D341" s="10" t="s">
        <v>312</v>
      </c>
    </row>
    <row r="342" spans="1:7" x14ac:dyDescent="0.3">
      <c r="C342" s="4" t="s">
        <v>252</v>
      </c>
      <c r="D342" s="10">
        <f>D256/D332</f>
        <v>6857.8914010125109</v>
      </c>
      <c r="E342" s="10" t="s">
        <v>283</v>
      </c>
    </row>
    <row r="343" spans="1:7" x14ac:dyDescent="0.3">
      <c r="D343" s="10">
        <f>D257/D332</f>
        <v>9324.1194487532284</v>
      </c>
      <c r="E343" s="10" t="s">
        <v>2</v>
      </c>
    </row>
    <row r="345" spans="1:7" x14ac:dyDescent="0.3">
      <c r="A345" s="4">
        <v>29</v>
      </c>
      <c r="B345" s="10" t="s">
        <v>313</v>
      </c>
      <c r="C345" s="4" t="s">
        <v>252</v>
      </c>
      <c r="D345" s="10" t="s">
        <v>267</v>
      </c>
    </row>
    <row r="346" spans="1:7" x14ac:dyDescent="0.3">
      <c r="B346" s="10" t="s">
        <v>268</v>
      </c>
      <c r="C346" s="4" t="s">
        <v>252</v>
      </c>
      <c r="D346" s="10">
        <f>D338/G339</f>
        <v>6997.8483683801132</v>
      </c>
      <c r="E346" s="1" t="s">
        <v>283</v>
      </c>
      <c r="F346" s="10" t="s">
        <v>399</v>
      </c>
    </row>
    <row r="347" spans="1:7" x14ac:dyDescent="0.3">
      <c r="B347" s="10" t="s">
        <v>269</v>
      </c>
      <c r="D347" s="10">
        <f>D339/G339</f>
        <v>9514.4076007685999</v>
      </c>
      <c r="E347" s="1" t="s">
        <v>324</v>
      </c>
    </row>
    <row r="348" spans="1:7" x14ac:dyDescent="0.3">
      <c r="D348" s="10">
        <f>D338/G338</f>
        <v>7218.8330536973799</v>
      </c>
      <c r="E348" s="1" t="s">
        <v>283</v>
      </c>
      <c r="F348" s="10" t="s">
        <v>398</v>
      </c>
    </row>
    <row r="349" spans="1:7" x14ac:dyDescent="0.3">
      <c r="D349" s="10">
        <f>D339/G338</f>
        <v>9814.8625776349782</v>
      </c>
      <c r="E349" s="1" t="s">
        <v>324</v>
      </c>
    </row>
    <row r="351" spans="1:7" x14ac:dyDescent="0.3">
      <c r="B351" s="10" t="s">
        <v>314</v>
      </c>
      <c r="C351" s="4" t="s">
        <v>252</v>
      </c>
      <c r="D351" s="10" t="s">
        <v>325</v>
      </c>
    </row>
    <row r="352" spans="1:7" x14ac:dyDescent="0.3">
      <c r="D352" s="95">
        <f>1.2 - ( SQRT(D6) / 48 )</f>
        <v>0.95615208519334105</v>
      </c>
    </row>
    <row r="355" spans="1:5" x14ac:dyDescent="0.3">
      <c r="A355" s="4">
        <v>30</v>
      </c>
      <c r="B355" s="10" t="s">
        <v>266</v>
      </c>
      <c r="C355" s="4" t="s">
        <v>252</v>
      </c>
      <c r="D355" s="10" t="s">
        <v>468</v>
      </c>
    </row>
    <row r="356" spans="1:5" x14ac:dyDescent="0.3">
      <c r="B356" s="10" t="s">
        <v>272</v>
      </c>
      <c r="C356" s="4" t="s">
        <v>252</v>
      </c>
      <c r="D356" s="10">
        <f>($D$256/ $D$332) * $D$352 * (1/$G$339)</f>
        <v>6691.0073092934654</v>
      </c>
      <c r="E356" s="1" t="s">
        <v>0</v>
      </c>
    </row>
    <row r="357" spans="1:5" x14ac:dyDescent="0.3">
      <c r="C357" s="4" t="s">
        <v>252</v>
      </c>
      <c r="D357" s="10">
        <f>($D$257 / $D$332) * $D$352 * (1/ $G$339)</f>
        <v>9097.2206668542694</v>
      </c>
      <c r="E357" s="1" t="s">
        <v>2</v>
      </c>
    </row>
    <row r="358" spans="1:5" x14ac:dyDescent="0.3">
      <c r="E358" s="1"/>
    </row>
    <row r="359" spans="1:5" x14ac:dyDescent="0.3">
      <c r="B359" s="10" t="s">
        <v>395</v>
      </c>
      <c r="C359" s="4" t="s">
        <v>252</v>
      </c>
      <c r="D359" s="10" t="s">
        <v>379</v>
      </c>
      <c r="E359" s="1"/>
    </row>
    <row r="360" spans="1:5" x14ac:dyDescent="0.3">
      <c r="B360" s="10" t="s">
        <v>378</v>
      </c>
      <c r="C360" s="4" t="s">
        <v>252</v>
      </c>
      <c r="D360" s="10">
        <f>D256/D356</f>
        <v>0.74899696938870886</v>
      </c>
      <c r="E360" s="1" t="s">
        <v>0</v>
      </c>
    </row>
    <row r="361" spans="1:5" x14ac:dyDescent="0.3">
      <c r="D361" s="10">
        <f>D257/D357</f>
        <v>0.74899696938870897</v>
      </c>
      <c r="E361" s="1" t="s">
        <v>2</v>
      </c>
    </row>
    <row r="363" spans="1:5" x14ac:dyDescent="0.3">
      <c r="B363" s="10" t="s">
        <v>382</v>
      </c>
      <c r="C363" s="4" t="s">
        <v>252</v>
      </c>
      <c r="D363" s="10">
        <f>D26</f>
        <v>1.026</v>
      </c>
      <c r="E363" s="1" t="s">
        <v>367</v>
      </c>
    </row>
    <row r="364" spans="1:5" x14ac:dyDescent="0.3">
      <c r="B364" s="10" t="s">
        <v>394</v>
      </c>
    </row>
    <row r="366" spans="1:5" x14ac:dyDescent="0.3">
      <c r="B366" s="10" t="s">
        <v>383</v>
      </c>
      <c r="C366" s="4" t="s">
        <v>252</v>
      </c>
      <c r="E366" s="1" t="s">
        <v>377</v>
      </c>
    </row>
    <row r="367" spans="1:5" x14ac:dyDescent="0.3">
      <c r="B367" s="10" t="s">
        <v>384</v>
      </c>
    </row>
    <row r="369" spans="2:5" x14ac:dyDescent="0.3">
      <c r="B369" s="10" t="s">
        <v>385</v>
      </c>
      <c r="C369" s="4" t="s">
        <v>252</v>
      </c>
      <c r="D369" s="10">
        <f>D315</f>
        <v>5.843583999999999</v>
      </c>
      <c r="E369" s="1" t="s">
        <v>193</v>
      </c>
    </row>
    <row r="370" spans="2:5" x14ac:dyDescent="0.3">
      <c r="B370" s="10" t="s">
        <v>387</v>
      </c>
      <c r="C370" s="4" t="s">
        <v>252</v>
      </c>
      <c r="D370" s="10">
        <f>D316</f>
        <v>11.36</v>
      </c>
      <c r="E370" s="1" t="s">
        <v>232</v>
      </c>
    </row>
    <row r="371" spans="2:5" x14ac:dyDescent="0.3">
      <c r="E371" s="1"/>
    </row>
    <row r="373" spans="2:5" x14ac:dyDescent="0.3">
      <c r="B373" s="10" t="s">
        <v>386</v>
      </c>
      <c r="C373" s="4" t="s">
        <v>252</v>
      </c>
      <c r="D373" s="10">
        <f>D27</f>
        <v>9.7931670000000004</v>
      </c>
      <c r="E373" s="10" t="s">
        <v>369</v>
      </c>
    </row>
    <row r="374" spans="2:5" x14ac:dyDescent="0.3">
      <c r="B374" s="10" t="s">
        <v>388</v>
      </c>
    </row>
    <row r="376" spans="2:5" x14ac:dyDescent="0.3">
      <c r="B376" s="10" t="s">
        <v>389</v>
      </c>
      <c r="C376" s="4" t="s">
        <v>252</v>
      </c>
    </row>
    <row r="377" spans="2:5" x14ac:dyDescent="0.3">
      <c r="B377" s="10" t="s">
        <v>390</v>
      </c>
    </row>
    <row r="379" spans="2:5" x14ac:dyDescent="0.3">
      <c r="B379" s="10" t="s">
        <v>381</v>
      </c>
      <c r="C379" s="4" t="s">
        <v>252</v>
      </c>
    </row>
    <row r="380" spans="2:5" x14ac:dyDescent="0.3">
      <c r="B380" s="10" t="s">
        <v>391</v>
      </c>
    </row>
    <row r="382" spans="2:5" x14ac:dyDescent="0.3">
      <c r="B382" s="10" t="s">
        <v>392</v>
      </c>
      <c r="C382" s="4" t="s">
        <v>252</v>
      </c>
    </row>
    <row r="383" spans="2:5" x14ac:dyDescent="0.3">
      <c r="B383" s="10" t="s">
        <v>393</v>
      </c>
    </row>
    <row r="385" spans="2:5" x14ac:dyDescent="0.3">
      <c r="B385" s="10" t="s">
        <v>477</v>
      </c>
      <c r="C385" s="4" t="s">
        <v>252</v>
      </c>
      <c r="D385" s="10">
        <f>D9/D11</f>
        <v>6.0118143459915609</v>
      </c>
    </row>
    <row r="391" spans="2:5" x14ac:dyDescent="0.3">
      <c r="B391" s="10" t="s">
        <v>254</v>
      </c>
      <c r="C391" s="4" t="s">
        <v>252</v>
      </c>
    </row>
    <row r="392" spans="2:5" x14ac:dyDescent="0.3">
      <c r="B392" s="10" t="s">
        <v>380</v>
      </c>
      <c r="C392" s="4" t="s">
        <v>252</v>
      </c>
      <c r="D392" s="10">
        <f>D312</f>
        <v>763.99813916581775</v>
      </c>
      <c r="E392" s="1" t="s">
        <v>33</v>
      </c>
    </row>
    <row r="393" spans="2:5" x14ac:dyDescent="0.3">
      <c r="C393" s="4" t="s">
        <v>252</v>
      </c>
      <c r="D393" s="10">
        <f>D392*1000</f>
        <v>763998.13916581776</v>
      </c>
      <c r="E393" s="1" t="s">
        <v>472</v>
      </c>
    </row>
    <row r="395" spans="2:5" x14ac:dyDescent="0.3">
      <c r="B395" s="10" t="s">
        <v>275</v>
      </c>
      <c r="C395" s="4" t="s">
        <v>252</v>
      </c>
    </row>
    <row r="397" spans="2:5" x14ac:dyDescent="0.3">
      <c r="B397" s="10" t="s">
        <v>278</v>
      </c>
      <c r="C397" s="4" t="s">
        <v>252</v>
      </c>
    </row>
    <row r="399" spans="2:5" x14ac:dyDescent="0.3">
      <c r="B399" s="10" t="s">
        <v>276</v>
      </c>
      <c r="C399" s="4" t="s">
        <v>252</v>
      </c>
    </row>
    <row r="401" spans="2:5" x14ac:dyDescent="0.3">
      <c r="B401" s="10" t="s">
        <v>277</v>
      </c>
      <c r="C401" s="4" t="s">
        <v>252</v>
      </c>
      <c r="D401" s="10">
        <v>3</v>
      </c>
    </row>
    <row r="403" spans="2:5" x14ac:dyDescent="0.3">
      <c r="B403" s="10" t="s">
        <v>279</v>
      </c>
    </row>
    <row r="405" spans="2:5" x14ac:dyDescent="0.3">
      <c r="B405" s="10" t="s">
        <v>280</v>
      </c>
    </row>
    <row r="407" spans="2:5" x14ac:dyDescent="0.3">
      <c r="B407" s="10" t="s">
        <v>282</v>
      </c>
    </row>
    <row r="408" spans="2:5" x14ac:dyDescent="0.3">
      <c r="B408" s="10" t="s">
        <v>281</v>
      </c>
      <c r="C408" s="4" t="s">
        <v>252</v>
      </c>
    </row>
    <row r="410" spans="2:5" x14ac:dyDescent="0.3">
      <c r="B410" s="49" t="s">
        <v>469</v>
      </c>
    </row>
    <row r="412" spans="2:5" x14ac:dyDescent="0.3">
      <c r="B412" s="10" t="s">
        <v>286</v>
      </c>
    </row>
    <row r="413" spans="2:5" x14ac:dyDescent="0.3">
      <c r="B413" s="10" t="s">
        <v>287</v>
      </c>
      <c r="E413" s="10" t="s">
        <v>470</v>
      </c>
    </row>
    <row r="414" spans="2:5" ht="15.6" x14ac:dyDescent="0.3">
      <c r="B414" s="10" t="s">
        <v>335</v>
      </c>
      <c r="C414" s="4" t="s">
        <v>288</v>
      </c>
      <c r="D414" s="10" t="s">
        <v>289</v>
      </c>
      <c r="E414" s="10">
        <v>4150</v>
      </c>
    </row>
    <row r="415" spans="2:5" ht="15.6" x14ac:dyDescent="0.3">
      <c r="B415" s="10" t="s">
        <v>336</v>
      </c>
      <c r="C415" s="4" t="s">
        <v>290</v>
      </c>
      <c r="D415" s="10" t="s">
        <v>289</v>
      </c>
      <c r="E415" s="10">
        <v>6865</v>
      </c>
    </row>
    <row r="416" spans="2:5" ht="15.6" x14ac:dyDescent="0.3">
      <c r="B416" s="10" t="s">
        <v>337</v>
      </c>
      <c r="D416" s="10" t="s">
        <v>289</v>
      </c>
    </row>
    <row r="417" spans="2:5" x14ac:dyDescent="0.3">
      <c r="B417" s="10" t="s">
        <v>291</v>
      </c>
      <c r="D417" s="10" t="s">
        <v>289</v>
      </c>
      <c r="E417" s="10">
        <v>4130</v>
      </c>
    </row>
    <row r="418" spans="2:5" x14ac:dyDescent="0.3">
      <c r="B418" s="10" t="s">
        <v>292</v>
      </c>
      <c r="D418" s="10" t="s">
        <v>289</v>
      </c>
      <c r="E418" s="10">
        <v>3060</v>
      </c>
    </row>
    <row r="419" spans="2:5" x14ac:dyDescent="0.3">
      <c r="B419" s="10" t="s">
        <v>293</v>
      </c>
      <c r="D419" s="10" t="s">
        <v>207</v>
      </c>
      <c r="E419" s="10">
        <v>100.1</v>
      </c>
    </row>
    <row r="421" spans="2:5" x14ac:dyDescent="0.3">
      <c r="B421" s="10" t="s">
        <v>294</v>
      </c>
    </row>
    <row r="422" spans="2:5" x14ac:dyDescent="0.3">
      <c r="B422" s="10" t="s">
        <v>295</v>
      </c>
    </row>
    <row r="423" spans="2:5" x14ac:dyDescent="0.3">
      <c r="B423" s="10" t="s">
        <v>296</v>
      </c>
      <c r="D423" s="10" t="s">
        <v>283</v>
      </c>
      <c r="E423" s="10">
        <v>7200</v>
      </c>
    </row>
    <row r="424" spans="2:5" x14ac:dyDescent="0.3">
      <c r="B424" s="10" t="s">
        <v>247</v>
      </c>
      <c r="D424" s="10" t="s">
        <v>281</v>
      </c>
      <c r="E424" s="10">
        <v>600</v>
      </c>
    </row>
    <row r="425" spans="2:5" x14ac:dyDescent="0.3">
      <c r="B425" s="10" t="s">
        <v>297</v>
      </c>
      <c r="D425" s="10" t="s">
        <v>298</v>
      </c>
      <c r="E425" s="10">
        <v>40</v>
      </c>
    </row>
    <row r="426" spans="2:5" x14ac:dyDescent="0.3">
      <c r="B426" s="10" t="s">
        <v>299</v>
      </c>
      <c r="D426" s="10" t="s">
        <v>300</v>
      </c>
      <c r="E426" s="10">
        <v>191.5</v>
      </c>
    </row>
    <row r="427" spans="2:5" x14ac:dyDescent="0.3">
      <c r="B427" s="10" t="s">
        <v>301</v>
      </c>
      <c r="D427" s="10" t="s">
        <v>300</v>
      </c>
      <c r="E427" s="10">
        <v>193</v>
      </c>
    </row>
    <row r="429" spans="2:5" x14ac:dyDescent="0.3">
      <c r="B429" s="49" t="s">
        <v>302</v>
      </c>
    </row>
    <row r="431" spans="2:5" ht="15.6" x14ac:dyDescent="0.3">
      <c r="B431" s="10" t="s">
        <v>338</v>
      </c>
      <c r="D431" s="10" t="s">
        <v>252</v>
      </c>
      <c r="E431" s="10" t="s">
        <v>339</v>
      </c>
    </row>
    <row r="432" spans="2:5" x14ac:dyDescent="0.3">
      <c r="D432" s="10" t="s">
        <v>252</v>
      </c>
      <c r="E432" s="10">
        <f>E423/E424</f>
        <v>12</v>
      </c>
    </row>
    <row r="434" spans="2:6" x14ac:dyDescent="0.3">
      <c r="B434" s="96" t="s">
        <v>309</v>
      </c>
    </row>
    <row r="435" spans="2:6" x14ac:dyDescent="0.3">
      <c r="B435" s="10" t="s">
        <v>303</v>
      </c>
      <c r="D435" s="10" t="s">
        <v>252</v>
      </c>
      <c r="E435" s="10" t="s">
        <v>304</v>
      </c>
    </row>
    <row r="436" spans="2:6" x14ac:dyDescent="0.3">
      <c r="B436" s="10" t="s">
        <v>305</v>
      </c>
      <c r="D436" s="10" t="s">
        <v>252</v>
      </c>
      <c r="E436" s="97" t="s">
        <v>310</v>
      </c>
      <c r="F436" s="10">
        <v>4.41</v>
      </c>
    </row>
    <row r="437" spans="2:6" x14ac:dyDescent="0.3">
      <c r="D437" s="10" t="s">
        <v>252</v>
      </c>
      <c r="E437" s="10" t="s">
        <v>311</v>
      </c>
    </row>
    <row r="438" spans="2:6" x14ac:dyDescent="0.3">
      <c r="E438" s="10">
        <f>E424/F436</f>
        <v>136.05442176870747</v>
      </c>
      <c r="F438" s="10" t="s">
        <v>323</v>
      </c>
    </row>
    <row r="439" spans="2:6" x14ac:dyDescent="0.3">
      <c r="E439" s="10">
        <f>E438/60</f>
        <v>2.2675736961451247</v>
      </c>
      <c r="F439" s="10" t="s">
        <v>404</v>
      </c>
    </row>
    <row r="441" spans="2:6" x14ac:dyDescent="0.3">
      <c r="B441" s="10" t="s">
        <v>306</v>
      </c>
      <c r="D441" s="10" t="s">
        <v>252</v>
      </c>
      <c r="E441" s="96" t="s">
        <v>315</v>
      </c>
    </row>
    <row r="442" spans="2:6" x14ac:dyDescent="0.3">
      <c r="B442" s="10" t="s">
        <v>307</v>
      </c>
      <c r="D442" s="10" t="s">
        <v>252</v>
      </c>
      <c r="E442" s="10">
        <v>10</v>
      </c>
    </row>
    <row r="443" spans="2:6" x14ac:dyDescent="0.3">
      <c r="B443" s="10" t="s">
        <v>308</v>
      </c>
      <c r="D443" s="10" t="s">
        <v>252</v>
      </c>
      <c r="E443" s="97" t="s">
        <v>316</v>
      </c>
    </row>
    <row r="446" spans="2:6" x14ac:dyDescent="0.3">
      <c r="B446" s="49" t="s">
        <v>317</v>
      </c>
    </row>
    <row r="449" spans="2:7" x14ac:dyDescent="0.3">
      <c r="B449" s="10" t="s">
        <v>318</v>
      </c>
      <c r="C449" s="4" t="s">
        <v>252</v>
      </c>
    </row>
    <row r="450" spans="2:7" x14ac:dyDescent="0.3">
      <c r="B450" s="10" t="s">
        <v>438</v>
      </c>
      <c r="C450" s="4" t="s">
        <v>252</v>
      </c>
      <c r="D450" s="10" t="s">
        <v>440</v>
      </c>
    </row>
    <row r="451" spans="2:7" x14ac:dyDescent="0.3">
      <c r="C451" s="4" t="s">
        <v>252</v>
      </c>
      <c r="D451" s="10">
        <f>E438 * $D$347^0.5 / $D$316^2.5</f>
        <v>30.511089010962628</v>
      </c>
      <c r="E451" s="10" t="s">
        <v>2</v>
      </c>
      <c r="F451" s="10" t="s">
        <v>232</v>
      </c>
      <c r="G451" s="10" t="s">
        <v>281</v>
      </c>
    </row>
    <row r="453" spans="2:7" x14ac:dyDescent="0.3">
      <c r="B453" s="10" t="s">
        <v>439</v>
      </c>
      <c r="C453" s="4" t="s">
        <v>252</v>
      </c>
      <c r="D453" s="10" t="s">
        <v>439</v>
      </c>
    </row>
    <row r="454" spans="2:7" x14ac:dyDescent="0.3">
      <c r="C454" s="4" t="s">
        <v>252</v>
      </c>
      <c r="D454" s="10">
        <f>0.1739 * SQRT(D451)</f>
        <v>0.96056871181046344</v>
      </c>
    </row>
    <row r="457" spans="2:7" x14ac:dyDescent="0.3">
      <c r="B457" s="10" t="s">
        <v>397</v>
      </c>
      <c r="C457" s="4" t="s">
        <v>252</v>
      </c>
      <c r="D457" s="10" t="s">
        <v>476</v>
      </c>
    </row>
    <row r="458" spans="2:7" x14ac:dyDescent="0.3">
      <c r="C458" s="4" t="s">
        <v>252</v>
      </c>
      <c r="D458" s="10">
        <f>0.395*D15+1.3</f>
        <v>5.2290650000000003</v>
      </c>
    </row>
    <row r="461" spans="2:7" x14ac:dyDescent="0.3">
      <c r="B461" s="10" t="s">
        <v>401</v>
      </c>
      <c r="C461" s="4" t="s">
        <v>252</v>
      </c>
      <c r="D461" s="10">
        <v>1671</v>
      </c>
      <c r="E461" s="1" t="s">
        <v>402</v>
      </c>
      <c r="F461" s="1" t="s">
        <v>232</v>
      </c>
      <c r="G461" s="1" t="s">
        <v>434</v>
      </c>
    </row>
    <row r="462" spans="2:7" x14ac:dyDescent="0.3">
      <c r="B462" s="10" t="s">
        <v>400</v>
      </c>
    </row>
    <row r="464" spans="2:7" x14ac:dyDescent="0.3">
      <c r="B464" s="10" t="s">
        <v>403</v>
      </c>
      <c r="C464" s="4" t="s">
        <v>252</v>
      </c>
      <c r="D464" s="10" t="s">
        <v>435</v>
      </c>
    </row>
    <row r="465" spans="2:6" x14ac:dyDescent="0.3">
      <c r="C465" s="4" t="s">
        <v>252</v>
      </c>
      <c r="D465" s="10">
        <f>SQRT($D$316^2+(22/7*$E$438*0.7*$D$458)^2)</f>
        <v>1565.2035380107172</v>
      </c>
      <c r="E465" s="1" t="s">
        <v>232</v>
      </c>
      <c r="F465" s="10" t="s">
        <v>281</v>
      </c>
    </row>
    <row r="466" spans="2:6" x14ac:dyDescent="0.3">
      <c r="C466" s="4" t="s">
        <v>252</v>
      </c>
      <c r="D466" s="10">
        <f>SQRT($D$315^2+(22/7*$E$438*0.7*$D$458)^2)</f>
        <v>1565.1732214918679</v>
      </c>
      <c r="E466" s="1" t="s">
        <v>193</v>
      </c>
      <c r="F466" s="10" t="s">
        <v>281</v>
      </c>
    </row>
    <row r="467" spans="2:6" x14ac:dyDescent="0.3">
      <c r="D467" s="10" t="s">
        <v>405</v>
      </c>
      <c r="E467" s="1"/>
    </row>
    <row r="468" spans="2:6" x14ac:dyDescent="0.3">
      <c r="C468" s="4" t="s">
        <v>252</v>
      </c>
      <c r="D468" s="10">
        <f>SQRT($D$316^2+(22/7*$E$439*0.7*$D$458)^2)</f>
        <v>28.452258384300865</v>
      </c>
      <c r="E468" s="1" t="s">
        <v>232</v>
      </c>
      <c r="F468" s="10" t="s">
        <v>422</v>
      </c>
    </row>
    <row r="469" spans="2:6" x14ac:dyDescent="0.3">
      <c r="C469" s="4" t="s">
        <v>252</v>
      </c>
      <c r="D469" s="10">
        <f>SQRT($D$315^2+(22/7*$E$439*0.7*$D$458)^2)</f>
        <v>26.73254348415195</v>
      </c>
      <c r="E469" s="1" t="s">
        <v>193</v>
      </c>
      <c r="F469" s="10" t="s">
        <v>422</v>
      </c>
    </row>
    <row r="471" spans="2:6" x14ac:dyDescent="0.3">
      <c r="B471" s="10" t="s">
        <v>406</v>
      </c>
      <c r="C471" s="4" t="s">
        <v>252</v>
      </c>
      <c r="D471" s="10" t="s">
        <v>407</v>
      </c>
    </row>
    <row r="472" spans="2:6" x14ac:dyDescent="0.3">
      <c r="B472" s="10" t="s">
        <v>408</v>
      </c>
      <c r="C472" s="4" t="s">
        <v>252</v>
      </c>
      <c r="D472" s="10">
        <f>1/2*$D$26*$D$468^2</f>
        <v>415.2894066766807</v>
      </c>
      <c r="E472" s="1" t="s">
        <v>232</v>
      </c>
      <c r="F472" s="10" t="s">
        <v>422</v>
      </c>
    </row>
    <row r="473" spans="2:6" x14ac:dyDescent="0.3">
      <c r="C473" s="4" t="s">
        <v>252</v>
      </c>
      <c r="D473" s="10">
        <f>1/2*$D$26*D469^2</f>
        <v>366.60461602075441</v>
      </c>
      <c r="E473" s="1" t="s">
        <v>193</v>
      </c>
      <c r="F473" s="10" t="s">
        <v>422</v>
      </c>
    </row>
    <row r="474" spans="2:6" x14ac:dyDescent="0.3">
      <c r="C474" s="4" t="s">
        <v>252</v>
      </c>
      <c r="E474" s="1"/>
    </row>
    <row r="475" spans="2:6" x14ac:dyDescent="0.3">
      <c r="C475" s="4" t="s">
        <v>252</v>
      </c>
      <c r="E475" s="1"/>
    </row>
    <row r="477" spans="2:6" x14ac:dyDescent="0.3">
      <c r="B477" s="10" t="s">
        <v>409</v>
      </c>
      <c r="C477" s="4" t="s">
        <v>252</v>
      </c>
      <c r="D477" s="10" t="s">
        <v>433</v>
      </c>
    </row>
    <row r="478" spans="2:6" x14ac:dyDescent="0.3">
      <c r="C478" s="4" t="s">
        <v>252</v>
      </c>
      <c r="D478" s="10">
        <f>($D$538-D461)/D472</f>
        <v>240.03294325949201</v>
      </c>
      <c r="E478" s="1" t="s">
        <v>232</v>
      </c>
    </row>
    <row r="479" spans="2:6" x14ac:dyDescent="0.3">
      <c r="C479" s="4" t="s">
        <v>252</v>
      </c>
      <c r="D479" s="10">
        <f>($D$538-D461)/D473</f>
        <v>271.90912016080148</v>
      </c>
      <c r="E479" s="1" t="s">
        <v>193</v>
      </c>
    </row>
    <row r="480" spans="2:6" x14ac:dyDescent="0.3">
      <c r="C480" s="4" t="s">
        <v>252</v>
      </c>
      <c r="D480" s="10" t="e">
        <f>($D$538-#REF!)/D472</f>
        <v>#REF!</v>
      </c>
      <c r="E480" s="1" t="s">
        <v>232</v>
      </c>
    </row>
    <row r="481" spans="2:5" x14ac:dyDescent="0.3">
      <c r="C481" s="4" t="s">
        <v>252</v>
      </c>
      <c r="D481" s="10" t="e">
        <f>($D$538-#REF!)/D473</f>
        <v>#REF!</v>
      </c>
      <c r="E481" s="1" t="s">
        <v>193</v>
      </c>
    </row>
    <row r="482" spans="2:5" x14ac:dyDescent="0.3">
      <c r="D482" s="10" t="s">
        <v>432</v>
      </c>
      <c r="E482" s="1"/>
    </row>
    <row r="483" spans="2:5" x14ac:dyDescent="0.3">
      <c r="C483" s="4" t="s">
        <v>252</v>
      </c>
      <c r="E483" s="1" t="s">
        <v>232</v>
      </c>
    </row>
    <row r="484" spans="2:5" x14ac:dyDescent="0.3">
      <c r="C484" s="4" t="s">
        <v>252</v>
      </c>
      <c r="D484" s="10" t="e">
        <f>(#REF!-$D$538)/$D$473</f>
        <v>#REF!</v>
      </c>
      <c r="E484" s="1" t="s">
        <v>193</v>
      </c>
    </row>
    <row r="485" spans="2:5" x14ac:dyDescent="0.3">
      <c r="C485" s="4" t="s">
        <v>252</v>
      </c>
      <c r="D485" s="10" t="e">
        <f>(#REF!-$D$538)/$D$472</f>
        <v>#REF!</v>
      </c>
      <c r="E485" s="10" t="s">
        <v>232</v>
      </c>
    </row>
    <row r="486" spans="2:5" x14ac:dyDescent="0.3">
      <c r="C486" s="4" t="s">
        <v>252</v>
      </c>
      <c r="D486" s="10" t="e">
        <f>(#REF!-$D$538)/$D$473</f>
        <v>#REF!</v>
      </c>
      <c r="E486" s="10" t="s">
        <v>193</v>
      </c>
    </row>
    <row r="487" spans="2:5" x14ac:dyDescent="0.3">
      <c r="E487" s="1"/>
    </row>
    <row r="488" spans="2:5" x14ac:dyDescent="0.3">
      <c r="B488" s="10" t="s">
        <v>416</v>
      </c>
      <c r="C488" s="4" t="s">
        <v>252</v>
      </c>
      <c r="D488" s="10" t="s">
        <v>417</v>
      </c>
    </row>
    <row r="489" spans="2:5" x14ac:dyDescent="0.3">
      <c r="C489" s="4" t="s">
        <v>252</v>
      </c>
      <c r="D489" s="10">
        <f>22/7*D458^2/4</f>
        <v>21.483880608319645</v>
      </c>
      <c r="E489" s="1" t="s">
        <v>418</v>
      </c>
    </row>
    <row r="491" spans="2:5" x14ac:dyDescent="0.3">
      <c r="B491" s="10" t="s">
        <v>419</v>
      </c>
      <c r="C491" s="4" t="s">
        <v>252</v>
      </c>
      <c r="D491" s="10" t="s">
        <v>421</v>
      </c>
    </row>
    <row r="492" spans="2:5" x14ac:dyDescent="0.3">
      <c r="C492" s="4" t="s">
        <v>252</v>
      </c>
      <c r="D492" s="10">
        <f>0.715*D478^0.184-0.437</f>
        <v>1.5230893920133879</v>
      </c>
      <c r="E492" s="10" t="s">
        <v>232</v>
      </c>
    </row>
    <row r="493" spans="2:5" x14ac:dyDescent="0.3">
      <c r="C493" s="4" t="s">
        <v>252</v>
      </c>
      <c r="D493" s="10">
        <f>0.715*D479^0.184-0.437</f>
        <v>1.5685801210675894</v>
      </c>
      <c r="E493" s="10" t="s">
        <v>193</v>
      </c>
    </row>
    <row r="494" spans="2:5" x14ac:dyDescent="0.3">
      <c r="C494" s="4" t="s">
        <v>252</v>
      </c>
      <c r="D494" s="10" t="e">
        <f>0.715*D480^0.184-0.437</f>
        <v>#REF!</v>
      </c>
      <c r="E494" s="10" t="s">
        <v>232</v>
      </c>
    </row>
    <row r="495" spans="2:5" x14ac:dyDescent="0.3">
      <c r="C495" s="4" t="s">
        <v>252</v>
      </c>
      <c r="D495" s="10" t="e">
        <f>0.715*D481^0.184-0.437</f>
        <v>#REF!</v>
      </c>
      <c r="E495" s="10" t="s">
        <v>193</v>
      </c>
    </row>
    <row r="500" spans="2:19" x14ac:dyDescent="0.3">
      <c r="B500" s="1" t="s">
        <v>327</v>
      </c>
    </row>
    <row r="501" spans="2:19" x14ac:dyDescent="0.3">
      <c r="B501" s="23" t="s">
        <v>328</v>
      </c>
      <c r="C501" s="14" t="s">
        <v>319</v>
      </c>
      <c r="D501" s="23" t="s">
        <v>437</v>
      </c>
      <c r="E501" s="23" t="s">
        <v>320</v>
      </c>
      <c r="F501" s="23" t="s">
        <v>321</v>
      </c>
      <c r="G501" s="23" t="s">
        <v>322</v>
      </c>
      <c r="H501" s="23" t="s">
        <v>396</v>
      </c>
      <c r="I501" s="23" t="s">
        <v>359</v>
      </c>
      <c r="J501" s="23" t="s">
        <v>357</v>
      </c>
      <c r="K501" s="23" t="s">
        <v>358</v>
      </c>
      <c r="L501" s="44"/>
      <c r="M501" s="44"/>
      <c r="N501" s="44"/>
      <c r="O501" s="44"/>
      <c r="P501" s="44"/>
      <c r="Q501" s="44"/>
      <c r="R501" s="44"/>
      <c r="S501" s="44"/>
    </row>
    <row r="502" spans="2:19" x14ac:dyDescent="0.3">
      <c r="B502" s="23"/>
      <c r="C502" s="14" t="s">
        <v>361</v>
      </c>
      <c r="D502" s="23" t="s">
        <v>415</v>
      </c>
      <c r="E502" s="23"/>
      <c r="F502" s="23"/>
      <c r="G502" s="23"/>
      <c r="H502" s="23"/>
      <c r="I502" s="23"/>
      <c r="J502" s="23"/>
      <c r="K502" s="23"/>
      <c r="L502" s="44"/>
      <c r="M502" s="44"/>
      <c r="N502" s="44"/>
      <c r="O502" s="44"/>
      <c r="P502" s="44"/>
      <c r="Q502" s="44"/>
      <c r="R502" s="44"/>
      <c r="S502" s="44"/>
    </row>
    <row r="503" spans="2:19" x14ac:dyDescent="0.3">
      <c r="B503" s="23"/>
      <c r="C503" s="14"/>
      <c r="D503" s="23"/>
      <c r="E503" s="23"/>
      <c r="F503" s="23"/>
      <c r="G503" s="23"/>
      <c r="H503" s="23"/>
      <c r="I503" s="23"/>
      <c r="J503" s="23"/>
      <c r="K503" s="23"/>
      <c r="L503" s="44"/>
      <c r="M503" s="44"/>
      <c r="N503" s="44"/>
      <c r="O503" s="44"/>
      <c r="P503" s="44"/>
      <c r="Q503" s="44"/>
      <c r="R503" s="44"/>
      <c r="S503" s="44"/>
    </row>
    <row r="504" spans="2:19" x14ac:dyDescent="0.3">
      <c r="B504" s="44" t="s">
        <v>340</v>
      </c>
      <c r="C504" s="7">
        <v>0.78300000000000003</v>
      </c>
      <c r="D504" s="44">
        <v>0.60099999999999998</v>
      </c>
      <c r="E504" s="44">
        <v>1.88</v>
      </c>
      <c r="F504" s="44">
        <f t="shared" ref="F504:F520" si="0">E504/0.009876</f>
        <v>190.36046982584043</v>
      </c>
      <c r="G504" s="44">
        <f t="shared" ref="G504:G520" si="1">F504*$D$316/$E$438</f>
        <v>15.894337788578371</v>
      </c>
      <c r="H504" s="44">
        <f t="shared" ref="H504:H512" si="2">1/E504</f>
        <v>0.53191489361702127</v>
      </c>
      <c r="I504" s="44">
        <f>G504/3.281</f>
        <v>4.8443577533003266</v>
      </c>
      <c r="J504" s="44">
        <f>$D$458</f>
        <v>5.2290650000000003</v>
      </c>
      <c r="K504" s="44" t="b">
        <f>I504&lt;J504</f>
        <v>1</v>
      </c>
      <c r="L504" s="50"/>
      <c r="M504" s="50"/>
      <c r="N504" s="50"/>
      <c r="O504" s="50"/>
      <c r="P504" s="50"/>
      <c r="Q504" s="50"/>
      <c r="R504" s="50"/>
      <c r="S504" s="50"/>
    </row>
    <row r="505" spans="2:19" x14ac:dyDescent="0.3">
      <c r="B505" s="44" t="s">
        <v>341</v>
      </c>
      <c r="C505" s="7">
        <v>0.65500000000000003</v>
      </c>
      <c r="D505" s="44">
        <v>0.53100000000000003</v>
      </c>
      <c r="E505" s="44">
        <v>2.5750000000000002</v>
      </c>
      <c r="F505" s="44">
        <f t="shared" si="0"/>
        <v>260.73309031996763</v>
      </c>
      <c r="G505" s="44">
        <f t="shared" si="1"/>
        <v>21.77017010935602</v>
      </c>
      <c r="H505" s="44">
        <f t="shared" si="2"/>
        <v>0.38834951456310679</v>
      </c>
      <c r="I505" s="44">
        <f>G505/3.281</f>
        <v>6.6352240503980546</v>
      </c>
      <c r="J505" s="44">
        <f t="shared" ref="J505:J520" si="3">$D$458</f>
        <v>5.2290650000000003</v>
      </c>
      <c r="K505" s="44" t="b">
        <f t="shared" ref="K505:K516" si="4">I505&lt;J505</f>
        <v>0</v>
      </c>
      <c r="L505" s="50"/>
      <c r="M505" s="50"/>
      <c r="N505" s="50"/>
      <c r="O505" s="50"/>
      <c r="P505" s="50"/>
      <c r="Q505" s="50"/>
      <c r="R505" s="50"/>
      <c r="S505" s="50"/>
    </row>
    <row r="506" spans="2:19" x14ac:dyDescent="0.3">
      <c r="B506" s="98" t="s">
        <v>342</v>
      </c>
      <c r="C506" s="7">
        <v>0.78</v>
      </c>
      <c r="D506" s="44">
        <v>0.59199999999999997</v>
      </c>
      <c r="E506" s="44">
        <v>1.89</v>
      </c>
      <c r="F506" s="44">
        <f t="shared" si="0"/>
        <v>191.3730255164034</v>
      </c>
      <c r="G506" s="44">
        <f t="shared" si="1"/>
        <v>15.978882138517619</v>
      </c>
      <c r="H506" s="44">
        <f t="shared" si="2"/>
        <v>0.52910052910052918</v>
      </c>
      <c r="I506" s="44">
        <f>G506/3.281</f>
        <v>4.870125613690222</v>
      </c>
      <c r="J506" s="44">
        <f t="shared" si="3"/>
        <v>5.2290650000000003</v>
      </c>
      <c r="K506" s="44" t="b">
        <f t="shared" si="4"/>
        <v>1</v>
      </c>
      <c r="L506" s="50"/>
      <c r="M506" s="50"/>
      <c r="N506" s="50"/>
      <c r="O506" s="50"/>
      <c r="P506" s="50"/>
      <c r="Q506" s="50"/>
      <c r="R506" s="50"/>
      <c r="S506" s="50"/>
    </row>
    <row r="507" spans="2:19" x14ac:dyDescent="0.3">
      <c r="B507" s="44" t="s">
        <v>343</v>
      </c>
      <c r="C507" s="7">
        <v>0.75</v>
      </c>
      <c r="D507" s="44">
        <v>0.48799999999999999</v>
      </c>
      <c r="E507" s="44">
        <v>2.39</v>
      </c>
      <c r="F507" s="44">
        <f t="shared" si="0"/>
        <v>242.00081004455248</v>
      </c>
      <c r="G507" s="44">
        <f t="shared" si="1"/>
        <v>20.206099635479955</v>
      </c>
      <c r="H507" s="44">
        <f t="shared" si="2"/>
        <v>0.41841004184100417</v>
      </c>
      <c r="I507" s="44">
        <f>G507/3.281</f>
        <v>6.1585186331849906</v>
      </c>
      <c r="J507" s="44">
        <f t="shared" si="3"/>
        <v>5.2290650000000003</v>
      </c>
      <c r="K507" s="44" t="b">
        <f t="shared" si="4"/>
        <v>0</v>
      </c>
      <c r="L507" s="50"/>
      <c r="M507" s="50"/>
      <c r="N507" s="50"/>
      <c r="O507" s="50"/>
      <c r="P507" s="50"/>
      <c r="Q507" s="50"/>
      <c r="R507" s="50"/>
      <c r="S507" s="50"/>
    </row>
    <row r="508" spans="2:19" x14ac:dyDescent="0.3">
      <c r="B508" s="99" t="s">
        <v>344</v>
      </c>
      <c r="C508" s="7">
        <v>0.78300000000000003</v>
      </c>
      <c r="D508" s="44">
        <v>0.60099999999999998</v>
      </c>
      <c r="E508" s="44">
        <v>1.88</v>
      </c>
      <c r="F508" s="100">
        <f t="shared" si="0"/>
        <v>190.36046982584043</v>
      </c>
      <c r="G508" s="100">
        <f t="shared" si="1"/>
        <v>15.894337788578371</v>
      </c>
      <c r="H508" s="100">
        <f t="shared" si="2"/>
        <v>0.53191489361702127</v>
      </c>
      <c r="I508" s="100">
        <f t="shared" ref="I508:I520" si="5">G508/3.281</f>
        <v>4.8443577533003266</v>
      </c>
      <c r="J508" s="100">
        <f t="shared" si="3"/>
        <v>5.2290650000000003</v>
      </c>
      <c r="K508" s="100" t="b">
        <f t="shared" si="4"/>
        <v>1</v>
      </c>
      <c r="L508" s="50"/>
      <c r="M508" s="50"/>
      <c r="N508" s="50"/>
      <c r="O508" s="50"/>
      <c r="P508" s="50"/>
      <c r="Q508" s="50"/>
      <c r="R508" s="50"/>
      <c r="S508" s="50"/>
    </row>
    <row r="509" spans="2:19" x14ac:dyDescent="0.3">
      <c r="B509" s="100" t="s">
        <v>345</v>
      </c>
      <c r="C509" s="24">
        <v>0.72</v>
      </c>
      <c r="D509" s="100">
        <v>0.51700000000000002</v>
      </c>
      <c r="E509" s="100">
        <v>2.42</v>
      </c>
      <c r="F509" s="100">
        <f t="shared" si="0"/>
        <v>245.03847711624141</v>
      </c>
      <c r="G509" s="100">
        <f t="shared" si="1"/>
        <v>20.459732685297695</v>
      </c>
      <c r="H509" s="100">
        <f t="shared" si="2"/>
        <v>0.41322314049586778</v>
      </c>
      <c r="I509" s="100">
        <f t="shared" si="5"/>
        <v>6.2358222143546769</v>
      </c>
      <c r="J509" s="100">
        <f t="shared" si="3"/>
        <v>5.2290650000000003</v>
      </c>
      <c r="K509" s="100" t="b">
        <f t="shared" si="4"/>
        <v>0</v>
      </c>
      <c r="L509" s="50"/>
      <c r="M509" s="50"/>
      <c r="N509" s="50"/>
      <c r="O509" s="50"/>
      <c r="P509" s="50"/>
      <c r="Q509" s="50"/>
      <c r="R509" s="50"/>
      <c r="S509" s="50"/>
    </row>
    <row r="510" spans="2:19" x14ac:dyDescent="0.3">
      <c r="B510" s="100" t="s">
        <v>346</v>
      </c>
      <c r="C510" s="24">
        <v>0.76</v>
      </c>
      <c r="D510" s="100">
        <v>0.50600000000000001</v>
      </c>
      <c r="E510" s="100">
        <v>2.3250000000000002</v>
      </c>
      <c r="F510" s="100">
        <f t="shared" si="0"/>
        <v>235.4191980558931</v>
      </c>
      <c r="G510" s="100">
        <f t="shared" si="1"/>
        <v>19.65656136087485</v>
      </c>
      <c r="H510" s="100">
        <f t="shared" si="2"/>
        <v>0.43010752688172038</v>
      </c>
      <c r="I510" s="100">
        <f t="shared" si="5"/>
        <v>5.9910275406506699</v>
      </c>
      <c r="J510" s="100">
        <f t="shared" si="3"/>
        <v>5.2290650000000003</v>
      </c>
      <c r="K510" s="100" t="b">
        <f t="shared" si="4"/>
        <v>0</v>
      </c>
      <c r="L510" s="50"/>
      <c r="M510" s="50"/>
      <c r="N510" s="50"/>
      <c r="O510" s="50"/>
      <c r="P510" s="50"/>
      <c r="Q510" s="50"/>
      <c r="R510" s="50"/>
      <c r="S510" s="50"/>
    </row>
    <row r="511" spans="2:19" x14ac:dyDescent="0.3">
      <c r="B511" s="100" t="s">
        <v>347</v>
      </c>
      <c r="C511" s="24">
        <v>0.82</v>
      </c>
      <c r="D511" s="100">
        <v>0.49</v>
      </c>
      <c r="E511" s="100">
        <v>2.2400000000000002</v>
      </c>
      <c r="F511" s="100">
        <f t="shared" si="0"/>
        <v>226.81247468610778</v>
      </c>
      <c r="G511" s="100">
        <f t="shared" si="1"/>
        <v>18.937934386391255</v>
      </c>
      <c r="H511" s="100">
        <f t="shared" si="2"/>
        <v>0.4464285714285714</v>
      </c>
      <c r="I511" s="100">
        <f t="shared" si="5"/>
        <v>5.7720007273365601</v>
      </c>
      <c r="J511" s="100">
        <f t="shared" si="3"/>
        <v>5.2290650000000003</v>
      </c>
      <c r="K511" s="100" t="b">
        <f t="shared" si="4"/>
        <v>0</v>
      </c>
      <c r="L511" s="50"/>
      <c r="M511" s="50"/>
      <c r="N511" s="50"/>
      <c r="O511" s="50"/>
      <c r="P511" s="50"/>
      <c r="Q511" s="50"/>
      <c r="R511" s="50"/>
      <c r="S511" s="50"/>
    </row>
    <row r="512" spans="2:19" x14ac:dyDescent="0.3">
      <c r="B512" s="101" t="s">
        <v>348</v>
      </c>
      <c r="C512" s="25">
        <v>0.74</v>
      </c>
      <c r="D512" s="101">
        <v>0.52100000000000002</v>
      </c>
      <c r="E512" s="101">
        <v>2.33</v>
      </c>
      <c r="F512" s="101">
        <f t="shared" si="0"/>
        <v>235.92547590117459</v>
      </c>
      <c r="G512" s="101">
        <f t="shared" si="1"/>
        <v>19.698833535844471</v>
      </c>
      <c r="H512" s="101">
        <f t="shared" si="2"/>
        <v>0.42918454935622319</v>
      </c>
      <c r="I512" s="101">
        <f t="shared" si="5"/>
        <v>6.0039114708456172</v>
      </c>
      <c r="J512" s="101">
        <f t="shared" si="3"/>
        <v>5.2290650000000003</v>
      </c>
      <c r="K512" s="101" t="b">
        <f t="shared" si="4"/>
        <v>0</v>
      </c>
      <c r="L512" s="50"/>
      <c r="M512" s="50"/>
      <c r="N512" s="50"/>
      <c r="O512" s="50"/>
      <c r="P512" s="50"/>
      <c r="Q512" s="50"/>
      <c r="R512" s="50"/>
      <c r="S512" s="50"/>
    </row>
    <row r="513" spans="1:19" x14ac:dyDescent="0.3">
      <c r="B513" s="101" t="s">
        <v>349</v>
      </c>
      <c r="C513" s="25">
        <v>0.72499999999999998</v>
      </c>
      <c r="D513" s="101">
        <v>0.52500000000000002</v>
      </c>
      <c r="E513" s="101">
        <v>2.37</v>
      </c>
      <c r="F513" s="101">
        <f t="shared" si="0"/>
        <v>239.97569866342653</v>
      </c>
      <c r="G513" s="101">
        <f t="shared" si="1"/>
        <v>20.037010935601462</v>
      </c>
      <c r="H513" s="101">
        <f t="shared" ref="H513:H520" si="6">1/E513</f>
        <v>0.42194092827004215</v>
      </c>
      <c r="I513" s="101">
        <f t="shared" si="5"/>
        <v>6.1069829124051997</v>
      </c>
      <c r="J513" s="101">
        <f t="shared" si="3"/>
        <v>5.2290650000000003</v>
      </c>
      <c r="K513" s="101" t="b">
        <f t="shared" si="4"/>
        <v>0</v>
      </c>
      <c r="L513" s="50"/>
      <c r="M513" s="50"/>
      <c r="N513" s="50"/>
      <c r="O513" s="50"/>
      <c r="P513" s="50"/>
      <c r="Q513" s="50"/>
      <c r="R513" s="50"/>
      <c r="S513" s="50"/>
    </row>
    <row r="514" spans="1:19" x14ac:dyDescent="0.3">
      <c r="B514" s="101" t="s">
        <v>350</v>
      </c>
      <c r="C514" s="25">
        <v>0.74</v>
      </c>
      <c r="D514" s="101">
        <v>0.51400000000000001</v>
      </c>
      <c r="E514" s="101">
        <v>2.3479999999999999</v>
      </c>
      <c r="F514" s="101">
        <f t="shared" si="0"/>
        <v>237.74807614418793</v>
      </c>
      <c r="G514" s="101">
        <f t="shared" si="1"/>
        <v>19.851013365735117</v>
      </c>
      <c r="H514" s="101">
        <f t="shared" si="6"/>
        <v>0.42589437819420783</v>
      </c>
      <c r="I514" s="101">
        <f t="shared" si="5"/>
        <v>6.0502936195474293</v>
      </c>
      <c r="J514" s="101">
        <f t="shared" si="3"/>
        <v>5.2290650000000003</v>
      </c>
      <c r="K514" s="101" t="b">
        <f t="shared" si="4"/>
        <v>0</v>
      </c>
      <c r="L514" s="50"/>
      <c r="M514" s="50"/>
      <c r="N514" s="50"/>
      <c r="O514" s="50"/>
      <c r="P514" s="50"/>
      <c r="Q514" s="50"/>
      <c r="R514" s="50"/>
      <c r="S514" s="50"/>
    </row>
    <row r="515" spans="1:19" x14ac:dyDescent="0.3">
      <c r="B515" s="101" t="s">
        <v>351</v>
      </c>
      <c r="C515" s="25">
        <v>0.77</v>
      </c>
      <c r="D515" s="101">
        <v>0.505</v>
      </c>
      <c r="E515" s="101">
        <v>2.2999999999999998</v>
      </c>
      <c r="F515" s="101">
        <f t="shared" si="0"/>
        <v>232.88780882948561</v>
      </c>
      <c r="G515" s="101">
        <f t="shared" si="1"/>
        <v>19.445200486026732</v>
      </c>
      <c r="H515" s="101">
        <f t="shared" si="6"/>
        <v>0.43478260869565222</v>
      </c>
      <c r="I515" s="101">
        <f t="shared" si="5"/>
        <v>5.9266078896759318</v>
      </c>
      <c r="J515" s="101">
        <f t="shared" si="3"/>
        <v>5.2290650000000003</v>
      </c>
      <c r="K515" s="101" t="b">
        <f t="shared" si="4"/>
        <v>0</v>
      </c>
      <c r="L515" s="50"/>
      <c r="M515" s="50"/>
      <c r="N515" s="50"/>
      <c r="O515" s="50"/>
      <c r="P515" s="50"/>
      <c r="Q515" s="50"/>
      <c r="R515" s="50"/>
      <c r="S515" s="50"/>
    </row>
    <row r="516" spans="1:19" x14ac:dyDescent="0.3">
      <c r="B516" s="102" t="s">
        <v>352</v>
      </c>
      <c r="C516" s="26">
        <v>0.98399999999999999</v>
      </c>
      <c r="D516" s="103">
        <v>0.57299999999999995</v>
      </c>
      <c r="E516" s="103">
        <v>1.69</v>
      </c>
      <c r="F516" s="103">
        <f t="shared" si="0"/>
        <v>171.12191170514379</v>
      </c>
      <c r="G516" s="103">
        <f t="shared" si="1"/>
        <v>14.287995139732686</v>
      </c>
      <c r="H516" s="103">
        <f t="shared" si="6"/>
        <v>0.59171597633136097</v>
      </c>
      <c r="I516" s="103">
        <f t="shared" si="5"/>
        <v>4.3547684058923153</v>
      </c>
      <c r="J516" s="103">
        <f t="shared" si="3"/>
        <v>5.2290650000000003</v>
      </c>
      <c r="K516" s="103" t="b">
        <f t="shared" si="4"/>
        <v>1</v>
      </c>
      <c r="L516" s="50"/>
      <c r="M516" s="50"/>
      <c r="N516" s="50"/>
      <c r="O516" s="50"/>
      <c r="P516" s="50"/>
      <c r="Q516" s="50"/>
      <c r="R516" s="50"/>
      <c r="S516" s="50"/>
    </row>
    <row r="517" spans="1:19" x14ac:dyDescent="0.3">
      <c r="B517" s="104" t="s">
        <v>353</v>
      </c>
      <c r="C517" s="27">
        <v>0.79</v>
      </c>
      <c r="D517" s="104">
        <v>0.51</v>
      </c>
      <c r="E517" s="104">
        <v>2.25</v>
      </c>
      <c r="F517" s="104">
        <f t="shared" si="0"/>
        <v>227.82503037667072</v>
      </c>
      <c r="G517" s="104">
        <f t="shared" si="1"/>
        <v>19.022478736330498</v>
      </c>
      <c r="H517" s="104">
        <f t="shared" si="6"/>
        <v>0.44444444444444442</v>
      </c>
      <c r="I517" s="104">
        <f t="shared" si="5"/>
        <v>5.7977685877264546</v>
      </c>
      <c r="J517" s="104">
        <f t="shared" si="3"/>
        <v>5.2290650000000003</v>
      </c>
      <c r="K517" s="104" t="b">
        <f>I517&lt;J517</f>
        <v>0</v>
      </c>
      <c r="L517" s="50"/>
      <c r="M517" s="50"/>
      <c r="N517" s="50"/>
      <c r="O517" s="50"/>
      <c r="P517" s="50"/>
      <c r="Q517" s="50"/>
      <c r="R517" s="50"/>
      <c r="S517" s="50"/>
    </row>
    <row r="518" spans="1:19" x14ac:dyDescent="0.3">
      <c r="B518" s="104" t="s">
        <v>354</v>
      </c>
      <c r="C518" s="27">
        <v>0.77</v>
      </c>
      <c r="D518" s="104">
        <v>0.51300000000000001</v>
      </c>
      <c r="E518" s="104">
        <v>2.27</v>
      </c>
      <c r="F518" s="104">
        <f t="shared" si="0"/>
        <v>229.85014175779671</v>
      </c>
      <c r="G518" s="104">
        <f t="shared" si="1"/>
        <v>19.191567436208992</v>
      </c>
      <c r="H518" s="104">
        <f t="shared" si="6"/>
        <v>0.44052863436123346</v>
      </c>
      <c r="I518" s="104">
        <f t="shared" si="5"/>
        <v>5.8493043085062455</v>
      </c>
      <c r="J518" s="104">
        <f t="shared" si="3"/>
        <v>5.2290650000000003</v>
      </c>
      <c r="K518" s="104" t="b">
        <f>I518&lt;J518</f>
        <v>0</v>
      </c>
      <c r="L518" s="50"/>
      <c r="M518" s="50"/>
      <c r="N518" s="50"/>
      <c r="O518" s="50"/>
      <c r="P518" s="50"/>
      <c r="Q518" s="50"/>
      <c r="R518" s="50"/>
      <c r="S518" s="50"/>
    </row>
    <row r="519" spans="1:19" x14ac:dyDescent="0.3">
      <c r="B519" s="104" t="s">
        <v>355</v>
      </c>
      <c r="C519" s="27">
        <v>0.78</v>
      </c>
      <c r="D519" s="104">
        <v>0.51200000000000001</v>
      </c>
      <c r="E519" s="104">
        <v>2.2799999999999998</v>
      </c>
      <c r="F519" s="104">
        <f t="shared" si="0"/>
        <v>230.86269744835965</v>
      </c>
      <c r="G519" s="104">
        <f t="shared" si="1"/>
        <v>19.276111786148238</v>
      </c>
      <c r="H519" s="104">
        <f t="shared" si="6"/>
        <v>0.43859649122807021</v>
      </c>
      <c r="I519" s="104">
        <f t="shared" si="5"/>
        <v>5.8750721688961409</v>
      </c>
      <c r="J519" s="104">
        <f t="shared" si="3"/>
        <v>5.2290650000000003</v>
      </c>
      <c r="K519" s="104" t="b">
        <f>I519&lt;J519</f>
        <v>0</v>
      </c>
      <c r="L519" s="50"/>
      <c r="M519" s="50"/>
      <c r="N519" s="50"/>
      <c r="O519" s="50"/>
      <c r="P519" s="50"/>
      <c r="Q519" s="50"/>
      <c r="R519" s="50"/>
      <c r="S519" s="50"/>
    </row>
    <row r="520" spans="1:19" x14ac:dyDescent="0.3">
      <c r="B520" s="104" t="s">
        <v>356</v>
      </c>
      <c r="C520" s="27">
        <v>0.68</v>
      </c>
      <c r="D520" s="104">
        <v>0.502</v>
      </c>
      <c r="E520" s="104">
        <v>2.25</v>
      </c>
      <c r="F520" s="104">
        <f t="shared" si="0"/>
        <v>227.82503037667072</v>
      </c>
      <c r="G520" s="104">
        <f t="shared" si="1"/>
        <v>19.022478736330498</v>
      </c>
      <c r="H520" s="104">
        <f t="shared" si="6"/>
        <v>0.44444444444444442</v>
      </c>
      <c r="I520" s="104">
        <f t="shared" si="5"/>
        <v>5.7977685877264546</v>
      </c>
      <c r="J520" s="104">
        <f t="shared" si="3"/>
        <v>5.2290650000000003</v>
      </c>
      <c r="K520" s="104" t="b">
        <f>I520&lt;J520</f>
        <v>0</v>
      </c>
      <c r="L520" s="50"/>
      <c r="M520" s="50"/>
      <c r="N520" s="50"/>
      <c r="O520" s="50"/>
      <c r="P520" s="50"/>
      <c r="Q520" s="50"/>
      <c r="R520" s="50"/>
      <c r="S520" s="50"/>
    </row>
    <row r="522" spans="1:19" x14ac:dyDescent="0.3">
      <c r="A522" s="4">
        <v>31</v>
      </c>
      <c r="B522" s="10" t="s">
        <v>360</v>
      </c>
      <c r="C522" s="4" t="s">
        <v>252</v>
      </c>
    </row>
    <row r="523" spans="1:19" x14ac:dyDescent="0.3">
      <c r="B523" s="10" t="s">
        <v>436</v>
      </c>
      <c r="C523" s="4" t="s">
        <v>252</v>
      </c>
      <c r="D523" s="10" t="s">
        <v>420</v>
      </c>
    </row>
    <row r="524" spans="1:19" x14ac:dyDescent="0.3">
      <c r="B524" s="10" t="s">
        <v>414</v>
      </c>
      <c r="C524" s="4" t="s">
        <v>252</v>
      </c>
      <c r="D524" s="10">
        <f>(1.3+0.3*D401)*$D$312/(($D$538-$D$461)*$D$458^2)+$D$527</f>
        <v>0.20061665917461893</v>
      </c>
      <c r="E524" s="10" t="s">
        <v>232</v>
      </c>
    </row>
    <row r="525" spans="1:19" x14ac:dyDescent="0.3">
      <c r="C525" s="4" t="s">
        <v>252</v>
      </c>
      <c r="D525" s="10">
        <f>(1.3+0.3*D401)*$D$312/(($D$538-D461)*$D$458^2)+$D$527</f>
        <v>0.20061665917461893</v>
      </c>
      <c r="E525" s="10" t="s">
        <v>193</v>
      </c>
    </row>
    <row r="527" spans="1:19" x14ac:dyDescent="0.3">
      <c r="A527" s="4">
        <v>32</v>
      </c>
      <c r="B527" s="10" t="s">
        <v>410</v>
      </c>
      <c r="C527" s="4" t="s">
        <v>252</v>
      </c>
      <c r="D527" s="10">
        <v>0.2</v>
      </c>
      <c r="E527" s="10" t="s">
        <v>411</v>
      </c>
    </row>
    <row r="528" spans="1:19" x14ac:dyDescent="0.3">
      <c r="C528" s="4" t="s">
        <v>252</v>
      </c>
      <c r="D528" s="10">
        <v>0.1</v>
      </c>
      <c r="E528" s="10" t="s">
        <v>412</v>
      </c>
    </row>
    <row r="529" spans="1:19" x14ac:dyDescent="0.3">
      <c r="C529" s="4" t="s">
        <v>252</v>
      </c>
      <c r="D529" s="10">
        <v>0</v>
      </c>
      <c r="E529" s="10" t="s">
        <v>413</v>
      </c>
    </row>
    <row r="531" spans="1:19" x14ac:dyDescent="0.3">
      <c r="A531" s="4">
        <v>32</v>
      </c>
      <c r="B531" s="10" t="s">
        <v>365</v>
      </c>
      <c r="C531" s="4" t="s">
        <v>252</v>
      </c>
      <c r="D531" s="10">
        <f>D26*D27*D533</f>
        <v>29.138589091800004</v>
      </c>
    </row>
    <row r="533" spans="1:19" x14ac:dyDescent="0.3">
      <c r="A533" s="4">
        <v>33</v>
      </c>
      <c r="B533" s="10" t="s">
        <v>370</v>
      </c>
      <c r="C533" s="4" t="s">
        <v>252</v>
      </c>
      <c r="D533" s="10">
        <v>2.9</v>
      </c>
      <c r="E533" s="10" t="s">
        <v>377</v>
      </c>
    </row>
    <row r="535" spans="1:19" x14ac:dyDescent="0.3">
      <c r="A535" s="4">
        <v>34</v>
      </c>
      <c r="B535" s="10" t="s">
        <v>371</v>
      </c>
      <c r="C535" s="4" t="s">
        <v>252</v>
      </c>
      <c r="D535" s="10">
        <v>101325</v>
      </c>
      <c r="E535" s="10" t="s">
        <v>372</v>
      </c>
    </row>
    <row r="537" spans="1:19" x14ac:dyDescent="0.3">
      <c r="A537" s="4">
        <v>35</v>
      </c>
      <c r="B537" s="10" t="s">
        <v>373</v>
      </c>
      <c r="C537" s="4" t="s">
        <v>252</v>
      </c>
      <c r="D537" s="10" t="s">
        <v>374</v>
      </c>
    </row>
    <row r="538" spans="1:19" x14ac:dyDescent="0.3">
      <c r="C538" s="4" t="s">
        <v>252</v>
      </c>
      <c r="D538" s="10">
        <f>D535+D531</f>
        <v>101354.1385890918</v>
      </c>
      <c r="E538" s="10" t="s">
        <v>193</v>
      </c>
    </row>
    <row r="539" spans="1:19" x14ac:dyDescent="0.3">
      <c r="C539" s="4" t="s">
        <v>252</v>
      </c>
    </row>
    <row r="541" spans="1:19" ht="14.4" x14ac:dyDescent="0.3">
      <c r="A541" s="4" t="s">
        <v>471</v>
      </c>
      <c r="B541" s="176" t="s">
        <v>423</v>
      </c>
      <c r="C541" s="176"/>
      <c r="D541" s="29" t="s">
        <v>424</v>
      </c>
      <c r="E541" s="29" t="s">
        <v>319</v>
      </c>
      <c r="F541" s="29" t="s">
        <v>425</v>
      </c>
      <c r="G541" s="29" t="s">
        <v>426</v>
      </c>
      <c r="H541" s="29" t="s">
        <v>403</v>
      </c>
      <c r="I541" s="29" t="s">
        <v>427</v>
      </c>
      <c r="J541" s="105" t="s">
        <v>428</v>
      </c>
      <c r="K541" s="106" t="s">
        <v>429</v>
      </c>
      <c r="L541" s="29" t="s">
        <v>430</v>
      </c>
      <c r="M541" s="29" t="s">
        <v>431</v>
      </c>
      <c r="N541" s="29" t="s">
        <v>436</v>
      </c>
      <c r="O541" s="29" t="s">
        <v>436</v>
      </c>
      <c r="P541" s="29"/>
      <c r="Q541" s="29" t="s">
        <v>473</v>
      </c>
      <c r="R541" s="29"/>
      <c r="S541" s="29" t="s">
        <v>446</v>
      </c>
    </row>
    <row r="542" spans="1:19" ht="13.8" x14ac:dyDescent="0.3">
      <c r="B542" s="29"/>
      <c r="C542" s="28"/>
      <c r="D542" s="29"/>
      <c r="E542" s="29"/>
      <c r="F542" s="29"/>
      <c r="G542" s="29"/>
      <c r="H542" s="29" t="s">
        <v>193</v>
      </c>
      <c r="I542" s="29"/>
      <c r="J542" s="105"/>
      <c r="K542" s="106"/>
      <c r="L542" s="29"/>
      <c r="M542" s="29"/>
      <c r="N542" s="29"/>
      <c r="O542" s="29"/>
      <c r="P542" s="29"/>
      <c r="Q542" s="29"/>
      <c r="R542" s="107"/>
    </row>
    <row r="543" spans="1:19" x14ac:dyDescent="0.3">
      <c r="A543" s="4">
        <v>3</v>
      </c>
      <c r="B543" s="44" t="s">
        <v>340</v>
      </c>
      <c r="C543" s="7"/>
      <c r="D543" s="44">
        <v>0.35</v>
      </c>
      <c r="E543" s="44">
        <f>C504</f>
        <v>0.78300000000000003</v>
      </c>
      <c r="F543" s="108">
        <f>I504</f>
        <v>4.8443577533003266</v>
      </c>
      <c r="G543" s="108">
        <f>$D$458</f>
        <v>5.2290650000000003</v>
      </c>
      <c r="H543" s="44">
        <f>SQRT($D$315^2+(22/7*$E$439*0.7*F543)^2)</f>
        <v>24.863322247940566</v>
      </c>
      <c r="I543" s="44">
        <f>0.5*$D$26*H543^2</f>
        <v>317.12879891413235</v>
      </c>
      <c r="J543" s="44">
        <f t="shared" ref="J543:J559" si="7">($D$538-$D$461)/I543</f>
        <v>314.33013630554126</v>
      </c>
      <c r="K543" s="44">
        <f>0.715*J543^0.184-0.437</f>
        <v>1.6228000750828226</v>
      </c>
      <c r="L543" s="44">
        <f t="shared" ref="L543:L559" si="8">$D$312/(0.5*$D$26*H543^2*K543)</f>
        <v>1.484538957646653</v>
      </c>
      <c r="M543" s="44">
        <f>L543/(1.067-0.229*C504)</f>
        <v>1.6723562736741791</v>
      </c>
      <c r="N543" s="44">
        <f>$D$393/ ((0.5*$D$26*H543^2*K543) * (1.067-0.229*C504) * (22/7*I504^2/4))</f>
        <v>90.696752743011771</v>
      </c>
      <c r="O543" s="44">
        <f>((1.3+0.3*A543)*$D$393 / (($D$538-$D$461)*F543^2)) + $D$527</f>
        <v>0.91849022153803372</v>
      </c>
      <c r="P543" s="44" t="str">
        <f>IF(F543 &lt; G543, "Terpenuhi", "Tidak Terpenuhi")</f>
        <v>Terpenuhi</v>
      </c>
      <c r="Q543" s="44" t="str">
        <f>IF(O543&lt;D543, "Terpenuhi", "Tidak terpenuhi")</f>
        <v>Tidak terpenuhi</v>
      </c>
      <c r="R543" s="31"/>
      <c r="S543" s="10">
        <f>N543/D543*100</f>
        <v>25913.357926574794</v>
      </c>
    </row>
    <row r="544" spans="1:19" x14ac:dyDescent="0.3">
      <c r="A544" s="4">
        <v>3</v>
      </c>
      <c r="B544" s="44" t="s">
        <v>341</v>
      </c>
      <c r="C544" s="7"/>
      <c r="D544" s="44">
        <v>0.5</v>
      </c>
      <c r="E544" s="44">
        <f t="shared" ref="E544:E559" si="9">C505</f>
        <v>0.65500000000000003</v>
      </c>
      <c r="F544" s="108">
        <f t="shared" ref="F544:F559" si="10">I505</f>
        <v>6.6352240503980546</v>
      </c>
      <c r="G544" s="108">
        <f t="shared" ref="G544:G559" si="11">$D$458</f>
        <v>5.2290650000000003</v>
      </c>
      <c r="H544" s="44">
        <f t="shared" ref="H544:H559" si="12">SQRT($D$315^2+(22/7*$E$439*0.7*F544)^2)</f>
        <v>33.612742463802803</v>
      </c>
      <c r="I544" s="44">
        <f t="shared" ref="I544:I559" si="13">0.5*$D$26*H544^2</f>
        <v>579.5958418961593</v>
      </c>
      <c r="J544" s="44">
        <f t="shared" si="7"/>
        <v>171.98732527648306</v>
      </c>
      <c r="K544" s="44">
        <f t="shared" ref="K544:K559" si="14">0.715*J544^0.184-0.437</f>
        <v>1.4064755723992821</v>
      </c>
      <c r="L544" s="44">
        <f t="shared" si="8"/>
        <v>0.93720553735981837</v>
      </c>
      <c r="M544" s="44">
        <f t="shared" ref="M544:M559" si="15">L544/(1.067-0.229*C505)</f>
        <v>1.0220288192101661</v>
      </c>
      <c r="N544" s="44">
        <f t="shared" ref="N544:N559" si="16">$D$393/ ((0.5*$D$26*H544^2*K544)*(1.067-0.229*C505)*(22/7*I505^2/4))</f>
        <v>29.54522545515055</v>
      </c>
      <c r="O544" s="44">
        <f t="shared" ref="O544:O559" si="17">((1.3+0.3*A544)*$D$393 / (($D$538-$D$461)*F544^2)) + $D$527</f>
        <v>0.58298529007507227</v>
      </c>
      <c r="P544" s="44" t="str">
        <f t="shared" ref="P544:P559" si="18">IF(F544 &lt; G544, "Terpenuhi", "Tidak Terpenuhi")</f>
        <v>Tidak Terpenuhi</v>
      </c>
      <c r="Q544" s="44" t="str">
        <f t="shared" ref="Q544:Q559" si="19">IF(O544&lt;D544, "Terpenuhi", "Tidak terpenuhi")</f>
        <v>Tidak terpenuhi</v>
      </c>
      <c r="R544" s="31"/>
      <c r="S544" s="10">
        <f t="shared" ref="S544:S559" si="20">N544/D544*100</f>
        <v>5909.0450910301097</v>
      </c>
    </row>
    <row r="545" spans="1:19" x14ac:dyDescent="0.3">
      <c r="A545" s="4">
        <v>3</v>
      </c>
      <c r="B545" s="44" t="s">
        <v>342</v>
      </c>
      <c r="C545" s="7"/>
      <c r="D545" s="44">
        <v>0.65</v>
      </c>
      <c r="E545" s="44">
        <f t="shared" si="9"/>
        <v>0.78</v>
      </c>
      <c r="F545" s="108">
        <f t="shared" si="10"/>
        <v>4.870125613690222</v>
      </c>
      <c r="G545" s="108">
        <f t="shared" si="11"/>
        <v>5.2290650000000003</v>
      </c>
      <c r="H545" s="44">
        <f t="shared" si="12"/>
        <v>24.988286866953807</v>
      </c>
      <c r="I545" s="44">
        <f t="shared" si="13"/>
        <v>320.3246285196754</v>
      </c>
      <c r="J545" s="44">
        <f t="shared" si="7"/>
        <v>311.19411282785251</v>
      </c>
      <c r="K545" s="44">
        <f t="shared" si="14"/>
        <v>1.6190033328254161</v>
      </c>
      <c r="L545" s="44">
        <f t="shared" si="8"/>
        <v>1.4731746154615237</v>
      </c>
      <c r="M545" s="44">
        <f t="shared" si="15"/>
        <v>1.6582708024286046</v>
      </c>
      <c r="N545" s="44">
        <f t="shared" si="16"/>
        <v>88.983703809042638</v>
      </c>
      <c r="O545" s="44">
        <f t="shared" si="17"/>
        <v>0.91090726435542857</v>
      </c>
      <c r="P545" s="44" t="str">
        <f t="shared" si="18"/>
        <v>Terpenuhi</v>
      </c>
      <c r="Q545" s="44" t="str">
        <f t="shared" si="19"/>
        <v>Tidak terpenuhi</v>
      </c>
      <c r="R545" s="31"/>
      <c r="S545" s="10">
        <f t="shared" si="20"/>
        <v>13689.800586006559</v>
      </c>
    </row>
    <row r="546" spans="1:19" x14ac:dyDescent="0.3">
      <c r="A546" s="4">
        <v>3</v>
      </c>
      <c r="B546" s="44" t="s">
        <v>343</v>
      </c>
      <c r="C546" s="7"/>
      <c r="D546" s="44">
        <v>0.8</v>
      </c>
      <c r="E546" s="44">
        <f t="shared" si="9"/>
        <v>0.75</v>
      </c>
      <c r="F546" s="108">
        <f t="shared" si="10"/>
        <v>6.1585186331849906</v>
      </c>
      <c r="G546" s="108">
        <f t="shared" si="11"/>
        <v>5.2290650000000003</v>
      </c>
      <c r="H546" s="44">
        <f t="shared" si="12"/>
        <v>31.27356695428583</v>
      </c>
      <c r="I546" s="44">
        <f t="shared" si="13"/>
        <v>501.73246289267394</v>
      </c>
      <c r="J546" s="44">
        <f t="shared" si="7"/>
        <v>198.67787309272654</v>
      </c>
      <c r="K546" s="44">
        <f t="shared" si="14"/>
        <v>1.456065105029908</v>
      </c>
      <c r="L546" s="44">
        <f t="shared" si="8"/>
        <v>1.0457775278760202</v>
      </c>
      <c r="M546" s="44">
        <f t="shared" si="15"/>
        <v>1.1681402154437535</v>
      </c>
      <c r="N546" s="44">
        <f t="shared" si="16"/>
        <v>39.199254410309351</v>
      </c>
      <c r="O546" s="44">
        <f t="shared" si="17"/>
        <v>0.64457062008788812</v>
      </c>
      <c r="P546" s="44" t="str">
        <f t="shared" si="18"/>
        <v>Tidak Terpenuhi</v>
      </c>
      <c r="Q546" s="44" t="str">
        <f t="shared" si="19"/>
        <v>Terpenuhi</v>
      </c>
      <c r="R546" s="31"/>
      <c r="S546" s="10">
        <f t="shared" si="20"/>
        <v>4899.9068012886692</v>
      </c>
    </row>
    <row r="547" spans="1:19" x14ac:dyDescent="0.3">
      <c r="A547" s="4">
        <v>4</v>
      </c>
      <c r="B547" s="109" t="s">
        <v>344</v>
      </c>
      <c r="C547" s="30"/>
      <c r="D547" s="109">
        <v>0.55000000000000004</v>
      </c>
      <c r="E547" s="100">
        <f t="shared" si="9"/>
        <v>0.78300000000000003</v>
      </c>
      <c r="F547" s="110">
        <f t="shared" si="10"/>
        <v>4.8443577533003266</v>
      </c>
      <c r="G547" s="110">
        <f t="shared" si="11"/>
        <v>5.2290650000000003</v>
      </c>
      <c r="H547" s="100">
        <f t="shared" si="12"/>
        <v>24.863322247940566</v>
      </c>
      <c r="I547" s="100">
        <f t="shared" si="13"/>
        <v>317.12879891413235</v>
      </c>
      <c r="J547" s="100">
        <f t="shared" si="7"/>
        <v>314.33013630554126</v>
      </c>
      <c r="K547" s="100">
        <f t="shared" si="14"/>
        <v>1.6228000750828226</v>
      </c>
      <c r="L547" s="100">
        <f t="shared" si="8"/>
        <v>1.484538957646653</v>
      </c>
      <c r="M547" s="100">
        <f t="shared" si="15"/>
        <v>1.6723562736741791</v>
      </c>
      <c r="N547" s="44">
        <f t="shared" si="16"/>
        <v>90.696752743011771</v>
      </c>
      <c r="O547" s="44">
        <f t="shared" si="17"/>
        <v>1.0164661608386747</v>
      </c>
      <c r="P547" s="44" t="str">
        <f t="shared" si="18"/>
        <v>Terpenuhi</v>
      </c>
      <c r="Q547" s="44" t="str">
        <f t="shared" si="19"/>
        <v>Tidak terpenuhi</v>
      </c>
      <c r="R547" s="31"/>
      <c r="S547" s="10">
        <f t="shared" si="20"/>
        <v>16490.318680547593</v>
      </c>
    </row>
    <row r="548" spans="1:19" x14ac:dyDescent="0.3">
      <c r="A548" s="4">
        <v>4</v>
      </c>
      <c r="B548" s="109" t="s">
        <v>345</v>
      </c>
      <c r="C548" s="30"/>
      <c r="D548" s="109">
        <v>0.7</v>
      </c>
      <c r="E548" s="100">
        <f t="shared" si="9"/>
        <v>0.72</v>
      </c>
      <c r="F548" s="110">
        <f t="shared" si="10"/>
        <v>6.2358222143546769</v>
      </c>
      <c r="G548" s="110">
        <f t="shared" si="11"/>
        <v>5.2290650000000003</v>
      </c>
      <c r="H548" s="100">
        <f t="shared" si="12"/>
        <v>31.652498406618371</v>
      </c>
      <c r="I548" s="100">
        <f t="shared" si="13"/>
        <v>513.96477621044198</v>
      </c>
      <c r="J548" s="100">
        <f t="shared" si="7"/>
        <v>193.94935840559765</v>
      </c>
      <c r="K548" s="100">
        <f t="shared" si="14"/>
        <v>1.4476933478990779</v>
      </c>
      <c r="L548" s="100">
        <f t="shared" si="8"/>
        <v>1.0267917383443788</v>
      </c>
      <c r="M548" s="100">
        <f t="shared" si="15"/>
        <v>1.1381986191907716</v>
      </c>
      <c r="N548" s="44">
        <f t="shared" si="16"/>
        <v>37.253403410794149</v>
      </c>
      <c r="O548" s="44">
        <f t="shared" si="17"/>
        <v>0.69274605540403844</v>
      </c>
      <c r="P548" s="44" t="str">
        <f t="shared" si="18"/>
        <v>Tidak Terpenuhi</v>
      </c>
      <c r="Q548" s="44" t="str">
        <f t="shared" si="19"/>
        <v>Terpenuhi</v>
      </c>
      <c r="R548" s="31"/>
      <c r="S548" s="10">
        <f t="shared" si="20"/>
        <v>5321.9147729705928</v>
      </c>
    </row>
    <row r="549" spans="1:19" x14ac:dyDescent="0.3">
      <c r="A549" s="4">
        <v>4</v>
      </c>
      <c r="B549" s="109" t="s">
        <v>346</v>
      </c>
      <c r="C549" s="30"/>
      <c r="D549" s="109">
        <v>0.85</v>
      </c>
      <c r="E549" s="100">
        <f t="shared" si="9"/>
        <v>0.76</v>
      </c>
      <c r="F549" s="110">
        <f t="shared" si="10"/>
        <v>5.9910275406506699</v>
      </c>
      <c r="G549" s="110">
        <f t="shared" si="11"/>
        <v>5.2290650000000003</v>
      </c>
      <c r="H549" s="100">
        <f t="shared" si="12"/>
        <v>30.453126741012092</v>
      </c>
      <c r="I549" s="100">
        <f t="shared" si="13"/>
        <v>475.75257222002676</v>
      </c>
      <c r="J549" s="100">
        <f t="shared" si="7"/>
        <v>209.5272719681486</v>
      </c>
      <c r="K549" s="100">
        <f t="shared" si="14"/>
        <v>1.4746760735251794</v>
      </c>
      <c r="L549" s="100">
        <f t="shared" si="8"/>
        <v>1.0889665053108621</v>
      </c>
      <c r="M549" s="100">
        <f t="shared" si="15"/>
        <v>1.2195019993178442</v>
      </c>
      <c r="N549" s="44">
        <f t="shared" si="16"/>
        <v>43.242942191515077</v>
      </c>
      <c r="O549" s="44">
        <f t="shared" si="17"/>
        <v>0.73383614269732211</v>
      </c>
      <c r="P549" s="44" t="str">
        <f t="shared" si="18"/>
        <v>Tidak Terpenuhi</v>
      </c>
      <c r="Q549" s="44" t="str">
        <f t="shared" si="19"/>
        <v>Terpenuhi</v>
      </c>
      <c r="R549" s="31"/>
      <c r="S549" s="10">
        <f t="shared" si="20"/>
        <v>5087.404963707656</v>
      </c>
    </row>
    <row r="550" spans="1:19" x14ac:dyDescent="0.3">
      <c r="A550" s="4">
        <v>4</v>
      </c>
      <c r="B550" s="109" t="s">
        <v>347</v>
      </c>
      <c r="C550" s="30"/>
      <c r="D550" s="109">
        <v>1</v>
      </c>
      <c r="E550" s="100">
        <f t="shared" si="9"/>
        <v>0.82</v>
      </c>
      <c r="F550" s="110">
        <f t="shared" si="10"/>
        <v>5.7720007273365601</v>
      </c>
      <c r="G550" s="110">
        <f t="shared" si="11"/>
        <v>5.2290650000000003</v>
      </c>
      <c r="H550" s="100">
        <f t="shared" si="12"/>
        <v>29.381528945122035</v>
      </c>
      <c r="I550" s="100">
        <f t="shared" si="13"/>
        <v>442.85968673751154</v>
      </c>
      <c r="J550" s="100">
        <f t="shared" si="7"/>
        <v>225.08966513399366</v>
      </c>
      <c r="K550" s="100">
        <f t="shared" si="14"/>
        <v>1.5000439022923291</v>
      </c>
      <c r="L550" s="100">
        <f t="shared" si="8"/>
        <v>1.150064458868735</v>
      </c>
      <c r="M550" s="100">
        <f t="shared" si="15"/>
        <v>1.3080508392310628</v>
      </c>
      <c r="N550" s="44">
        <f t="shared" si="16"/>
        <v>49.969754987228669</v>
      </c>
      <c r="O550" s="44">
        <f t="shared" si="17"/>
        <v>0.77511918025913018</v>
      </c>
      <c r="P550" s="44" t="str">
        <f t="shared" si="18"/>
        <v>Tidak Terpenuhi</v>
      </c>
      <c r="Q550" s="44" t="str">
        <f t="shared" si="19"/>
        <v>Terpenuhi</v>
      </c>
      <c r="R550" s="31"/>
      <c r="S550" s="10">
        <f t="shared" si="20"/>
        <v>4996.9754987228671</v>
      </c>
    </row>
    <row r="551" spans="1:19" x14ac:dyDescent="0.3">
      <c r="A551" s="4">
        <v>5</v>
      </c>
      <c r="B551" s="101" t="s">
        <v>348</v>
      </c>
      <c r="C551" s="25"/>
      <c r="D551" s="101">
        <v>0.45</v>
      </c>
      <c r="E551" s="101">
        <f t="shared" si="9"/>
        <v>0.74</v>
      </c>
      <c r="F551" s="111">
        <f t="shared" si="10"/>
        <v>6.0039114708456172</v>
      </c>
      <c r="G551" s="111">
        <f t="shared" si="11"/>
        <v>5.2290650000000003</v>
      </c>
      <c r="H551" s="101">
        <f t="shared" si="12"/>
        <v>30.516208403554778</v>
      </c>
      <c r="I551" s="101">
        <f t="shared" si="13"/>
        <v>477.72559434387307</v>
      </c>
      <c r="J551" s="101">
        <f t="shared" si="7"/>
        <v>208.66191757215879</v>
      </c>
      <c r="K551" s="101">
        <f t="shared" si="14"/>
        <v>1.4732208872214088</v>
      </c>
      <c r="L551" s="101">
        <f t="shared" si="8"/>
        <v>1.0855402318965106</v>
      </c>
      <c r="M551" s="101">
        <f t="shared" si="15"/>
        <v>1.2094616751303682</v>
      </c>
      <c r="N551" s="44">
        <f t="shared" si="16"/>
        <v>42.703050696201501</v>
      </c>
      <c r="O551" s="44">
        <f t="shared" si="17"/>
        <v>0.79533315381244774</v>
      </c>
      <c r="P551" s="44" t="str">
        <f t="shared" si="18"/>
        <v>Tidak Terpenuhi</v>
      </c>
      <c r="Q551" s="44" t="str">
        <f t="shared" si="19"/>
        <v>Tidak terpenuhi</v>
      </c>
      <c r="R551" s="31"/>
      <c r="S551" s="10">
        <f t="shared" si="20"/>
        <v>9489.56682137811</v>
      </c>
    </row>
    <row r="552" spans="1:19" x14ac:dyDescent="0.3">
      <c r="A552" s="4">
        <v>5</v>
      </c>
      <c r="B552" s="101" t="s">
        <v>349</v>
      </c>
      <c r="C552" s="25"/>
      <c r="D552" s="101">
        <v>0.6</v>
      </c>
      <c r="E552" s="101">
        <f t="shared" si="9"/>
        <v>0.72499999999999998</v>
      </c>
      <c r="F552" s="111">
        <f t="shared" si="10"/>
        <v>6.1069829124051997</v>
      </c>
      <c r="G552" s="111">
        <f t="shared" si="11"/>
        <v>5.2290650000000003</v>
      </c>
      <c r="H552" s="101">
        <f t="shared" si="12"/>
        <v>31.021037864365095</v>
      </c>
      <c r="I552" s="101">
        <f t="shared" si="13"/>
        <v>493.66235736355731</v>
      </c>
      <c r="J552" s="101">
        <f t="shared" si="7"/>
        <v>201.92574358202529</v>
      </c>
      <c r="K552" s="101">
        <f t="shared" si="14"/>
        <v>1.4617216958504324</v>
      </c>
      <c r="L552" s="101">
        <f t="shared" si="8"/>
        <v>1.0587601698244427</v>
      </c>
      <c r="M552" s="101">
        <f t="shared" si="15"/>
        <v>1.1751271342983354</v>
      </c>
      <c r="N552" s="44">
        <f t="shared" si="16"/>
        <v>40.102070425532204</v>
      </c>
      <c r="O552" s="44">
        <f t="shared" si="17"/>
        <v>0.77540710333678642</v>
      </c>
      <c r="P552" s="44" t="str">
        <f t="shared" si="18"/>
        <v>Tidak Terpenuhi</v>
      </c>
      <c r="Q552" s="44" t="str">
        <f t="shared" si="19"/>
        <v>Tidak terpenuhi</v>
      </c>
      <c r="R552" s="31"/>
      <c r="S552" s="10">
        <f t="shared" si="20"/>
        <v>6683.6784042553672</v>
      </c>
    </row>
    <row r="553" spans="1:19" x14ac:dyDescent="0.3">
      <c r="A553" s="4">
        <v>5</v>
      </c>
      <c r="B553" s="101" t="s">
        <v>350</v>
      </c>
      <c r="C553" s="25"/>
      <c r="D553" s="101">
        <v>0.75</v>
      </c>
      <c r="E553" s="101">
        <f t="shared" si="9"/>
        <v>0.74</v>
      </c>
      <c r="F553" s="111">
        <f t="shared" si="10"/>
        <v>6.0502936195474293</v>
      </c>
      <c r="G553" s="111">
        <f t="shared" si="11"/>
        <v>5.2290650000000003</v>
      </c>
      <c r="H553" s="101">
        <f t="shared" si="12"/>
        <v>30.743343271503409</v>
      </c>
      <c r="I553" s="101">
        <f t="shared" si="13"/>
        <v>484.86356877637036</v>
      </c>
      <c r="J553" s="101">
        <f t="shared" si="7"/>
        <v>205.59007730908289</v>
      </c>
      <c r="K553" s="101">
        <f t="shared" si="14"/>
        <v>1.46801516551503</v>
      </c>
      <c r="L553" s="101">
        <f t="shared" si="8"/>
        <v>1.0733520866531512</v>
      </c>
      <c r="M553" s="101">
        <f t="shared" si="15"/>
        <v>1.1958821742241585</v>
      </c>
      <c r="N553" s="44">
        <f t="shared" si="16"/>
        <v>41.578693637884001</v>
      </c>
      <c r="O553" s="44">
        <f t="shared" si="17"/>
        <v>0.78624037542778025</v>
      </c>
      <c r="P553" s="44" t="str">
        <f t="shared" si="18"/>
        <v>Tidak Terpenuhi</v>
      </c>
      <c r="Q553" s="44" t="str">
        <f t="shared" si="19"/>
        <v>Tidak terpenuhi</v>
      </c>
      <c r="R553" s="31"/>
      <c r="S553" s="10">
        <f t="shared" si="20"/>
        <v>5543.8258183845337</v>
      </c>
    </row>
    <row r="554" spans="1:19" x14ac:dyDescent="0.3">
      <c r="A554" s="4">
        <v>5</v>
      </c>
      <c r="B554" s="101" t="s">
        <v>351</v>
      </c>
      <c r="C554" s="25"/>
      <c r="D554" s="101">
        <v>0.9</v>
      </c>
      <c r="E554" s="101">
        <f t="shared" si="9"/>
        <v>0.77</v>
      </c>
      <c r="F554" s="111">
        <f t="shared" si="10"/>
        <v>5.9266078896759318</v>
      </c>
      <c r="G554" s="111">
        <f t="shared" si="11"/>
        <v>5.2290650000000003</v>
      </c>
      <c r="H554" s="101">
        <f t="shared" si="12"/>
        <v>30.137793979502824</v>
      </c>
      <c r="I554" s="101">
        <f t="shared" si="13"/>
        <v>465.95103911284082</v>
      </c>
      <c r="J554" s="101">
        <f t="shared" si="7"/>
        <v>213.93479190192605</v>
      </c>
      <c r="K554" s="101">
        <f t="shared" si="14"/>
        <v>1.4820125850938972</v>
      </c>
      <c r="L554" s="101">
        <f t="shared" si="8"/>
        <v>1.1063693210818071</v>
      </c>
      <c r="M554" s="101">
        <f t="shared" si="15"/>
        <v>1.2421764751050413</v>
      </c>
      <c r="N554" s="44">
        <f t="shared" si="16"/>
        <v>45.009714789923756</v>
      </c>
      <c r="O554" s="44">
        <f t="shared" si="17"/>
        <v>0.81096486932559486</v>
      </c>
      <c r="P554" s="44" t="str">
        <f t="shared" si="18"/>
        <v>Tidak Terpenuhi</v>
      </c>
      <c r="Q554" s="44" t="str">
        <f t="shared" si="19"/>
        <v>Terpenuhi</v>
      </c>
      <c r="R554" s="31"/>
      <c r="S554" s="10">
        <f t="shared" si="20"/>
        <v>5001.0794211026396</v>
      </c>
    </row>
    <row r="555" spans="1:19" x14ac:dyDescent="0.3">
      <c r="A555" s="4">
        <v>5</v>
      </c>
      <c r="B555" s="103" t="s">
        <v>352</v>
      </c>
      <c r="C555" s="26"/>
      <c r="D555" s="103">
        <v>1.05</v>
      </c>
      <c r="E555" s="103">
        <f t="shared" si="9"/>
        <v>0.98399999999999999</v>
      </c>
      <c r="F555" s="112">
        <f t="shared" si="10"/>
        <v>4.3547684058923153</v>
      </c>
      <c r="G555" s="112">
        <f t="shared" si="11"/>
        <v>5.2290650000000003</v>
      </c>
      <c r="H555" s="103">
        <f t="shared" si="12"/>
        <v>22.496666290573557</v>
      </c>
      <c r="I555" s="103">
        <f t="shared" si="13"/>
        <v>259.62929701917687</v>
      </c>
      <c r="J555" s="103">
        <f t="shared" si="7"/>
        <v>383.94410697699095</v>
      </c>
      <c r="K555" s="103">
        <f t="shared" si="14"/>
        <v>1.70003362174566</v>
      </c>
      <c r="L555" s="103">
        <f t="shared" si="8"/>
        <v>1.7309363281207384</v>
      </c>
      <c r="M555" s="103">
        <f t="shared" si="15"/>
        <v>2.0565645294568125</v>
      </c>
      <c r="N555" s="44">
        <f t="shared" si="16"/>
        <v>138.02176116197998</v>
      </c>
      <c r="O555" s="44">
        <f t="shared" si="17"/>
        <v>1.3316144948469579</v>
      </c>
      <c r="P555" s="44" t="str">
        <f t="shared" si="18"/>
        <v>Terpenuhi</v>
      </c>
      <c r="Q555" s="44" t="str">
        <f t="shared" si="19"/>
        <v>Tidak terpenuhi</v>
      </c>
      <c r="R555" s="31"/>
      <c r="S555" s="10">
        <f t="shared" si="20"/>
        <v>13144.929634474283</v>
      </c>
    </row>
    <row r="556" spans="1:19" x14ac:dyDescent="0.3">
      <c r="A556" s="4">
        <v>6</v>
      </c>
      <c r="B556" s="104" t="s">
        <v>353</v>
      </c>
      <c r="C556" s="27"/>
      <c r="D556" s="104">
        <v>0.5</v>
      </c>
      <c r="E556" s="104">
        <f t="shared" si="9"/>
        <v>0.79</v>
      </c>
      <c r="F556" s="113">
        <f t="shared" si="10"/>
        <v>5.7977685877264546</v>
      </c>
      <c r="G556" s="113">
        <f t="shared" si="11"/>
        <v>5.2290650000000003</v>
      </c>
      <c r="H556" s="104">
        <f t="shared" si="12"/>
        <v>29.507519128260881</v>
      </c>
      <c r="I556" s="104">
        <f>0.5*$D$26*H556^2</f>
        <v>446.66586045870179</v>
      </c>
      <c r="J556" s="104">
        <f t="shared" si="7"/>
        <v>223.17160860855267</v>
      </c>
      <c r="K556" s="104">
        <f t="shared" si="14"/>
        <v>1.4969961600770842</v>
      </c>
      <c r="L556" s="104">
        <f t="shared" si="8"/>
        <v>1.1425858850021329</v>
      </c>
      <c r="M556" s="104">
        <f t="shared" si="15"/>
        <v>1.2894693372029173</v>
      </c>
      <c r="N556" s="44">
        <f t="shared" si="16"/>
        <v>48.823017341069409</v>
      </c>
      <c r="O556" s="44">
        <f t="shared" si="17"/>
        <v>0.90682277898204089</v>
      </c>
      <c r="P556" s="44" t="str">
        <f t="shared" si="18"/>
        <v>Tidak Terpenuhi</v>
      </c>
      <c r="Q556" s="44" t="str">
        <f t="shared" si="19"/>
        <v>Tidak terpenuhi</v>
      </c>
      <c r="R556" s="31"/>
      <c r="S556" s="10">
        <f t="shared" si="20"/>
        <v>9764.6034682138816</v>
      </c>
    </row>
    <row r="557" spans="1:19" x14ac:dyDescent="0.3">
      <c r="A557" s="4">
        <v>6</v>
      </c>
      <c r="B557" s="104" t="s">
        <v>354</v>
      </c>
      <c r="C557" s="27"/>
      <c r="D557" s="104">
        <v>0.65</v>
      </c>
      <c r="E557" s="104">
        <f t="shared" si="9"/>
        <v>0.77</v>
      </c>
      <c r="F557" s="113">
        <f t="shared" si="10"/>
        <v>5.8493043085062455</v>
      </c>
      <c r="G557" s="113">
        <f t="shared" si="11"/>
        <v>5.2290650000000003</v>
      </c>
      <c r="H557" s="104">
        <f t="shared" si="12"/>
        <v>29.759565104778922</v>
      </c>
      <c r="I557" s="104">
        <f t="shared" si="13"/>
        <v>454.32906991072014</v>
      </c>
      <c r="J557" s="104">
        <f t="shared" si="7"/>
        <v>219.40735293183081</v>
      </c>
      <c r="K557" s="104">
        <f t="shared" si="14"/>
        <v>1.4909521838130335</v>
      </c>
      <c r="L557" s="104">
        <f t="shared" si="8"/>
        <v>1.1278674406885627</v>
      </c>
      <c r="M557" s="104">
        <f t="shared" si="15"/>
        <v>1.2663134951088089</v>
      </c>
      <c r="N557" s="44">
        <f t="shared" si="16"/>
        <v>47.105124250714852</v>
      </c>
      <c r="O557" s="44">
        <f t="shared" si="17"/>
        <v>0.89442261999972494</v>
      </c>
      <c r="P557" s="44" t="str">
        <f t="shared" si="18"/>
        <v>Tidak Terpenuhi</v>
      </c>
      <c r="Q557" s="44" t="str">
        <f t="shared" si="19"/>
        <v>Tidak terpenuhi</v>
      </c>
      <c r="R557" s="31"/>
      <c r="S557" s="10">
        <f t="shared" si="20"/>
        <v>7246.9421924176686</v>
      </c>
    </row>
    <row r="558" spans="1:19" x14ac:dyDescent="0.3">
      <c r="A558" s="4">
        <v>6</v>
      </c>
      <c r="B558" s="104" t="s">
        <v>355</v>
      </c>
      <c r="C558" s="27"/>
      <c r="D558" s="104">
        <v>0.8</v>
      </c>
      <c r="E558" s="104">
        <f t="shared" si="9"/>
        <v>0.78</v>
      </c>
      <c r="F558" s="113">
        <f t="shared" si="10"/>
        <v>5.8750721688961409</v>
      </c>
      <c r="G558" s="113">
        <f t="shared" si="11"/>
        <v>5.2290650000000003</v>
      </c>
      <c r="H558" s="104">
        <f t="shared" si="12"/>
        <v>29.885620344821859</v>
      </c>
      <c r="I558" s="104">
        <f t="shared" si="13"/>
        <v>458.1861056415479</v>
      </c>
      <c r="J558" s="104">
        <f t="shared" si="7"/>
        <v>217.56036981854001</v>
      </c>
      <c r="K558" s="104">
        <f t="shared" si="14"/>
        <v>1.4879556270700716</v>
      </c>
      <c r="L558" s="104">
        <f t="shared" si="8"/>
        <v>1.1206252542881796</v>
      </c>
      <c r="M558" s="104">
        <f t="shared" si="15"/>
        <v>1.261425577217159</v>
      </c>
      <c r="N558" s="44">
        <f t="shared" si="16"/>
        <v>46.512595163397272</v>
      </c>
      <c r="O558" s="44">
        <f t="shared" si="17"/>
        <v>0.88834455189992734</v>
      </c>
      <c r="P558" s="44" t="str">
        <f t="shared" si="18"/>
        <v>Tidak Terpenuhi</v>
      </c>
      <c r="Q558" s="44" t="str">
        <f t="shared" si="19"/>
        <v>Tidak terpenuhi</v>
      </c>
      <c r="R558" s="31"/>
      <c r="S558" s="10">
        <f t="shared" si="20"/>
        <v>5814.0743954246591</v>
      </c>
    </row>
    <row r="559" spans="1:19" x14ac:dyDescent="0.3">
      <c r="A559" s="4">
        <v>6</v>
      </c>
      <c r="B559" s="104" t="s">
        <v>356</v>
      </c>
      <c r="C559" s="27"/>
      <c r="D559" s="104">
        <v>0.95</v>
      </c>
      <c r="E559" s="104">
        <f t="shared" si="9"/>
        <v>0.68</v>
      </c>
      <c r="F559" s="113">
        <f t="shared" si="10"/>
        <v>5.7977685877264546</v>
      </c>
      <c r="G559" s="113">
        <f t="shared" si="11"/>
        <v>5.2290650000000003</v>
      </c>
      <c r="H559" s="104">
        <f t="shared" si="12"/>
        <v>29.507519128260881</v>
      </c>
      <c r="I559" s="104">
        <f t="shared" si="13"/>
        <v>446.66586045870179</v>
      </c>
      <c r="J559" s="104">
        <f t="shared" si="7"/>
        <v>223.17160860855267</v>
      </c>
      <c r="K559" s="104">
        <f t="shared" si="14"/>
        <v>1.4969961600770842</v>
      </c>
      <c r="L559" s="104">
        <f t="shared" si="8"/>
        <v>1.1425858850021329</v>
      </c>
      <c r="M559" s="104">
        <f t="shared" si="15"/>
        <v>1.2538252622707982</v>
      </c>
      <c r="N559" s="44">
        <f t="shared" si="16"/>
        <v>47.473430159498946</v>
      </c>
      <c r="O559" s="44">
        <f t="shared" si="17"/>
        <v>0.90682277898204089</v>
      </c>
      <c r="P559" s="44" t="str">
        <f t="shared" si="18"/>
        <v>Tidak Terpenuhi</v>
      </c>
      <c r="Q559" s="44" t="str">
        <f t="shared" si="19"/>
        <v>Terpenuhi</v>
      </c>
      <c r="R559" s="31"/>
      <c r="S559" s="10">
        <f t="shared" si="20"/>
        <v>4997.2031746840994</v>
      </c>
    </row>
    <row r="562" spans="1:6" x14ac:dyDescent="0.3">
      <c r="B562" s="49" t="s">
        <v>512</v>
      </c>
    </row>
    <row r="565" spans="1:6" x14ac:dyDescent="0.3">
      <c r="A565" s="6" t="s">
        <v>495</v>
      </c>
      <c r="B565" s="31"/>
    </row>
    <row r="566" spans="1:6" x14ac:dyDescent="0.3">
      <c r="A566" s="20"/>
      <c r="B566" s="89" t="s">
        <v>477</v>
      </c>
      <c r="C566" s="21" t="s">
        <v>489</v>
      </c>
      <c r="D566" s="89">
        <f>$D$9/$D$11</f>
        <v>6.0118143459915609</v>
      </c>
      <c r="E566" s="89" t="s">
        <v>479</v>
      </c>
      <c r="F566" s="56" t="s">
        <v>490</v>
      </c>
    </row>
    <row r="567" spans="1:6" x14ac:dyDescent="0.3">
      <c r="A567" s="32"/>
      <c r="B567" s="10" t="s">
        <v>478</v>
      </c>
      <c r="C567" s="4" t="s">
        <v>493</v>
      </c>
      <c r="F567" s="114"/>
    </row>
    <row r="568" spans="1:6" x14ac:dyDescent="0.3">
      <c r="A568" s="32"/>
      <c r="F568" s="114"/>
    </row>
    <row r="569" spans="1:6" x14ac:dyDescent="0.3">
      <c r="A569" s="32"/>
      <c r="B569" s="10" t="s">
        <v>480</v>
      </c>
      <c r="C569" s="4" t="s">
        <v>488</v>
      </c>
      <c r="D569" s="10">
        <f>$D$11/$D$13</f>
        <v>1.7766116941529235</v>
      </c>
      <c r="E569" s="10" t="s">
        <v>479</v>
      </c>
      <c r="F569" s="114" t="s">
        <v>491</v>
      </c>
    </row>
    <row r="570" spans="1:6" x14ac:dyDescent="0.3">
      <c r="A570" s="32"/>
      <c r="B570" s="10" t="s">
        <v>481</v>
      </c>
      <c r="C570" s="4" t="s">
        <v>493</v>
      </c>
      <c r="F570" s="114"/>
    </row>
    <row r="571" spans="1:6" x14ac:dyDescent="0.3">
      <c r="A571" s="32"/>
      <c r="F571" s="114"/>
    </row>
    <row r="572" spans="1:6" x14ac:dyDescent="0.3">
      <c r="A572" s="32"/>
      <c r="B572" s="10" t="s">
        <v>482</v>
      </c>
      <c r="C572" s="4" t="s">
        <v>488</v>
      </c>
      <c r="D572" s="10" t="s">
        <v>484</v>
      </c>
      <c r="E572" s="10" t="s">
        <v>486</v>
      </c>
      <c r="F572" s="114"/>
    </row>
    <row r="573" spans="1:6" x14ac:dyDescent="0.3">
      <c r="A573" s="32"/>
      <c r="B573" s="10" t="s">
        <v>483</v>
      </c>
      <c r="C573" s="4" t="s">
        <v>488</v>
      </c>
      <c r="D573" s="10">
        <f>0.12*$D$11</f>
        <v>2.8439999999999999</v>
      </c>
      <c r="E573" s="10" t="s">
        <v>377</v>
      </c>
      <c r="F573" s="114"/>
    </row>
    <row r="574" spans="1:6" x14ac:dyDescent="0.3">
      <c r="A574" s="32"/>
      <c r="C574" s="4" t="s">
        <v>488</v>
      </c>
      <c r="D574" s="10" t="s">
        <v>485</v>
      </c>
      <c r="E574" s="10" t="s">
        <v>487</v>
      </c>
      <c r="F574" s="114"/>
    </row>
    <row r="575" spans="1:6" x14ac:dyDescent="0.3">
      <c r="A575" s="32"/>
      <c r="C575" s="4" t="s">
        <v>488</v>
      </c>
      <c r="D575" s="10">
        <f>0.33* $D$11</f>
        <v>7.8209999999999997</v>
      </c>
      <c r="E575" s="10" t="s">
        <v>377</v>
      </c>
      <c r="F575" s="114"/>
    </row>
    <row r="576" spans="1:6" x14ac:dyDescent="0.3">
      <c r="A576" s="32"/>
      <c r="F576" s="114"/>
    </row>
    <row r="577" spans="1:6" x14ac:dyDescent="0.3">
      <c r="A577" s="22"/>
      <c r="B577" s="62" t="s">
        <v>492</v>
      </c>
      <c r="C577" s="13" t="s">
        <v>493</v>
      </c>
      <c r="D577" s="62" t="str">
        <f>IF($D$20&gt;0.7, "Terpenuhi", "Tidak terpenuhi")</f>
        <v>Tidak terpenuhi</v>
      </c>
      <c r="E577" s="62" t="s">
        <v>494</v>
      </c>
      <c r="F577" s="92"/>
    </row>
    <row r="579" spans="1:6" x14ac:dyDescent="0.3">
      <c r="B579" s="10" t="s">
        <v>498</v>
      </c>
      <c r="C579" s="4" t="s">
        <v>489</v>
      </c>
      <c r="D579" s="10" t="s">
        <v>499</v>
      </c>
      <c r="E579" s="10" t="s">
        <v>500</v>
      </c>
    </row>
    <row r="580" spans="1:6" x14ac:dyDescent="0.3">
      <c r="B580" s="10" t="s">
        <v>506</v>
      </c>
      <c r="C580" s="4" t="s">
        <v>489</v>
      </c>
      <c r="E580" s="10" t="s">
        <v>289</v>
      </c>
    </row>
    <row r="581" spans="1:6" x14ac:dyDescent="0.3">
      <c r="C581" s="4" t="s">
        <v>489</v>
      </c>
      <c r="D581" s="10" t="s">
        <v>502</v>
      </c>
      <c r="E581" s="10" t="s">
        <v>501</v>
      </c>
    </row>
    <row r="582" spans="1:6" x14ac:dyDescent="0.3">
      <c r="C582" s="4" t="s">
        <v>489</v>
      </c>
      <c r="D582" s="10">
        <f>0.65 * $D$9</f>
        <v>92.611999999999995</v>
      </c>
      <c r="E582" s="10" t="s">
        <v>289</v>
      </c>
    </row>
    <row r="583" spans="1:6" x14ac:dyDescent="0.3">
      <c r="E583" s="10" t="s">
        <v>504</v>
      </c>
      <c r="F583" s="10" t="s">
        <v>503</v>
      </c>
    </row>
    <row r="584" spans="1:6" x14ac:dyDescent="0.3">
      <c r="E584" s="10" t="s">
        <v>505</v>
      </c>
      <c r="F584" s="3"/>
    </row>
    <row r="585" spans="1:6" x14ac:dyDescent="0.3">
      <c r="F585" s="3"/>
    </row>
    <row r="586" spans="1:6" x14ac:dyDescent="0.3">
      <c r="B586" s="10" t="s">
        <v>507</v>
      </c>
      <c r="C586" s="4" t="s">
        <v>252</v>
      </c>
      <c r="D586" s="10" t="s">
        <v>508</v>
      </c>
      <c r="E586" s="10" t="s">
        <v>509</v>
      </c>
      <c r="F586" s="3"/>
    </row>
    <row r="587" spans="1:6" x14ac:dyDescent="0.3">
      <c r="C587" s="4" t="s">
        <v>252</v>
      </c>
      <c r="D587" s="10">
        <f>0.25 * $D$9</f>
        <v>35.619999999999997</v>
      </c>
      <c r="E587" s="10" t="s">
        <v>377</v>
      </c>
      <c r="F587" s="3"/>
    </row>
    <row r="588" spans="1:6" x14ac:dyDescent="0.3">
      <c r="E588" s="10" t="s">
        <v>510</v>
      </c>
      <c r="F588" s="3"/>
    </row>
    <row r="589" spans="1:6" x14ac:dyDescent="0.3">
      <c r="E589" s="10" t="s">
        <v>505</v>
      </c>
    </row>
    <row r="591" spans="1:6" x14ac:dyDescent="0.3">
      <c r="B591" s="10" t="s">
        <v>292</v>
      </c>
      <c r="C591" s="4" t="s">
        <v>252</v>
      </c>
      <c r="D591" s="10" t="s">
        <v>511</v>
      </c>
    </row>
    <row r="592" spans="1:6" x14ac:dyDescent="0.3">
      <c r="C592" s="4" t="s">
        <v>252</v>
      </c>
    </row>
    <row r="596" spans="2:6" x14ac:dyDescent="0.3">
      <c r="B596" s="10" t="s">
        <v>363</v>
      </c>
    </row>
    <row r="597" spans="2:6" x14ac:dyDescent="0.3">
      <c r="B597" s="10" t="s">
        <v>532</v>
      </c>
    </row>
    <row r="600" spans="2:6" x14ac:dyDescent="0.3">
      <c r="B600" s="10" t="s">
        <v>497</v>
      </c>
    </row>
    <row r="601" spans="2:6" x14ac:dyDescent="0.3">
      <c r="B601" s="10" t="s">
        <v>496</v>
      </c>
      <c r="C601" s="4" t="s">
        <v>252</v>
      </c>
      <c r="D601" s="10">
        <f>1.6 * SQRT($D$9)</f>
        <v>19.098397838562271</v>
      </c>
      <c r="E601" s="10" t="s">
        <v>488</v>
      </c>
      <c r="F601" s="10">
        <f>F17</f>
        <v>8.2303999999999995</v>
      </c>
    </row>
    <row r="602" spans="2:6" x14ac:dyDescent="0.3">
      <c r="C602" s="4" t="s">
        <v>252</v>
      </c>
      <c r="D602" s="10" t="str">
        <f>IF(D601&lt;F601, "Perlu", "Tidak perlu")</f>
        <v>Tidak perlu</v>
      </c>
      <c r="E602" s="10" t="s">
        <v>513</v>
      </c>
    </row>
    <row r="605" spans="2:6" x14ac:dyDescent="0.3">
      <c r="B605" s="10" t="s">
        <v>521</v>
      </c>
    </row>
    <row r="606" spans="2:6" x14ac:dyDescent="0.3">
      <c r="B606" s="10" t="s">
        <v>515</v>
      </c>
      <c r="C606" s="4" t="s">
        <v>489</v>
      </c>
      <c r="D606" s="10" t="s">
        <v>514</v>
      </c>
    </row>
    <row r="607" spans="2:6" x14ac:dyDescent="0.3">
      <c r="B607" s="10" t="s">
        <v>516</v>
      </c>
      <c r="C607" s="4" t="s">
        <v>489</v>
      </c>
      <c r="D607" s="10">
        <f>55 * D11 - 45</f>
        <v>1258.5</v>
      </c>
      <c r="E607" s="10" t="s">
        <v>289</v>
      </c>
    </row>
    <row r="608" spans="2:6" x14ac:dyDescent="0.3">
      <c r="B608" s="10" t="s">
        <v>517</v>
      </c>
      <c r="C608" s="4" t="s">
        <v>489</v>
      </c>
      <c r="D608" s="10">
        <v>180</v>
      </c>
      <c r="E608" s="10" t="s">
        <v>289</v>
      </c>
    </row>
    <row r="610" spans="2:5" x14ac:dyDescent="0.3">
      <c r="B610" s="10" t="s">
        <v>531</v>
      </c>
    </row>
    <row r="611" spans="2:5" x14ac:dyDescent="0.3">
      <c r="B611" s="10" t="s">
        <v>522</v>
      </c>
      <c r="C611" s="4" t="s">
        <v>252</v>
      </c>
      <c r="D611" s="80">
        <f>1.5 * $D$615</f>
        <v>2.3699999999999997</v>
      </c>
      <c r="E611" s="10" t="s">
        <v>377</v>
      </c>
    </row>
    <row r="613" spans="2:5" x14ac:dyDescent="0.3">
      <c r="B613" s="10" t="s">
        <v>528</v>
      </c>
    </row>
    <row r="614" spans="2:5" x14ac:dyDescent="0.3">
      <c r="B614" s="10" t="s">
        <v>515</v>
      </c>
      <c r="C614" s="4" t="s">
        <v>252</v>
      </c>
      <c r="D614" s="10" t="s">
        <v>530</v>
      </c>
    </row>
    <row r="615" spans="2:5" x14ac:dyDescent="0.3">
      <c r="B615" s="10" t="s">
        <v>529</v>
      </c>
      <c r="C615" s="4" t="s">
        <v>252</v>
      </c>
      <c r="D615" s="80">
        <f>D11/15</f>
        <v>1.5799999999999998</v>
      </c>
      <c r="E615" s="10" t="s">
        <v>377</v>
      </c>
    </row>
    <row r="616" spans="2:5" x14ac:dyDescent="0.3">
      <c r="B616" s="10" t="s">
        <v>517</v>
      </c>
      <c r="C616" s="4" t="s">
        <v>525</v>
      </c>
      <c r="D616" s="10">
        <v>1</v>
      </c>
      <c r="E616" s="10" t="s">
        <v>377</v>
      </c>
    </row>
    <row r="618" spans="2:5" x14ac:dyDescent="0.3">
      <c r="B618" s="10" t="s">
        <v>527</v>
      </c>
    </row>
    <row r="619" spans="2:5" x14ac:dyDescent="0.3">
      <c r="B619" s="10" t="s">
        <v>550</v>
      </c>
    </row>
    <row r="620" spans="2:5" x14ac:dyDescent="0.3">
      <c r="B620" s="10" t="s">
        <v>363</v>
      </c>
      <c r="C620" s="4" t="s">
        <v>252</v>
      </c>
      <c r="D620" s="10" t="s">
        <v>523</v>
      </c>
      <c r="E620" s="10" t="s">
        <v>377</v>
      </c>
    </row>
    <row r="621" spans="2:5" x14ac:dyDescent="0.3">
      <c r="B621" s="10" t="s">
        <v>551</v>
      </c>
      <c r="C621" s="4" t="s">
        <v>252</v>
      </c>
      <c r="D621" s="10">
        <f>0.5 + D23/20000</f>
        <v>1.5351999999999999</v>
      </c>
      <c r="E621" s="10" t="s">
        <v>377</v>
      </c>
    </row>
    <row r="622" spans="2:5" x14ac:dyDescent="0.3">
      <c r="B622" s="10" t="s">
        <v>524</v>
      </c>
      <c r="C622" s="4" t="s">
        <v>525</v>
      </c>
      <c r="D622" s="10">
        <v>1</v>
      </c>
      <c r="E622" s="10" t="s">
        <v>377</v>
      </c>
    </row>
    <row r="623" spans="2:5" x14ac:dyDescent="0.3">
      <c r="D623" s="10" t="s">
        <v>552</v>
      </c>
    </row>
    <row r="624" spans="2:5" x14ac:dyDescent="0.3">
      <c r="D624" s="10">
        <f>D621/2</f>
        <v>0.76759999999999995</v>
      </c>
    </row>
    <row r="627" spans="2:5" x14ac:dyDescent="0.3">
      <c r="B627" s="10" t="s">
        <v>521</v>
      </c>
    </row>
    <row r="628" spans="2:5" x14ac:dyDescent="0.3">
      <c r="B628" s="10" t="s">
        <v>518</v>
      </c>
      <c r="C628" s="4" t="s">
        <v>489</v>
      </c>
      <c r="D628" s="10" t="s">
        <v>520</v>
      </c>
    </row>
    <row r="629" spans="2:5" x14ac:dyDescent="0.3">
      <c r="B629" s="10" t="s">
        <v>519</v>
      </c>
      <c r="C629" s="4" t="s">
        <v>489</v>
      </c>
      <c r="D629" s="10">
        <f>D607/100 + 3</f>
        <v>15.585000000000001</v>
      </c>
      <c r="E629" s="10" t="s">
        <v>289</v>
      </c>
    </row>
    <row r="631" spans="2:5" x14ac:dyDescent="0.3">
      <c r="B631" s="10" t="s">
        <v>549</v>
      </c>
    </row>
    <row r="632" spans="2:5" x14ac:dyDescent="0.3">
      <c r="B632" s="10" t="s">
        <v>543</v>
      </c>
      <c r="C632" s="4" t="s">
        <v>488</v>
      </c>
      <c r="D632" s="10" t="s">
        <v>544</v>
      </c>
    </row>
    <row r="633" spans="2:5" x14ac:dyDescent="0.3">
      <c r="C633" s="4" t="s">
        <v>488</v>
      </c>
      <c r="D633" s="10">
        <f>2 * D5</f>
        <v>296.33120000000002</v>
      </c>
      <c r="E633" s="10" t="s">
        <v>377</v>
      </c>
    </row>
    <row r="634" spans="2:5" x14ac:dyDescent="0.3">
      <c r="C634" s="4" t="s">
        <v>488</v>
      </c>
      <c r="D634" s="10">
        <v>500</v>
      </c>
      <c r="E634" s="10" t="s">
        <v>377</v>
      </c>
    </row>
    <row r="635" spans="2:5" x14ac:dyDescent="0.3">
      <c r="E635" s="10" t="s">
        <v>545</v>
      </c>
    </row>
    <row r="636" spans="2:5" x14ac:dyDescent="0.3">
      <c r="D636" s="10">
        <f>18.919/(13.74 * 30.68)</f>
        <v>4.488033492178263E-2</v>
      </c>
    </row>
    <row r="637" spans="2:5" x14ac:dyDescent="0.3">
      <c r="D637" s="10">
        <f>13.74 * 30.68 / 18.919</f>
        <v>22.281473650827209</v>
      </c>
    </row>
    <row r="640" spans="2:5" x14ac:dyDescent="0.3">
      <c r="D640" s="10">
        <v>3.5</v>
      </c>
      <c r="E640" s="10">
        <v>10</v>
      </c>
    </row>
    <row r="641" spans="2:9" x14ac:dyDescent="0.3">
      <c r="D641" s="10">
        <v>3.8</v>
      </c>
      <c r="E641" s="10">
        <f>E640*D641/D640</f>
        <v>10.857142857142858</v>
      </c>
    </row>
    <row r="643" spans="2:9" x14ac:dyDescent="0.3">
      <c r="B643" s="10" t="s">
        <v>572</v>
      </c>
    </row>
    <row r="644" spans="2:9" x14ac:dyDescent="0.3">
      <c r="B644" s="10" t="s">
        <v>573</v>
      </c>
    </row>
    <row r="645" spans="2:9" x14ac:dyDescent="0.3">
      <c r="B645" s="10" t="s">
        <v>574</v>
      </c>
      <c r="C645" s="4" t="s">
        <v>488</v>
      </c>
      <c r="D645" s="10" t="s">
        <v>575</v>
      </c>
    </row>
    <row r="646" spans="2:9" x14ac:dyDescent="0.3">
      <c r="C646" s="4" t="s">
        <v>488</v>
      </c>
      <c r="D646" s="10">
        <f>2 + 0.02 * D9</f>
        <v>4.8495999999999997</v>
      </c>
      <c r="E646" s="10" t="s">
        <v>377</v>
      </c>
    </row>
    <row r="647" spans="2:9" x14ac:dyDescent="0.3">
      <c r="B647" s="10" t="s">
        <v>577</v>
      </c>
      <c r="C647" s="4" t="s">
        <v>488</v>
      </c>
      <c r="D647" s="10" t="s">
        <v>576</v>
      </c>
    </row>
    <row r="648" spans="2:9" x14ac:dyDescent="0.3">
      <c r="C648" s="4" t="s">
        <v>488</v>
      </c>
      <c r="D648" s="10">
        <f>0.015 * D9</f>
        <v>2.1372</v>
      </c>
      <c r="E648" s="10" t="s">
        <v>377</v>
      </c>
    </row>
    <row r="654" spans="2:9" x14ac:dyDescent="0.3">
      <c r="D654" s="10">
        <f>0.4739</f>
        <v>0.47389999999999999</v>
      </c>
    </row>
    <row r="655" spans="2:9" x14ac:dyDescent="0.3">
      <c r="D655" s="10">
        <f>D654/2</f>
        <v>0.23694999999999999</v>
      </c>
      <c r="H655" s="10">
        <v>384.71719999999999</v>
      </c>
      <c r="I655" s="10">
        <f>H656/H655</f>
        <v>2.6006115661062205E-2</v>
      </c>
    </row>
    <row r="656" spans="2:9" x14ac:dyDescent="0.3">
      <c r="H656" s="10">
        <v>10.005000000000001</v>
      </c>
    </row>
  </sheetData>
  <mergeCells count="65">
    <mergeCell ref="D237:D238"/>
    <mergeCell ref="A252:G253"/>
    <mergeCell ref="E270:E271"/>
    <mergeCell ref="E272:E273"/>
    <mergeCell ref="B541:C541"/>
    <mergeCell ref="F199:F200"/>
    <mergeCell ref="V205:Z205"/>
    <mergeCell ref="X215:Y215"/>
    <mergeCell ref="X225:Y225"/>
    <mergeCell ref="X226:Y226"/>
    <mergeCell ref="AA160:AA161"/>
    <mergeCell ref="X162:Y162"/>
    <mergeCell ref="X163:Y163"/>
    <mergeCell ref="V255:X255"/>
    <mergeCell ref="V166:Y166"/>
    <mergeCell ref="V167:X167"/>
    <mergeCell ref="V175:AA176"/>
    <mergeCell ref="X227:Y227"/>
    <mergeCell ref="AB99:AC99"/>
    <mergeCell ref="V151:X151"/>
    <mergeCell ref="X156:Y156"/>
    <mergeCell ref="X157:Y157"/>
    <mergeCell ref="X159:Y159"/>
    <mergeCell ref="V80:X80"/>
    <mergeCell ref="F92:F93"/>
    <mergeCell ref="G92:G93"/>
    <mergeCell ref="X164:Y164"/>
    <mergeCell ref="B93:B95"/>
    <mergeCell ref="V97:X97"/>
    <mergeCell ref="X160:Y160"/>
    <mergeCell ref="V71:X71"/>
    <mergeCell ref="B21:C21"/>
    <mergeCell ref="V21:W21"/>
    <mergeCell ref="B22:C22"/>
    <mergeCell ref="V22:W22"/>
    <mergeCell ref="V25:W25"/>
    <mergeCell ref="V41:W41"/>
    <mergeCell ref="V42:W42"/>
    <mergeCell ref="X42:Y42"/>
    <mergeCell ref="V44:Y44"/>
    <mergeCell ref="V45:Y45"/>
    <mergeCell ref="V50:X50"/>
    <mergeCell ref="B17:C17"/>
    <mergeCell ref="V17:W17"/>
    <mergeCell ref="B18:C18"/>
    <mergeCell ref="V18:W18"/>
    <mergeCell ref="B20:C20"/>
    <mergeCell ref="V20:W20"/>
    <mergeCell ref="B11:C11"/>
    <mergeCell ref="V11:W11"/>
    <mergeCell ref="B13:C13"/>
    <mergeCell ref="V13:W13"/>
    <mergeCell ref="B15:C15"/>
    <mergeCell ref="F15:G15"/>
    <mergeCell ref="V15:W15"/>
    <mergeCell ref="AB15:AD15"/>
    <mergeCell ref="Z6:AA6"/>
    <mergeCell ref="V8:W8"/>
    <mergeCell ref="Z8:AA8"/>
    <mergeCell ref="V9:W9"/>
    <mergeCell ref="V1:Y2"/>
    <mergeCell ref="B2:E3"/>
    <mergeCell ref="V3:Y3"/>
    <mergeCell ref="V4:Y4"/>
    <mergeCell ref="V6:W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Arrangement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Gusma Hamdana Putra</dc:creator>
  <cp:lastModifiedBy>halli bagaffad</cp:lastModifiedBy>
  <cp:lastPrinted>2023-09-11T08:49:52Z</cp:lastPrinted>
  <dcterms:created xsi:type="dcterms:W3CDTF">2023-08-28T07:01:29Z</dcterms:created>
  <dcterms:modified xsi:type="dcterms:W3CDTF">2024-08-02T10:32:26Z</dcterms:modified>
</cp:coreProperties>
</file>