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D:\11gabillah\12gabillah\Rangkuman Engineering\Projek Ship Oil Tanker 20704 DWT - (main branch)\"/>
    </mc:Choice>
  </mc:AlternateContent>
  <xr:revisionPtr revIDLastSave="0" documentId="13_ncr:1_{2404AB77-ABB4-4FF8-AE63-6563D902CCCD}" xr6:coauthVersionLast="47" xr6:coauthVersionMax="47" xr10:uidLastSave="{00000000-0000-0000-0000-000000000000}"/>
  <bookViews>
    <workbookView xWindow="-108" yWindow="-108" windowWidth="23256" windowHeight="12456" xr2:uid="{00000000-000D-0000-FFFF-FFFF00000000}"/>
  </bookViews>
  <sheets>
    <sheet name="Calculation (Preliminery)" sheetId="1" r:id="rId1"/>
    <sheet name="Referensi" sheetId="2" r:id="rId2"/>
    <sheet name="Design Data" sheetId="4" r:id="rId3"/>
  </sheets>
  <definedNames>
    <definedName name="A1_m2">'Calculation (Preliminery)'!$C$197</definedName>
    <definedName name="A2_m2">'Calculation (Preliminery)'!$C$199</definedName>
    <definedName name="Am_m2">'Calculation (Preliminery)'!$C$178</definedName>
    <definedName name="AWL_m2">'Calculation (Preliminery)'!$C$367</definedName>
    <definedName name="B_m">'Calculation (Preliminery)'!$C$46</definedName>
    <definedName name="BpT_max_ref">Referensi!$M$107:$M$109</definedName>
    <definedName name="BpT_min_ref">Referensi!$L$107:$L$109</definedName>
    <definedName name="Cb">'Calculation (Preliminery)'!$D$105</definedName>
    <definedName name="Cm">'Calculation (Preliminery)'!$C$111</definedName>
    <definedName name="Cp">'Calculation (Preliminery)'!$C$116</definedName>
    <definedName name="Cwp">'Calculation (Preliminery)'!$C$122</definedName>
    <definedName name="Disp_ton">'Calculation (Preliminery)'!$C$142</definedName>
    <definedName name="Fn">'Calculation (Preliminery)'!$C$73</definedName>
    <definedName name="gravitasi_mps">'Calculation (Preliminery)'!$E$69</definedName>
    <definedName name="H_m">'Calculation (Preliminery)'!$C$45</definedName>
    <definedName name="LOA_m">'Calculation (Preliminery)'!$C$43</definedName>
    <definedName name="LpB_max_ref">Referensi!$K$107:$K$109</definedName>
    <definedName name="LpB_min_ref">Referensi!$J$107:$J$109</definedName>
    <definedName name="LpH_max_ref">Referensi!$Q$107:$Q$109</definedName>
    <definedName name="LpH_min_ref">Referensi!$P$107:$P$109</definedName>
    <definedName name="LPP_m">'Calculation (Preliminery)'!$C$44</definedName>
    <definedName name="LPP_mm">'Calculation (Preliminery)'!$C$400</definedName>
    <definedName name="LWL_m">'Calculation (Preliminery)'!$C$59</definedName>
    <definedName name="LWL_mm">'Calculation (Preliminery)'!$C$404</definedName>
    <definedName name="MassaJenisAirLaut">'Calculation (Preliminery)'!$C$50</definedName>
    <definedName name="_xlnm.Print_Area" localSheetId="0">'Calculation (Preliminery)'!$A$1:$I$435</definedName>
    <definedName name="RB_m">'Calculation (Preliminery)'!$C$196</definedName>
    <definedName name="ShipType_ref">Referensi!$A$107:$A$109</definedName>
    <definedName name="T_m">'Calculation (Preliminery)'!$C$47</definedName>
    <definedName name="TpH_min_ref">Referensi!$V$107:$V$109</definedName>
    <definedName name="Vdisp_m3">'Calculation (Preliminery)'!$C$136</definedName>
    <definedName name="Vs_knot">'Calculation (Preliminery)'!$C$48</definedName>
    <definedName name="Vs_mps">'Calculation (Preliminery)'!$C$49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D201" i="1" l="1"/>
  <c r="D202" i="1"/>
  <c r="D203" i="1"/>
  <c r="D165" i="1"/>
  <c r="D163" i="1"/>
  <c r="D162" i="1"/>
  <c r="D161" i="1"/>
  <c r="D160" i="1"/>
  <c r="D158" i="1"/>
  <c r="G81" i="1"/>
  <c r="G82" i="1"/>
  <c r="G83" i="1"/>
  <c r="F85" i="1"/>
  <c r="E85" i="1"/>
  <c r="E84" i="1" a="1"/>
  <c r="E84" i="1" s="1"/>
  <c r="G84" i="1" s="1"/>
  <c r="E80" i="1"/>
  <c r="F79" i="1"/>
  <c r="F80" i="1"/>
  <c r="E79" i="1"/>
  <c r="C84" i="1"/>
  <c r="F84" i="1"/>
  <c r="G79" i="1" l="1"/>
  <c r="G80" i="1"/>
  <c r="D84" i="1"/>
  <c r="F10" i="4" l="1"/>
  <c r="F7" i="4"/>
  <c r="C390" i="1"/>
  <c r="C282" i="1"/>
  <c r="C281" i="1"/>
  <c r="D230" i="1"/>
  <c r="D229" i="1"/>
  <c r="D228" i="1"/>
  <c r="D226" i="1"/>
  <c r="C83" i="1"/>
  <c r="D83" i="1" s="1"/>
  <c r="C59" i="1"/>
  <c r="C56" i="1"/>
  <c r="H228" i="1"/>
  <c r="H227" i="1"/>
  <c r="H127" i="1"/>
  <c r="F9" i="4" l="1"/>
  <c r="D159" i="1"/>
  <c r="D227" i="1"/>
  <c r="C391" i="1"/>
  <c r="D231" i="1"/>
  <c r="C417" i="1"/>
  <c r="C429" i="1"/>
  <c r="C418" i="1"/>
  <c r="C430" i="1"/>
  <c r="C419" i="1"/>
  <c r="C431" i="1"/>
  <c r="C420" i="1"/>
  <c r="C432" i="1"/>
  <c r="C421" i="1"/>
  <c r="C433" i="1"/>
  <c r="C422" i="1"/>
  <c r="C434" i="1"/>
  <c r="C423" i="1"/>
  <c r="C416" i="1"/>
  <c r="C424" i="1"/>
  <c r="C425" i="1"/>
  <c r="C427" i="1"/>
  <c r="C428" i="1"/>
  <c r="C426" i="1"/>
  <c r="E9" i="4"/>
  <c r="G9" i="4"/>
  <c r="E10" i="4"/>
  <c r="G10" i="4"/>
  <c r="E7" i="4"/>
  <c r="G7" i="4"/>
  <c r="E15" i="4"/>
  <c r="E16" i="4"/>
  <c r="E14" i="4"/>
  <c r="E17" i="4"/>
  <c r="E5" i="4"/>
  <c r="G5" i="4"/>
  <c r="E6" i="4"/>
  <c r="G6" i="4"/>
  <c r="E303" i="1" l="1"/>
  <c r="D417" i="1" l="1"/>
  <c r="D418" i="1"/>
  <c r="D419" i="1"/>
  <c r="D420" i="1"/>
  <c r="D421" i="1"/>
  <c r="D422" i="1"/>
  <c r="D423" i="1"/>
  <c r="D424" i="1"/>
  <c r="D425" i="1"/>
  <c r="D426" i="1"/>
  <c r="D427" i="1"/>
  <c r="D428" i="1"/>
  <c r="D429" i="1"/>
  <c r="D430" i="1"/>
  <c r="D431" i="1"/>
  <c r="D432" i="1"/>
  <c r="D433" i="1"/>
  <c r="D434" i="1"/>
  <c r="D415" i="1"/>
  <c r="D416" i="1"/>
  <c r="E302" i="1" l="1"/>
  <c r="G302" i="1" s="1"/>
  <c r="G301" i="1"/>
  <c r="D371" i="1"/>
  <c r="C252" i="1" l="1"/>
  <c r="C248" i="1" l="1"/>
  <c r="C399" i="1"/>
  <c r="D156" i="1"/>
  <c r="D155" i="1"/>
  <c r="D154" i="1"/>
  <c r="D153" i="1"/>
  <c r="C149" i="1"/>
  <c r="B116" i="1"/>
  <c r="B122" i="1"/>
  <c r="D394" i="1" l="1"/>
  <c r="E394" i="1" s="1"/>
  <c r="E256" i="1"/>
  <c r="F256" i="1" s="1"/>
  <c r="C313" i="1"/>
  <c r="C247" i="1"/>
  <c r="E257" i="1" s="1"/>
  <c r="F257" i="1" s="1"/>
  <c r="C246" i="1"/>
  <c r="C408" i="1"/>
  <c r="C409" i="1" s="1"/>
  <c r="C410" i="1" s="1"/>
  <c r="C400" i="1"/>
  <c r="C85" i="1"/>
  <c r="D85" i="1" s="1"/>
  <c r="C80" i="1"/>
  <c r="D80" i="1" s="1"/>
  <c r="C82" i="1"/>
  <c r="D82" i="1" s="1"/>
  <c r="C79" i="1"/>
  <c r="D79" i="1" s="1"/>
  <c r="C81" i="1"/>
  <c r="D81" i="1" s="1"/>
  <c r="C49" i="1"/>
  <c r="D164" i="1" s="1"/>
  <c r="C73" i="1" l="1"/>
  <c r="E255" i="1"/>
  <c r="F255" i="1" s="1"/>
  <c r="D395" i="1"/>
  <c r="E395" i="1" s="1"/>
  <c r="D396" i="1"/>
  <c r="D284" i="1"/>
  <c r="E300" i="1"/>
  <c r="C315" i="1"/>
  <c r="D319" i="1" s="1"/>
  <c r="F319" i="1" s="1"/>
  <c r="D286" i="1"/>
  <c r="D287" i="1"/>
  <c r="D285" i="1"/>
  <c r="C403" i="1"/>
  <c r="C404" i="1" s="1"/>
  <c r="C406" i="1" s="1"/>
  <c r="C401" i="1"/>
  <c r="D105" i="1" l="1"/>
  <c r="D166" i="1" s="1"/>
  <c r="D173" i="1"/>
  <c r="C102" i="1"/>
  <c r="G300" i="1"/>
  <c r="H300" i="1"/>
  <c r="C136" i="1" l="1"/>
  <c r="C142" i="1" s="1"/>
  <c r="C111" i="1"/>
  <c r="D167" i="1" s="1"/>
  <c r="F15" i="4"/>
  <c r="H15" i="4" s="1"/>
  <c r="J15" i="4" s="1"/>
  <c r="F16" i="4" l="1"/>
  <c r="H16" i="4" s="1"/>
  <c r="J16" i="4" s="1"/>
  <c r="C116" i="1"/>
  <c r="C128" i="1" s="1"/>
  <c r="C129" i="1" s="1"/>
  <c r="C178" i="1"/>
  <c r="C196" i="1" s="1"/>
  <c r="D172" i="1"/>
  <c r="F6" i="4" s="1"/>
  <c r="H6" i="4" s="1"/>
  <c r="J6" i="4" s="1"/>
  <c r="F5" i="4"/>
  <c r="H5" i="4" s="1"/>
  <c r="J5" i="4" s="1"/>
  <c r="D171" i="1"/>
  <c r="C122" i="1"/>
  <c r="C361" i="1"/>
  <c r="C364" i="1" s="1"/>
  <c r="C367" i="1" s="1"/>
  <c r="F13" i="4" s="1"/>
  <c r="C353" i="1"/>
  <c r="D168" i="1" l="1"/>
  <c r="C314" i="1" s="1"/>
  <c r="F14" i="4"/>
  <c r="H14" i="4" s="1"/>
  <c r="J14" i="4" s="1"/>
  <c r="D204" i="1"/>
  <c r="C352" i="1"/>
  <c r="C354" i="1" s="1"/>
  <c r="C198" i="1"/>
  <c r="F17" i="4"/>
  <c r="D169" i="1"/>
  <c r="C206" i="1"/>
  <c r="C197" i="1"/>
  <c r="C199" i="1" s="1"/>
  <c r="C131" i="1"/>
  <c r="F18" i="4" s="1"/>
  <c r="H18" i="4" s="1"/>
  <c r="J18" i="4" s="1"/>
  <c r="C375" i="1"/>
  <c r="D375" i="1" s="1"/>
  <c r="D170" i="1"/>
  <c r="F19"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<sst xmlns="http://schemas.openxmlformats.org/spreadsheetml/2006/main" count="536" uniqueCount="354">
  <si>
    <t>Nama</t>
  </si>
  <si>
    <t>NIM</t>
  </si>
  <si>
    <t>1.</t>
  </si>
  <si>
    <t>a.</t>
  </si>
  <si>
    <t>b.</t>
  </si>
  <si>
    <t>c.</t>
  </si>
  <si>
    <t>2.</t>
  </si>
  <si>
    <t>ALGORITMA PERHITUNGAN</t>
  </si>
  <si>
    <t>d.</t>
  </si>
  <si>
    <t>e.</t>
  </si>
  <si>
    <t>3.</t>
  </si>
  <si>
    <t>DETAIL PERHITUNGAN</t>
  </si>
  <si>
    <t>Lpp =</t>
  </si>
  <si>
    <t>mm</t>
  </si>
  <si>
    <t>m/s</t>
  </si>
  <si>
    <t>f.</t>
  </si>
  <si>
    <t>DAFTAR REFERENSI YANG DIGUNAKAN</t>
  </si>
  <si>
    <t>Principle of Naval Architecture</t>
  </si>
  <si>
    <t xml:space="preserve">Practical Ship Design </t>
  </si>
  <si>
    <t>Parametric Design</t>
  </si>
  <si>
    <t xml:space="preserve">BKI Volume II  </t>
  </si>
  <si>
    <r>
      <t>RENCANA GARIS (</t>
    </r>
    <r>
      <rPr>
        <b/>
        <i/>
        <sz val="12"/>
        <rFont val="Arial"/>
        <family val="2"/>
      </rPr>
      <t>LINES PLAN</t>
    </r>
    <r>
      <rPr>
        <b/>
        <sz val="12"/>
        <rFont val="Arial"/>
        <family val="2"/>
      </rPr>
      <t>)</t>
    </r>
  </si>
  <si>
    <t>Penentuan data awal menggunakan data kapal pembanding</t>
  </si>
  <si>
    <t>- Rasio perbandingan panjang dan lebar kapal (L/B)</t>
  </si>
  <si>
    <t>- Rasio perbandingan lebar dan sarat air kapal (B/T)</t>
  </si>
  <si>
    <t>- Rasio perbandingan panjang dan sarat air kapal (L/T)</t>
  </si>
  <si>
    <t>- Rasio perbandingan lebar dan tinggi kapal (B/H)</t>
  </si>
  <si>
    <t>- Rasio perbandingan panjang dan tinggi kapal (L/H)</t>
  </si>
  <si>
    <t>- Rasio perbandingan sarat ait dan tinggi kapal (T/H)</t>
  </si>
  <si>
    <t>- Nilai tinggi Kapal (H) berdasarkan aturan BKI Volume II</t>
  </si>
  <si>
    <t>g.</t>
  </si>
  <si>
    <r>
      <t xml:space="preserve">Perhitungan </t>
    </r>
    <r>
      <rPr>
        <i/>
        <sz val="10"/>
        <rFont val="Arial"/>
        <family val="2"/>
      </rPr>
      <t>Longitudinal Center of Bouyancy (LCB)</t>
    </r>
  </si>
  <si>
    <t>h.</t>
  </si>
  <si>
    <r>
      <t>Perhitungan jarak antar gading (</t>
    </r>
    <r>
      <rPr>
        <i/>
        <sz val="10"/>
        <rFont val="Arial"/>
        <family val="2"/>
      </rPr>
      <t>frame spacing</t>
    </r>
    <r>
      <rPr>
        <sz val="10"/>
        <rFont val="Arial"/>
        <family val="2"/>
      </rPr>
      <t>)</t>
    </r>
  </si>
  <si>
    <t>Data Kapal Pembanding (Data Awal)</t>
  </si>
  <si>
    <t>Panjang Lpp =</t>
  </si>
  <si>
    <t>Sarat Air (T) =</t>
  </si>
  <si>
    <t>Tinggi (H) =</t>
  </si>
  <si>
    <t>Lebar (B) =</t>
  </si>
  <si>
    <t>meter</t>
  </si>
  <si>
    <t>Vs (Knot)</t>
  </si>
  <si>
    <t>Vs (Knot) =</t>
  </si>
  <si>
    <t>Vs (m/s) =</t>
  </si>
  <si>
    <t>ρ =</t>
  </si>
  <si>
    <t>Knots</t>
  </si>
  <si>
    <t>Fn=</t>
  </si>
  <si>
    <t>Dimana :</t>
  </si>
  <si>
    <t>Fn =</t>
  </si>
  <si>
    <t>Vs =</t>
  </si>
  <si>
    <r>
      <t>Perhitungan</t>
    </r>
    <r>
      <rPr>
        <b/>
        <i/>
        <sz val="10"/>
        <rFont val="Arial"/>
        <family val="2"/>
      </rPr>
      <t xml:space="preserve"> Froude Number</t>
    </r>
  </si>
  <si>
    <r>
      <t xml:space="preserve">Perhitungan </t>
    </r>
    <r>
      <rPr>
        <i/>
        <sz val="10"/>
        <rFont val="Arial"/>
        <family val="2"/>
      </rPr>
      <t>Froude Number</t>
    </r>
  </si>
  <si>
    <t>Froude Number</t>
  </si>
  <si>
    <t>Kecepatan dinas kapal (m/s)</t>
  </si>
  <si>
    <t>g =</t>
  </si>
  <si>
    <t>Percepatan gravitasi =</t>
  </si>
  <si>
    <r>
      <t>m/s</t>
    </r>
    <r>
      <rPr>
        <vertAlign val="superscript"/>
        <sz val="10"/>
        <rFont val="Arial"/>
        <family val="2"/>
      </rPr>
      <t>2</t>
    </r>
  </si>
  <si>
    <t>Panjang garis air (Lwl)</t>
  </si>
  <si>
    <t>Panjang Loa</t>
  </si>
  <si>
    <t>Panjang Loa =</t>
  </si>
  <si>
    <t>Lwl =</t>
  </si>
  <si>
    <t>i.</t>
  </si>
  <si>
    <t>Perhitungan volume displacement dan berat displacement</t>
  </si>
  <si>
    <t>Perhitungan panjang garis air (Lwl)</t>
  </si>
  <si>
    <t>dimana:</t>
  </si>
  <si>
    <t>Panjang garis air (meter)</t>
  </si>
  <si>
    <t>Sehingga :</t>
  </si>
  <si>
    <t xml:space="preserve"> L = Lwl =</t>
  </si>
  <si>
    <t>Perhitungan rasio ukuran utama kapal</t>
  </si>
  <si>
    <t>→</t>
  </si>
  <si>
    <t>B/T</t>
  </si>
  <si>
    <t>Nilai</t>
  </si>
  <si>
    <t>Ket</t>
  </si>
  <si>
    <t>Referensi</t>
  </si>
  <si>
    <t>L/B</t>
  </si>
  <si>
    <t>L/T</t>
  </si>
  <si>
    <t>L/H</t>
  </si>
  <si>
    <t>B/H</t>
  </si>
  <si>
    <t>T/H</t>
  </si>
  <si>
    <t xml:space="preserve">Tinggi Kapal (H) </t>
  </si>
  <si>
    <t>No</t>
  </si>
  <si>
    <t>A. Papanikolaou, Ship Design - Methodologies of Preliminary Design, 1st ed. Springer, 2014.</t>
  </si>
  <si>
    <t>Ship Design - Methodologies of Preliminary Design, Hal.102</t>
  </si>
  <si>
    <t>Keterangan:</t>
  </si>
  <si>
    <t>Rasio*</t>
  </si>
  <si>
    <t>Rentang**</t>
  </si>
  <si>
    <t>Principle of Naval Architecture Vol.I hlm.19</t>
  </si>
  <si>
    <t xml:space="preserve">D (depth) = Tinggi Kapal =H </t>
  </si>
  <si>
    <t>* L = Lpp &amp; dalam referensi D (depth) sama dengan H (tinggi kapal)</t>
  </si>
  <si>
    <t>Tipe Kapal =</t>
  </si>
  <si>
    <t>IMO Number =</t>
  </si>
  <si>
    <t>NKK</t>
  </si>
  <si>
    <t>Practical Ship Design hal. 70 (fig 3.9)</t>
  </si>
  <si>
    <t>Practical Ship Design hal. 71 (fig 3.10)</t>
  </si>
  <si>
    <t>BKI Vol. II , Section 1 (A)</t>
  </si>
  <si>
    <t>** Seluruh nilai rentang harus disesuaikan dengan jenis kapal pada referensi yang digunakan</t>
  </si>
  <si>
    <t>Classification =</t>
  </si>
  <si>
    <r>
      <t xml:space="preserve">- Tipe kapal Container dapat menggunakan tipe kapal </t>
    </r>
    <r>
      <rPr>
        <i/>
        <sz val="10"/>
        <rFont val="Arial"/>
        <family val="2"/>
      </rPr>
      <t>slow seagoing cargo ship</t>
    </r>
  </si>
  <si>
    <t>- Tipe kapal Bulk Carrier menggunakan tipe Bulk Carrier</t>
  </si>
  <si>
    <r>
      <t xml:space="preserve">- Tipe kapal Tanker, pemilihan tipe tanker pada tabel disesuaikan dengan nilai Fn (Froude Number) atau </t>
    </r>
    <r>
      <rPr>
        <i/>
        <sz val="10"/>
        <rFont val="Arial"/>
        <family val="2"/>
      </rPr>
      <t>slow seagoing cargo ship</t>
    </r>
    <r>
      <rPr>
        <sz val="10"/>
        <rFont val="Arial"/>
        <family val="2"/>
      </rPr>
      <t xml:space="preserve"> jika nilai Fn tidak sesuai</t>
    </r>
  </si>
  <si>
    <t>Perhitungan koefesien kapal</t>
  </si>
  <si>
    <r>
      <t xml:space="preserve">- Perhitungan  </t>
    </r>
    <r>
      <rPr>
        <i/>
        <sz val="10"/>
        <rFont val="Arial"/>
        <family val="2"/>
      </rPr>
      <t xml:space="preserve">block coeffisien </t>
    </r>
  </si>
  <si>
    <r>
      <t xml:space="preserve">- Perhitungan </t>
    </r>
    <r>
      <rPr>
        <i/>
        <sz val="10"/>
        <rFont val="Arial"/>
        <family val="2"/>
      </rPr>
      <t>midship coeffisien</t>
    </r>
  </si>
  <si>
    <r>
      <t xml:space="preserve">- Perhitungan </t>
    </r>
    <r>
      <rPr>
        <i/>
        <sz val="10"/>
        <rFont val="Arial"/>
        <family val="2"/>
      </rPr>
      <t>waterplan coeffisien</t>
    </r>
  </si>
  <si>
    <r>
      <t xml:space="preserve">- Perhitungan </t>
    </r>
    <r>
      <rPr>
        <i/>
        <sz val="10"/>
        <rFont val="Arial"/>
        <family val="2"/>
      </rPr>
      <t>prismatic coeffisien</t>
    </r>
  </si>
  <si>
    <r>
      <t>C</t>
    </r>
    <r>
      <rPr>
        <sz val="10"/>
        <color indexed="8"/>
        <rFont val="Arial"/>
        <family val="2"/>
      </rPr>
      <t>b perhitungan =</t>
    </r>
  </si>
  <si>
    <r>
      <t>– 4.22 + 27.8 √Fn – 39.1 Fn + 46.6 Fn</t>
    </r>
    <r>
      <rPr>
        <vertAlign val="superscript"/>
        <sz val="10"/>
        <color indexed="8"/>
        <rFont val="Arial"/>
        <family val="2"/>
      </rPr>
      <t>3</t>
    </r>
  </si>
  <si>
    <t>Rumus ini berdasarkan referensi dari Michael G. Parsons, Parametric Design (Chapter 11), Hal.11 untuk kapal dengan range nilai Fn adalah 0.15 ≤ Fn  ≤ 0.3. Berdasarkan perhitungan nilai Fn sebelumnya, didapat nilai Fn sebesar:</t>
  </si>
  <si>
    <t>0.15 ≤ Fn  ≤ 0.3</t>
  </si>
  <si>
    <t>Sehingga:</t>
  </si>
  <si>
    <r>
      <t xml:space="preserve">- Perhitungan  </t>
    </r>
    <r>
      <rPr>
        <b/>
        <i/>
        <sz val="10"/>
        <rFont val="Arial"/>
        <family val="2"/>
      </rPr>
      <t xml:space="preserve">block coeffisien </t>
    </r>
  </si>
  <si>
    <r>
      <t xml:space="preserve">- Perhitungan </t>
    </r>
    <r>
      <rPr>
        <b/>
        <i/>
        <sz val="10"/>
        <rFont val="Arial"/>
        <family val="2"/>
      </rPr>
      <t>midship coeffisien</t>
    </r>
  </si>
  <si>
    <r>
      <t xml:space="preserve">Perhitungan  </t>
    </r>
    <r>
      <rPr>
        <i/>
        <sz val="10"/>
        <rFont val="Arial"/>
        <family val="2"/>
      </rPr>
      <t xml:space="preserve">block coeffisien </t>
    </r>
    <r>
      <rPr>
        <sz val="10"/>
        <rFont val="Arial"/>
        <family val="2"/>
      </rPr>
      <t>menggunakan pendekatan rumus sebagai berikut:</t>
    </r>
  </si>
  <si>
    <t>0.977 +0.085(Cb-0.6)</t>
  </si>
  <si>
    <t>Cm =</t>
  </si>
  <si>
    <r>
      <t xml:space="preserve">Perhitungan </t>
    </r>
    <r>
      <rPr>
        <i/>
        <sz val="10"/>
        <rFont val="Arial"/>
        <family val="2"/>
      </rPr>
      <t xml:space="preserve">midship coeffisien </t>
    </r>
    <r>
      <rPr>
        <sz val="10"/>
        <rFont val="Arial"/>
        <family val="2"/>
      </rPr>
      <t>menggunakan pendekatan rumus dari Michael G. Parsons, Parametric Design (Chapter 11) Hal.12, berdasarkan Benford Series 60 Data</t>
    </r>
  </si>
  <si>
    <r>
      <t xml:space="preserve">Perhitungan </t>
    </r>
    <r>
      <rPr>
        <i/>
        <sz val="10"/>
        <rFont val="Arial"/>
        <family val="2"/>
      </rPr>
      <t xml:space="preserve">waterplane coeffisien </t>
    </r>
    <r>
      <rPr>
        <sz val="10"/>
        <rFont val="Arial"/>
        <family val="2"/>
      </rPr>
      <t>menggunakan pendekatan rumus dari Michael G. Parsons, Parametric Design (Chapter 11) Hal.16</t>
    </r>
  </si>
  <si>
    <t>0.180+0.860 Cp</t>
  </si>
  <si>
    <t>Cwp =</t>
  </si>
  <si>
    <t>Cb/Cm</t>
  </si>
  <si>
    <t>Cp =</t>
  </si>
  <si>
    <r>
      <t xml:space="preserve">Perhitungan </t>
    </r>
    <r>
      <rPr>
        <b/>
        <i/>
        <sz val="10"/>
        <rFont val="Arial"/>
        <family val="2"/>
      </rPr>
      <t>Longitudinal Center of Bouyancy (LCB)</t>
    </r>
  </si>
  <si>
    <r>
      <t xml:space="preserve">Perhitungan </t>
    </r>
    <r>
      <rPr>
        <i/>
        <sz val="10"/>
        <rFont val="Arial"/>
        <family val="2"/>
      </rPr>
      <t xml:space="preserve">Longitudinal Center of Bouyancy (LCB) </t>
    </r>
    <r>
      <rPr>
        <sz val="10"/>
        <rFont val="Arial"/>
        <family val="2"/>
      </rPr>
      <t>menggunakan pendekatan rumus dari Michael G. Parsons, Parametric Design (Chapter 11) Hal.19</t>
    </r>
  </si>
  <si>
    <r>
      <t xml:space="preserve">Perhitungan  </t>
    </r>
    <r>
      <rPr>
        <i/>
        <sz val="10"/>
        <rFont val="Arial"/>
        <family val="2"/>
      </rPr>
      <t>prismatic coeffisien</t>
    </r>
    <r>
      <rPr>
        <sz val="10"/>
        <rFont val="Arial"/>
        <family val="2"/>
      </rPr>
      <t xml:space="preserve"> menggunakan pendekatan rumus sebagai berikut:</t>
    </r>
  </si>
  <si>
    <t>LCB =</t>
  </si>
  <si>
    <t>(-13.5 + 19.4*Cp) …… (%Lpp)</t>
  </si>
  <si>
    <t>%Lpp</t>
  </si>
  <si>
    <t>meter dari midship (Nilai (+) menunjukkan LCB didepan midship, nilai (-) menunjukkan LCB dibelakang midship</t>
  </si>
  <si>
    <t>meter, LCB dari AP</t>
  </si>
  <si>
    <t>▼ =</t>
  </si>
  <si>
    <t>Lwl x B x T x Cb</t>
  </si>
  <si>
    <r>
      <t>- Perhitungan volume displacement (m</t>
    </r>
    <r>
      <rPr>
        <vertAlign val="superscript"/>
        <sz val="10"/>
        <rFont val="Arial"/>
        <family val="2"/>
      </rPr>
      <t>3</t>
    </r>
    <r>
      <rPr>
        <sz val="10"/>
        <rFont val="Arial"/>
        <family val="2"/>
      </rPr>
      <t>)</t>
    </r>
  </si>
  <si>
    <r>
      <t>m</t>
    </r>
    <r>
      <rPr>
        <vertAlign val="superscript"/>
        <sz val="10"/>
        <rFont val="Arial"/>
        <family val="2"/>
      </rPr>
      <t>3</t>
    </r>
  </si>
  <si>
    <t>- Perhitungan berat displacement (ton)</t>
  </si>
  <si>
    <t>ton</t>
  </si>
  <si>
    <r>
      <t>Perhitungan jarak antar gading (</t>
    </r>
    <r>
      <rPr>
        <b/>
        <i/>
        <sz val="10"/>
        <rFont val="Arial"/>
        <family val="2"/>
      </rPr>
      <t>frame spacing</t>
    </r>
    <r>
      <rPr>
        <b/>
        <sz val="10"/>
        <rFont val="Arial"/>
        <family val="2"/>
      </rPr>
      <t>)</t>
    </r>
  </si>
  <si>
    <t>fs =</t>
  </si>
  <si>
    <r>
      <t xml:space="preserve">Perhitungan </t>
    </r>
    <r>
      <rPr>
        <i/>
        <sz val="10"/>
        <rFont val="Arial"/>
        <family val="2"/>
      </rPr>
      <t>frame spasing</t>
    </r>
    <r>
      <rPr>
        <sz val="10"/>
        <rFont val="Arial"/>
        <family val="2"/>
      </rPr>
      <t xml:space="preserve"> (jarak gading) bedasarkan BKI Volume II Section 9 (A.1). Aturan ini mengatakan bahwa frame spacing pada collision bulkhead dan after peak bulkhead tidak lebih dari 600mm, maka:</t>
    </r>
  </si>
  <si>
    <t>Summary</t>
  </si>
  <si>
    <t xml:space="preserve">Tipe Kapal </t>
  </si>
  <si>
    <t xml:space="preserve">IMO Number </t>
  </si>
  <si>
    <t>Classification</t>
  </si>
  <si>
    <t>Vs (m/s)</t>
  </si>
  <si>
    <t>massa jenis (ρ)</t>
  </si>
  <si>
    <t>Nama Kapal</t>
  </si>
  <si>
    <t>Lpp (Length between perpendicular)</t>
  </si>
  <si>
    <t>B (Breadth)</t>
  </si>
  <si>
    <t>Lwl (length of Waterline)</t>
  </si>
  <si>
    <t>H (height)</t>
  </si>
  <si>
    <t>T (Draught)</t>
  </si>
  <si>
    <t>Cb (Block Coefficient)</t>
  </si>
  <si>
    <t>Cm (Midship Coefficient)</t>
  </si>
  <si>
    <t>Cwp (Waterplan Coefficient)</t>
  </si>
  <si>
    <t>Cp (Prismatic Coefficient)</t>
  </si>
  <si>
    <t>Longitudinal Center of Bouyancy (LCB)</t>
  </si>
  <si>
    <t>Δ (Displacement)</t>
  </si>
  <si>
    <t>Volume Displacement</t>
  </si>
  <si>
    <t>Fn (Froude Number)</t>
  </si>
  <si>
    <t>Nama Kapal =</t>
  </si>
  <si>
    <t>Practical Ship Design</t>
  </si>
  <si>
    <t>- rasio B/H</t>
  </si>
  <si>
    <t>- rasio T/H</t>
  </si>
  <si>
    <t>Am =</t>
  </si>
  <si>
    <t>=</t>
  </si>
  <si>
    <t>m2</t>
  </si>
  <si>
    <t>j.</t>
  </si>
  <si>
    <t>R =</t>
  </si>
  <si>
    <t>A1 =</t>
  </si>
  <si>
    <t>A2 =</t>
  </si>
  <si>
    <t>Lebar (B)</t>
  </si>
  <si>
    <t>m</t>
  </si>
  <si>
    <t>Tinggi geladak (H)</t>
  </si>
  <si>
    <t>Sarat air (T)</t>
  </si>
  <si>
    <t>Luas Midship (Am)</t>
  </si>
  <si>
    <t>Penggambaran Maxsurf</t>
  </si>
  <si>
    <t>1/2 Lpp =</t>
  </si>
  <si>
    <t>Lwl - Lpp =</t>
  </si>
  <si>
    <t>B (Breadth) =</t>
  </si>
  <si>
    <t>Offset =</t>
  </si>
  <si>
    <t>-</t>
  </si>
  <si>
    <t>Lwl</t>
  </si>
  <si>
    <t xml:space="preserve">Awl = </t>
  </si>
  <si>
    <t>Lwl x B x Cwl</t>
  </si>
  <si>
    <t>Dimana:</t>
  </si>
  <si>
    <t>Cbwl =</t>
  </si>
  <si>
    <t xml:space="preserve"> Cb x (Lpp/Lwl)</t>
  </si>
  <si>
    <t>Cb =</t>
  </si>
  <si>
    <t>Cwl =</t>
  </si>
  <si>
    <t>0.248+(0.778Cbwl)</t>
  </si>
  <si>
    <t>koreksi AWL =</t>
  </si>
  <si>
    <t>Label</t>
  </si>
  <si>
    <t>Slow ships (Fn≤0.24)</t>
  </si>
  <si>
    <t>High speed craft (0.36≤Fn≤0.46)</t>
  </si>
  <si>
    <t>Speedboats and small crafts (Fn&gt;0.46)</t>
  </si>
  <si>
    <t>Referensi 1, Hal 146</t>
  </si>
  <si>
    <r>
      <t>B</t>
    </r>
    <r>
      <rPr>
        <vertAlign val="subscript"/>
        <sz val="10"/>
        <rFont val="Arial"/>
        <family val="2"/>
      </rPr>
      <t>MS</t>
    </r>
    <r>
      <rPr>
        <sz val="10"/>
        <rFont val="Arial"/>
        <family val="2"/>
      </rPr>
      <t xml:space="preserve"> =</t>
    </r>
  </si>
  <si>
    <r>
      <t>C</t>
    </r>
    <r>
      <rPr>
        <vertAlign val="subscript"/>
        <sz val="10"/>
        <rFont val="Arial"/>
        <family val="2"/>
      </rPr>
      <t>BB</t>
    </r>
  </si>
  <si>
    <r>
      <t>C</t>
    </r>
    <r>
      <rPr>
        <vertAlign val="subscript"/>
        <sz val="10"/>
        <rFont val="Arial"/>
        <family val="2"/>
      </rPr>
      <t>LPR</t>
    </r>
  </si>
  <si>
    <r>
      <t>C</t>
    </r>
    <r>
      <rPr>
        <vertAlign val="subscript"/>
        <sz val="10"/>
        <rFont val="Arial"/>
        <family val="2"/>
      </rPr>
      <t>ZB</t>
    </r>
  </si>
  <si>
    <t>Min</t>
  </si>
  <si>
    <t>Max</t>
  </si>
  <si>
    <r>
      <t>T</t>
    </r>
    <r>
      <rPr>
        <vertAlign val="subscript"/>
        <sz val="10"/>
        <rFont val="Arial"/>
        <family val="2"/>
      </rPr>
      <t>FP</t>
    </r>
    <r>
      <rPr>
        <sz val="10"/>
        <rFont val="Arial"/>
        <family val="2"/>
      </rPr>
      <t xml:space="preserve"> =</t>
    </r>
  </si>
  <si>
    <r>
      <t>L</t>
    </r>
    <r>
      <rPr>
        <vertAlign val="subscript"/>
        <sz val="10"/>
        <rFont val="Arial"/>
        <family val="2"/>
      </rPr>
      <t>PP</t>
    </r>
    <r>
      <rPr>
        <sz val="10"/>
        <rFont val="Arial"/>
        <family val="2"/>
      </rPr>
      <t xml:space="preserve"> =</t>
    </r>
  </si>
  <si>
    <r>
      <t>Z</t>
    </r>
    <r>
      <rPr>
        <vertAlign val="subscript"/>
        <sz val="10"/>
        <rFont val="Arial"/>
        <family val="2"/>
      </rPr>
      <t>B</t>
    </r>
    <r>
      <rPr>
        <sz val="10"/>
        <rFont val="Arial"/>
        <family val="2"/>
      </rPr>
      <t xml:space="preserve"> =</t>
    </r>
  </si>
  <si>
    <r>
      <t>L</t>
    </r>
    <r>
      <rPr>
        <vertAlign val="subscript"/>
        <sz val="10"/>
        <rFont val="Arial"/>
        <family val="2"/>
      </rPr>
      <t>PR</t>
    </r>
    <r>
      <rPr>
        <sz val="10"/>
        <rFont val="Arial"/>
        <family val="2"/>
      </rPr>
      <t xml:space="preserve"> =</t>
    </r>
  </si>
  <si>
    <r>
      <t>1/2B</t>
    </r>
    <r>
      <rPr>
        <vertAlign val="subscript"/>
        <sz val="10"/>
        <rFont val="Arial"/>
        <family val="2"/>
      </rPr>
      <t>B</t>
    </r>
    <r>
      <rPr>
        <sz val="10"/>
        <rFont val="Arial"/>
        <family val="2"/>
      </rPr>
      <t xml:space="preserve"> =</t>
    </r>
  </si>
  <si>
    <r>
      <t>B</t>
    </r>
    <r>
      <rPr>
        <vertAlign val="subscript"/>
        <sz val="10"/>
        <rFont val="Arial"/>
        <family val="2"/>
      </rPr>
      <t>B</t>
    </r>
    <r>
      <rPr>
        <sz val="10"/>
        <rFont val="Arial"/>
        <family val="2"/>
      </rPr>
      <t xml:space="preserve"> =</t>
    </r>
  </si>
  <si>
    <t>L Station</t>
  </si>
  <si>
    <t>Panjang (Lpp)</t>
  </si>
  <si>
    <t>Gading pada Sekat</t>
  </si>
  <si>
    <t>Jumlah Gading</t>
  </si>
  <si>
    <t>Sekat ceruk Buritan (Sterntube bulkhead), min. 3 fs dari 0.35T</t>
  </si>
  <si>
    <r>
      <t xml:space="preserve">- Perhitungan </t>
    </r>
    <r>
      <rPr>
        <b/>
        <i/>
        <sz val="10"/>
        <rFont val="Arial"/>
        <family val="2"/>
      </rPr>
      <t>prismatic coeffisien</t>
    </r>
  </si>
  <si>
    <r>
      <t xml:space="preserve">- Perhitungan </t>
    </r>
    <r>
      <rPr>
        <b/>
        <i/>
        <sz val="10"/>
        <rFont val="Arial"/>
        <family val="2"/>
      </rPr>
      <t>waterplan coeffisien</t>
    </r>
  </si>
  <si>
    <t>Fast ships (0.24≤Fn≤0.36)</t>
  </si>
  <si>
    <t>Offset 1 =</t>
  </si>
  <si>
    <t>k.</t>
  </si>
  <si>
    <t>Perhitungan luas bidang tengah kapal (Amidship) dan Jari-Jari Bilga</t>
  </si>
  <si>
    <t>Linggi Haluan (Bow) dan Linggi Buritan (Stern)</t>
  </si>
  <si>
    <t>- Linggi haluan tanpa bulbous bow</t>
  </si>
  <si>
    <t>- Linggi haluan dengan bulbousbow</t>
  </si>
  <si>
    <t>- Linggi Buritan (Stern)</t>
  </si>
  <si>
    <t>D =</t>
  </si>
  <si>
    <t>0.65T =</t>
  </si>
  <si>
    <t>a =</t>
  </si>
  <si>
    <t>0.33T =</t>
  </si>
  <si>
    <t>b =</t>
  </si>
  <si>
    <t>0.35T =</t>
  </si>
  <si>
    <t>e =</t>
  </si>
  <si>
    <t>0.12T =</t>
  </si>
  <si>
    <t>l.</t>
  </si>
  <si>
    <t>Menggambar Bwl/2 dan Bdeck/2</t>
  </si>
  <si>
    <r>
      <t>ton/m</t>
    </r>
    <r>
      <rPr>
        <vertAlign val="superscript"/>
        <sz val="10"/>
        <color indexed="8"/>
        <rFont val="Arial"/>
        <family val="2"/>
      </rPr>
      <t>3</t>
    </r>
    <r>
      <rPr>
        <sz val="11"/>
        <color theme="1"/>
        <rFont val="Calibri"/>
        <family val="2"/>
        <charset val="1"/>
        <scheme val="minor"/>
      </rPr>
      <t/>
    </r>
  </si>
  <si>
    <t>∆ =</t>
  </si>
  <si>
    <t>Lwl x B x T x Cb x ρ</t>
  </si>
  <si>
    <t>volume displacement (▼) x ρ</t>
  </si>
  <si>
    <r>
      <t>m</t>
    </r>
    <r>
      <rPr>
        <vertAlign val="superscript"/>
        <sz val="10"/>
        <color theme="1"/>
        <rFont val="Arial"/>
        <family val="2"/>
      </rPr>
      <t>2</t>
    </r>
  </si>
  <si>
    <r>
      <t>Koreksi Luas Bidang Garis Air (A</t>
    </r>
    <r>
      <rPr>
        <vertAlign val="subscript"/>
        <sz val="10"/>
        <color theme="1"/>
        <rFont val="Arial"/>
        <family val="2"/>
      </rPr>
      <t>WL</t>
    </r>
    <r>
      <rPr>
        <sz val="10"/>
        <color theme="1"/>
        <rFont val="Arial"/>
        <family val="2"/>
      </rPr>
      <t>)</t>
    </r>
  </si>
  <si>
    <r>
      <t>A</t>
    </r>
    <r>
      <rPr>
        <vertAlign val="subscript"/>
        <sz val="10"/>
        <color theme="1"/>
        <rFont val="Arial"/>
        <family val="2"/>
      </rPr>
      <t>WL</t>
    </r>
    <r>
      <rPr>
        <sz val="10"/>
        <color theme="1"/>
        <rFont val="Arial"/>
        <family val="2"/>
      </rPr>
      <t>=</t>
    </r>
  </si>
  <si>
    <r>
      <t>Syarat koreksi A</t>
    </r>
    <r>
      <rPr>
        <vertAlign val="subscript"/>
        <sz val="10"/>
        <color theme="1"/>
        <rFont val="Arial"/>
        <family val="2"/>
      </rPr>
      <t>WL</t>
    </r>
    <r>
      <rPr>
        <sz val="10"/>
        <color theme="1"/>
        <rFont val="Arial"/>
        <family val="2"/>
      </rPr>
      <t xml:space="preserve"> ± 0.5%</t>
    </r>
  </si>
  <si>
    <r>
      <t xml:space="preserve">Sekat kamar mesin (Engine room bulkhead), </t>
    </r>
    <r>
      <rPr>
        <b/>
        <sz val="10"/>
        <color theme="1"/>
        <rFont val="Arial"/>
        <family val="2"/>
      </rPr>
      <t>17-20% Lpp dari AP, diambil 18%</t>
    </r>
  </si>
  <si>
    <t xml:space="preserve">Koefesien blok </t>
  </si>
  <si>
    <r>
      <t>A</t>
    </r>
    <r>
      <rPr>
        <vertAlign val="subscript"/>
        <sz val="10"/>
        <color theme="1"/>
        <rFont val="Arial"/>
        <family val="2"/>
      </rPr>
      <t xml:space="preserve">WL(Autocad) </t>
    </r>
    <r>
      <rPr>
        <sz val="10"/>
        <color theme="1"/>
        <rFont val="Arial"/>
        <family val="2"/>
      </rPr>
      <t xml:space="preserve">= </t>
    </r>
  </si>
  <si>
    <t xml:space="preserve">Parallel middle body dapat ditentukan berdasarkan nilai prismatic coefficient CP  </t>
  </si>
  <si>
    <t>22%Lwl - 35%Lwl, dengan nilai tengah 28.5%Lwl</t>
  </si>
  <si>
    <t>Diambil sebesar 28.5%Lwl =</t>
  </si>
  <si>
    <r>
      <t xml:space="preserve">meter, </t>
    </r>
    <r>
      <rPr>
        <sz val="10"/>
        <rFont val="Times New Roman"/>
        <family val="1"/>
      </rPr>
      <t>≈</t>
    </r>
  </si>
  <si>
    <t>Sedangkan Awl pada penggambaran Autocad sebesar,</t>
  </si>
  <si>
    <r>
      <t>((A</t>
    </r>
    <r>
      <rPr>
        <vertAlign val="subscript"/>
        <sz val="10"/>
        <color theme="1"/>
        <rFont val="Arial"/>
        <family val="2"/>
      </rPr>
      <t>WL(AUTOCAD)</t>
    </r>
    <r>
      <rPr>
        <sz val="10"/>
        <color theme="1"/>
        <rFont val="Arial"/>
        <family val="2"/>
      </rPr>
      <t xml:space="preserve"> - A</t>
    </r>
    <r>
      <rPr>
        <vertAlign val="subscript"/>
        <sz val="10"/>
        <color theme="1"/>
        <rFont val="Arial"/>
        <family val="2"/>
      </rPr>
      <t>WL</t>
    </r>
    <r>
      <rPr>
        <sz val="10"/>
        <color theme="1"/>
        <rFont val="Arial"/>
        <family val="2"/>
      </rPr>
      <t>)/A</t>
    </r>
    <r>
      <rPr>
        <vertAlign val="subscript"/>
        <sz val="10"/>
        <color theme="1"/>
        <rFont val="Arial"/>
        <family val="2"/>
      </rPr>
      <t>WL</t>
    </r>
    <r>
      <rPr>
        <sz val="10"/>
        <color theme="1"/>
        <rFont val="Arial"/>
        <family val="2"/>
      </rPr>
      <t>) x 100</t>
    </r>
  </si>
  <si>
    <t>Sehingga Awl Perhitungan:</t>
  </si>
  <si>
    <t xml:space="preserve">1/2B = </t>
  </si>
  <si>
    <r>
      <t>1/2 A</t>
    </r>
    <r>
      <rPr>
        <vertAlign val="subscript"/>
        <sz val="10"/>
        <color theme="1"/>
        <rFont val="Arial"/>
        <family val="2"/>
      </rPr>
      <t xml:space="preserve">WL(Autocad) </t>
    </r>
    <r>
      <rPr>
        <sz val="10"/>
        <color theme="1"/>
        <rFont val="Arial"/>
        <family val="2"/>
      </rPr>
      <t xml:space="preserve">= </t>
    </r>
  </si>
  <si>
    <t>Referensi: Ship Design - Methodologies of Preliminary Design, Hal.301</t>
  </si>
  <si>
    <t>Referensi: Ship Design - Methodologies of Preliminary Design, Hal.304</t>
  </si>
  <si>
    <r>
      <t>C</t>
    </r>
    <r>
      <rPr>
        <vertAlign val="subscript"/>
        <sz val="10"/>
        <rFont val="Arial"/>
        <family val="2"/>
      </rPr>
      <t>M</t>
    </r>
    <r>
      <rPr>
        <sz val="10"/>
        <rFont val="Arial"/>
        <family val="2"/>
      </rPr>
      <t>.B.T</t>
    </r>
  </si>
  <si>
    <r>
      <t>Maka, Parallel Body Length (L</t>
    </r>
    <r>
      <rPr>
        <vertAlign val="subscript"/>
        <sz val="10"/>
        <rFont val="Arial"/>
        <family val="2"/>
      </rPr>
      <t>P</t>
    </r>
    <r>
      <rPr>
        <sz val="10"/>
        <rFont val="Arial"/>
        <family val="2"/>
      </rPr>
      <t>) berada diantara:</t>
    </r>
  </si>
  <si>
    <r>
      <t>L</t>
    </r>
    <r>
      <rPr>
        <vertAlign val="subscript"/>
        <sz val="10"/>
        <rFont val="Arial"/>
        <family val="2"/>
      </rPr>
      <t xml:space="preserve">R(BAKER) </t>
    </r>
    <r>
      <rPr>
        <sz val="10"/>
        <rFont val="Arial"/>
        <family val="2"/>
      </rPr>
      <t>=</t>
    </r>
  </si>
  <si>
    <r>
      <t>L</t>
    </r>
    <r>
      <rPr>
        <vertAlign val="subscript"/>
        <sz val="10"/>
        <rFont val="Arial"/>
        <family val="2"/>
      </rPr>
      <t xml:space="preserve">R(ALSEN) </t>
    </r>
    <r>
      <rPr>
        <sz val="10"/>
        <rFont val="Arial"/>
        <family val="2"/>
      </rPr>
      <t>=</t>
    </r>
  </si>
  <si>
    <t>Rata-rata =</t>
  </si>
  <si>
    <t>- Menggambar sekat-sekat (bulkhead)</t>
  </si>
  <si>
    <t xml:space="preserve">AP ke 0.35T </t>
  </si>
  <si>
    <t>Jarak Gading</t>
  </si>
  <si>
    <t>Jarak dari AP (m)</t>
  </si>
  <si>
    <t>Panjang awal (m)</t>
  </si>
  <si>
    <r>
      <t xml:space="preserve">Kapal yang didesain tanpa menggunakan </t>
    </r>
    <r>
      <rPr>
        <i/>
        <sz val="10"/>
        <rFont val="Arial"/>
        <family val="2"/>
      </rPr>
      <t>rise of floor (deadrise)</t>
    </r>
  </si>
  <si>
    <r>
      <t xml:space="preserve">Jari-jari bilga (bilge radius) dihitung menggunakan rumus dari referensi buku Practical Ship Design, Hal 243, dimana rumus radius bilga (R) yang digunakan untuk kapal tanpa </t>
    </r>
    <r>
      <rPr>
        <i/>
        <sz val="10"/>
        <rFont val="Arial"/>
        <family val="2"/>
      </rPr>
      <t>deadrise</t>
    </r>
  </si>
  <si>
    <t>- Menggambar Bdeck/2</t>
  </si>
  <si>
    <t>Range</t>
  </si>
  <si>
    <t>0.5-0.6B,</t>
  </si>
  <si>
    <t>0.05 Lpp</t>
  </si>
  <si>
    <t>Ukuran (m)</t>
  </si>
  <si>
    <t>1/2 Uk</t>
  </si>
  <si>
    <t>0.4 B</t>
  </si>
  <si>
    <t>Sekat Ceruk Haluan (Collision Bulkhead), 5-8% Lpp dari FP (diambil 7.5%)</t>
  </si>
  <si>
    <t>Displacement</t>
  </si>
  <si>
    <t>t</t>
  </si>
  <si>
    <t>Volume (displaced)</t>
  </si>
  <si>
    <t>m^3</t>
  </si>
  <si>
    <t>Draft Amidships</t>
  </si>
  <si>
    <t>Immersed depth</t>
  </si>
  <si>
    <t>WL Length</t>
  </si>
  <si>
    <t>Beam max extents on WL</t>
  </si>
  <si>
    <t>Wetted Area</t>
  </si>
  <si>
    <t>m^2</t>
  </si>
  <si>
    <t>Max sect. area</t>
  </si>
  <si>
    <t>Waterpl. Area</t>
  </si>
  <si>
    <t>Prismatic coeff. (Cp)</t>
  </si>
  <si>
    <t>Block coeff. (Cb)</t>
  </si>
  <si>
    <t>Max Sect. area coeff. (Cm)</t>
  </si>
  <si>
    <t>Waterpl. area coeff. (Cwp)</t>
  </si>
  <si>
    <t>LCB length</t>
  </si>
  <si>
    <t>from zero pt. (+ve fwd) m</t>
  </si>
  <si>
    <t>LCF length</t>
  </si>
  <si>
    <t>LCB %</t>
  </si>
  <si>
    <t>from zero pt. (+ve fwd) % Lwl</t>
  </si>
  <si>
    <t>LCF %</t>
  </si>
  <si>
    <t>KB</t>
  </si>
  <si>
    <t>KG fluid</t>
  </si>
  <si>
    <t>BMt</t>
  </si>
  <si>
    <t>BML</t>
  </si>
  <si>
    <t>GMt corrected</t>
  </si>
  <si>
    <t>GML</t>
  </si>
  <si>
    <t>KMt</t>
  </si>
  <si>
    <t>KML</t>
  </si>
  <si>
    <t>Immersion (TPc)</t>
  </si>
  <si>
    <t>tonne/cm</t>
  </si>
  <si>
    <t>MTc</t>
  </si>
  <si>
    <t>tonne.m</t>
  </si>
  <si>
    <t>RM at 1deg = GMt.Disp.sin(1)</t>
  </si>
  <si>
    <t>Length:Beam ratio</t>
  </si>
  <si>
    <t>Beam:Draft ratio</t>
  </si>
  <si>
    <t>Length:Vol^0.333 ratio</t>
  </si>
  <si>
    <t>Precision</t>
  </si>
  <si>
    <t>Medium</t>
  </si>
  <si>
    <t>67 stations</t>
  </si>
  <si>
    <t>LCB</t>
  </si>
  <si>
    <t>AWL</t>
  </si>
  <si>
    <t>Long.Pos (m)</t>
  </si>
  <si>
    <t>Measurement</t>
  </si>
  <si>
    <t>Value</t>
  </si>
  <si>
    <t>Unit</t>
  </si>
  <si>
    <t>Correction</t>
  </si>
  <si>
    <r>
      <t>- Menentukan Parallel Body Length (L</t>
    </r>
    <r>
      <rPr>
        <b/>
        <vertAlign val="subscript"/>
        <sz val="10"/>
        <rFont val="Arial"/>
        <family val="2"/>
      </rPr>
      <t>P</t>
    </r>
    <r>
      <rPr>
        <b/>
        <sz val="10"/>
        <rFont val="Arial"/>
        <family val="2"/>
      </rPr>
      <t>)</t>
    </r>
  </si>
  <si>
    <r>
      <t>- Menentukan Length of Run (L</t>
    </r>
    <r>
      <rPr>
        <b/>
        <vertAlign val="subscript"/>
        <sz val="10"/>
        <rFont val="Arial"/>
        <family val="2"/>
      </rPr>
      <t>R</t>
    </r>
    <r>
      <rPr>
        <b/>
        <sz val="10"/>
        <rFont val="Arial"/>
        <family val="2"/>
      </rPr>
      <t>)</t>
    </r>
  </si>
  <si>
    <r>
      <t>- Koreksi nilai luas bidang garis air (A</t>
    </r>
    <r>
      <rPr>
        <b/>
        <vertAlign val="subscript"/>
        <sz val="10"/>
        <rFont val="Arial"/>
        <family val="2"/>
      </rPr>
      <t>WL</t>
    </r>
    <r>
      <rPr>
        <b/>
        <sz val="10"/>
        <rFont val="Arial"/>
        <family val="2"/>
      </rPr>
      <t>)</t>
    </r>
  </si>
  <si>
    <t>MAXSURF</t>
  </si>
  <si>
    <t>PERHITUNGAN</t>
  </si>
  <si>
    <t>Koreksi Desain: Perhitungan VS Maxsurf</t>
  </si>
  <si>
    <t>Panjang (Lwl)</t>
  </si>
  <si>
    <r>
      <rPr>
        <i/>
        <sz val="10"/>
        <rFont val="Arial"/>
        <family val="2"/>
      </rPr>
      <t>Parallel Body Length</t>
    </r>
    <r>
      <rPr>
        <sz val="10"/>
        <rFont val="Arial"/>
        <family val="2"/>
      </rPr>
      <t xml:space="preserve"> (Lp) atau </t>
    </r>
    <r>
      <rPr>
        <i/>
        <sz val="10"/>
        <rFont val="Arial"/>
        <family val="2"/>
      </rPr>
      <t xml:space="preserve">Parallel Middle Body </t>
    </r>
    <r>
      <rPr>
        <sz val="10"/>
        <rFont val="Arial"/>
        <family val="2"/>
      </rPr>
      <t>(PMB) adalah panjang dimana station/section memiliki luas dan bentuk yang sama.</t>
    </r>
  </si>
  <si>
    <t>Pembagian Grid Section</t>
  </si>
  <si>
    <t>Jika Nilai LCB MAXSURF lebih kecil dari PERHITUNGAN, hull kapal diperkecil</t>
  </si>
  <si>
    <t xml:space="preserve">Jika Nilai LCB MAXSURF lebih besar  dari PERHITUNGAN, hull kapal diperbesar </t>
  </si>
  <si>
    <t>Jika koreksi LCB terpenuhi (menjadi LCB Kecil), sedangkan Displacement Vol, Displacement berat, Coefficient tidak terpenuhi (Malah nilainya menjadi lebih besar) maka coba diperbesar hull depan (Fore) dan diperkecil hull belakang (After) dan sebaliknya</t>
  </si>
  <si>
    <t>Limit</t>
  </si>
  <si>
    <r>
      <t>Catatan penting: perhitungan ini berdasarkan rumus pendekatan (</t>
    </r>
    <r>
      <rPr>
        <b/>
        <sz val="10"/>
        <rFont val="Arial"/>
        <family val="2"/>
      </rPr>
      <t>numerical equation</t>
    </r>
    <r>
      <rPr>
        <b/>
        <i/>
        <sz val="10"/>
        <rFont val="Arial"/>
        <family val="2"/>
      </rPr>
      <t xml:space="preserve">) </t>
    </r>
    <r>
      <rPr>
        <b/>
        <sz val="10"/>
        <rFont val="Arial"/>
        <family val="2"/>
      </rPr>
      <t>dari beberapa referensi dan berlaku</t>
    </r>
    <r>
      <rPr>
        <b/>
        <i/>
        <sz val="10"/>
        <rFont val="Arial"/>
        <family val="2"/>
      </rPr>
      <t xml:space="preserve"> untuk kapal dengan Fn &lt; 0.4</t>
    </r>
  </si>
  <si>
    <t>Oil Tanker</t>
  </si>
  <si>
    <t>MTM Antwerp</t>
  </si>
  <si>
    <t>1.04 * Lpp</t>
  </si>
  <si>
    <t>Cp</t>
  </si>
  <si>
    <t>Cm</t>
  </si>
  <si>
    <t>Cb</t>
  </si>
  <si>
    <t>Cwp</t>
  </si>
  <si>
    <t>LPP/B</t>
  </si>
  <si>
    <t>LPP/Disp^(1/3)</t>
  </si>
  <si>
    <t>Tanker Fn=0.15</t>
  </si>
  <si>
    <t>Tanker Fn=0.16-0.18</t>
  </si>
  <si>
    <t>Fast seegoing refers</t>
  </si>
  <si>
    <t>Ship Type</t>
  </si>
  <si>
    <t>Ship Type:</t>
  </si>
  <si>
    <t>H &gt; L/16</t>
  </si>
  <si>
    <t>PERHITUNGAN PERANCANGAN KAPAL MTM ANTWERP</t>
  </si>
  <si>
    <t>Perancangan Kapal MTM Antwerp</t>
  </si>
  <si>
    <t>: Daffa Gabillah Maulana Gapur</t>
  </si>
  <si>
    <t>: 0322040051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</si>
</sst>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00"/>
    <numFmt numFmtId="165" formatCode="0.0000"/>
    <numFmt numFmtId="166" formatCode="#,##0.0000"/>
  </numFmts>
  <fonts count="23" x14ac:knownFonts="1">
    <font>
      <sz val="10"/>
      <name val="Arial"/>
    </font>
    <font>
      <sz val="11"/>
      <color theme="1"/>
      <name val="Calibri"/>
      <family val="2"/>
      <scheme val="minor"/>
    </font>
    <font>
      <sz val="10"/>
      <name val="Arial"/>
      <family val="2"/>
    </font>
    <font>
      <b/>
      <sz val="10"/>
      <name val="Arial"/>
      <family val="2"/>
    </font>
    <font>
      <sz val="12"/>
      <name val="Arial"/>
      <family val="2"/>
    </font>
    <font>
      <sz val="11"/>
      <name val="Arial"/>
      <family val="2"/>
    </font>
    <font>
      <vertAlign val="superscript"/>
      <sz val="10"/>
      <name val="Arial"/>
      <family val="2"/>
    </font>
    <font>
      <i/>
      <sz val="10"/>
      <name val="Arial"/>
      <family val="2"/>
    </font>
    <font>
      <b/>
      <sz val="12"/>
      <name val="Arial"/>
      <family val="2"/>
    </font>
    <font>
      <b/>
      <i/>
      <sz val="12"/>
      <name val="Arial"/>
      <family val="2"/>
    </font>
    <font>
      <sz val="11"/>
      <color theme="1"/>
      <name val="Calibri"/>
      <family val="2"/>
      <charset val="1"/>
      <scheme val="minor"/>
    </font>
    <font>
      <b/>
      <i/>
      <sz val="10"/>
      <name val="Arial"/>
      <family val="2"/>
    </font>
    <font>
      <sz val="10"/>
      <color theme="1"/>
      <name val="Arial"/>
      <family val="2"/>
    </font>
    <font>
      <sz val="10"/>
      <color indexed="8"/>
      <name val="Arial"/>
      <family val="2"/>
    </font>
    <font>
      <vertAlign val="superscript"/>
      <sz val="10"/>
      <color indexed="8"/>
      <name val="Arial"/>
      <family val="2"/>
    </font>
    <font>
      <sz val="10"/>
      <name val="Times New Roman"/>
      <family val="1"/>
    </font>
    <font>
      <sz val="10"/>
      <name val="Arial"/>
      <family val="2"/>
    </font>
    <font>
      <vertAlign val="subscript"/>
      <sz val="10"/>
      <name val="Arial"/>
      <family val="2"/>
    </font>
    <font>
      <vertAlign val="superscript"/>
      <sz val="10"/>
      <color theme="1"/>
      <name val="Arial"/>
      <family val="2"/>
    </font>
    <font>
      <vertAlign val="subscript"/>
      <sz val="10"/>
      <color theme="1"/>
      <name val="Arial"/>
      <family val="2"/>
    </font>
    <font>
      <b/>
      <sz val="10"/>
      <color theme="1"/>
      <name val="Arial"/>
      <family val="2"/>
    </font>
    <font>
      <b/>
      <vertAlign val="subscript"/>
      <sz val="10"/>
      <name val="Arial"/>
      <family val="2"/>
    </font>
    <font>
      <sz val="8"/>
      <name val="Arial"/>
      <family val="2"/>
    </font>
  </fonts>
  <fills count="9">
    <fill>
      <patternFill patternType="none"/>
    </fill>
    <fill>
      <patternFill patternType="gray125"/>
    </fill>
    <fill>
      <patternFill patternType="solid">
        <fgColor theme="8" tint="0.79998168889431442"/>
        <bgColor indexed="65"/>
      </patternFill>
    </fill>
    <fill>
      <patternFill patternType="solid">
        <fgColor theme="0"/>
        <bgColor indexed="64"/>
      </patternFill>
    </fill>
    <fill>
      <patternFill patternType="solid">
        <fgColor theme="0" tint="-0.14999847407452621"/>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
    <xf numFmtId="0" fontId="0" fillId="0" borderId="0"/>
    <xf numFmtId="0" fontId="1" fillId="2" borderId="0" applyNumberFormat="0" applyBorder="0" applyAlignment="0" applyProtection="0"/>
    <xf numFmtId="43" fontId="16" fillId="0" borderId="0" applyFont="0" applyFill="0" applyBorder="0" applyAlignment="0" applyProtection="0"/>
    <xf numFmtId="9" fontId="16" fillId="0" borderId="0" applyFont="0" applyFill="0" applyBorder="0" applyAlignment="0" applyProtection="0"/>
  </cellStyleXfs>
  <cellXfs count="187">
    <xf numFmtId="0" fontId="0" fillId="0" borderId="0" xfId="0"/>
    <xf numFmtId="0" fontId="2" fillId="0" borderId="1" xfId="0" applyFont="1" applyBorder="1"/>
    <xf numFmtId="0" fontId="2" fillId="0" borderId="2" xfId="0" applyFont="1" applyBorder="1"/>
    <xf numFmtId="0" fontId="3" fillId="0" borderId="2" xfId="0" applyFont="1" applyBorder="1" applyAlignment="1">
      <alignment vertical="center"/>
    </xf>
    <xf numFmtId="0" fontId="2" fillId="0" borderId="0" xfId="0" applyFont="1"/>
    <xf numFmtId="0" fontId="2" fillId="0" borderId="4" xfId="0" applyFont="1" applyBorder="1"/>
    <xf numFmtId="0" fontId="2" fillId="0" borderId="5" xfId="0" applyFont="1" applyBorder="1"/>
    <xf numFmtId="0" fontId="2" fillId="0" borderId="6" xfId="0" applyFont="1" applyBorder="1"/>
    <xf numFmtId="0" fontId="3" fillId="0" borderId="7" xfId="0" applyFont="1" applyBorder="1" applyAlignment="1">
      <alignment vertical="center"/>
    </xf>
    <xf numFmtId="0" fontId="2" fillId="0" borderId="8" xfId="0" applyFont="1" applyBorder="1"/>
    <xf numFmtId="0" fontId="3" fillId="0" borderId="0" xfId="0" applyFont="1" applyAlignment="1">
      <alignment horizontal="center" vertical="center"/>
    </xf>
    <xf numFmtId="0" fontId="4" fillId="0" borderId="0" xfId="0" applyFont="1" applyAlignment="1">
      <alignment horizontal="left" vertical="center"/>
    </xf>
    <xf numFmtId="0" fontId="4" fillId="0" borderId="0" xfId="0" applyFont="1"/>
    <xf numFmtId="0" fontId="3" fillId="0" borderId="0" xfId="0" applyFont="1"/>
    <xf numFmtId="0" fontId="2" fillId="0" borderId="0" xfId="0" applyFont="1" applyAlignment="1">
      <alignment horizontal="left"/>
    </xf>
    <xf numFmtId="0" fontId="5" fillId="0" borderId="0" xfId="0" applyFont="1"/>
    <xf numFmtId="0" fontId="2" fillId="0" borderId="0" xfId="0" quotePrefix="1" applyFont="1" applyAlignment="1">
      <alignment horizontal="left"/>
    </xf>
    <xf numFmtId="0" fontId="2" fillId="0" borderId="0" xfId="0" applyFont="1" applyAlignment="1">
      <alignment vertical="center"/>
    </xf>
    <xf numFmtId="0" fontId="2" fillId="0" borderId="0" xfId="0" quotePrefix="1" applyFont="1"/>
    <xf numFmtId="0" fontId="3" fillId="0" borderId="0" xfId="0" quotePrefix="1" applyFont="1"/>
    <xf numFmtId="0" fontId="3" fillId="0" borderId="0" xfId="0" applyFont="1" applyAlignment="1">
      <alignment horizontal="left"/>
    </xf>
    <xf numFmtId="0" fontId="2" fillId="0" borderId="0" xfId="0" applyFont="1" applyAlignment="1">
      <alignment vertical="justify" wrapText="1"/>
    </xf>
    <xf numFmtId="0" fontId="2" fillId="0" borderId="0" xfId="0" applyFont="1" applyAlignment="1">
      <alignment horizontal="justify" vertical="justify" wrapText="1"/>
    </xf>
    <xf numFmtId="0" fontId="2" fillId="0" borderId="0" xfId="0" applyFont="1" applyAlignment="1">
      <alignment horizontal="right"/>
    </xf>
    <xf numFmtId="0" fontId="2" fillId="0" borderId="0" xfId="0" applyFont="1" applyAlignment="1">
      <alignment horizontal="center"/>
    </xf>
    <xf numFmtId="0" fontId="2" fillId="0" borderId="0" xfId="0" applyFont="1" applyAlignment="1">
      <alignment horizontal="center" vertical="center"/>
    </xf>
    <xf numFmtId="0" fontId="2" fillId="0" borderId="0" xfId="0" quotePrefix="1" applyFont="1" applyAlignment="1">
      <alignment horizontal="right"/>
    </xf>
    <xf numFmtId="0" fontId="2" fillId="0" borderId="0" xfId="0" applyFont="1" applyAlignment="1">
      <alignment horizontal="center" vertical="justify" wrapText="1"/>
    </xf>
    <xf numFmtId="0" fontId="2" fillId="0" borderId="0" xfId="0" quotePrefix="1" applyFont="1" applyAlignment="1">
      <alignment vertical="justify" wrapText="1"/>
    </xf>
    <xf numFmtId="2" fontId="2" fillId="0" borderId="0" xfId="0" applyNumberFormat="1" applyFont="1"/>
    <xf numFmtId="0" fontId="3" fillId="0" borderId="0" xfId="0" quotePrefix="1" applyFont="1" applyAlignment="1">
      <alignment horizontal="center"/>
    </xf>
    <xf numFmtId="0" fontId="12" fillId="3" borderId="0" xfId="1" applyFont="1" applyFill="1" applyBorder="1"/>
    <xf numFmtId="164" fontId="2" fillId="0" borderId="0" xfId="0" applyNumberFormat="1" applyFont="1" applyAlignment="1">
      <alignment horizontal="center"/>
    </xf>
    <xf numFmtId="0" fontId="3" fillId="0" borderId="0" xfId="0" applyFont="1" applyAlignment="1">
      <alignment horizontal="center"/>
    </xf>
    <xf numFmtId="0" fontId="2" fillId="0" borderId="0" xfId="0" quotePrefix="1" applyFont="1" applyAlignment="1">
      <alignment horizontal="center"/>
    </xf>
    <xf numFmtId="0" fontId="3" fillId="4" borderId="9" xfId="0" applyFont="1" applyFill="1" applyBorder="1" applyAlignment="1">
      <alignment horizontal="center"/>
    </xf>
    <xf numFmtId="0" fontId="2" fillId="0" borderId="9" xfId="0" quotePrefix="1" applyFont="1" applyBorder="1" applyAlignment="1">
      <alignment horizontal="center" vertical="center"/>
    </xf>
    <xf numFmtId="0" fontId="3" fillId="0" borderId="0" xfId="0" quotePrefix="1" applyFont="1" applyAlignment="1">
      <alignment horizontal="left"/>
    </xf>
    <xf numFmtId="0" fontId="2" fillId="0" borderId="0" xfId="0" quotePrefix="1" applyFont="1" applyAlignment="1">
      <alignment horizontal="right" vertical="top" wrapText="1" indent="1"/>
    </xf>
    <xf numFmtId="0" fontId="2" fillId="0" borderId="0" xfId="0" quotePrefix="1" applyFont="1" applyAlignment="1">
      <alignment horizontal="right" indent="1"/>
    </xf>
    <xf numFmtId="0" fontId="2" fillId="0" borderId="9" xfId="0" applyFont="1" applyBorder="1" applyAlignment="1">
      <alignment horizontal="center" vertical="center"/>
    </xf>
    <xf numFmtId="0" fontId="2" fillId="0" borderId="9" xfId="0" applyFont="1" applyBorder="1" applyAlignment="1">
      <alignment horizontal="left" vertical="center"/>
    </xf>
    <xf numFmtId="0" fontId="3" fillId="5" borderId="0" xfId="0" applyFont="1" applyFill="1"/>
    <xf numFmtId="0" fontId="0" fillId="5" borderId="0" xfId="0" applyFill="1"/>
    <xf numFmtId="0" fontId="4" fillId="0" borderId="0" xfId="0" quotePrefix="1" applyFont="1" applyAlignment="1">
      <alignment horizontal="left" vertical="center"/>
    </xf>
    <xf numFmtId="0" fontId="4" fillId="0" borderId="0" xfId="0" quotePrefix="1" applyFont="1" applyAlignment="1">
      <alignment horizontal="center" vertical="center"/>
    </xf>
    <xf numFmtId="0" fontId="2" fillId="0" borderId="3" xfId="0" applyFont="1" applyBorder="1"/>
    <xf numFmtId="2" fontId="2" fillId="0" borderId="0" xfId="0" applyNumberFormat="1" applyFont="1" applyAlignment="1">
      <alignment horizontal="center"/>
    </xf>
    <xf numFmtId="0" fontId="2" fillId="0" borderId="9" xfId="0" applyFont="1" applyBorder="1" applyAlignment="1">
      <alignment horizontal="center" vertical="center" wrapText="1"/>
    </xf>
    <xf numFmtId="0" fontId="2" fillId="0" borderId="0" xfId="0" applyFont="1" applyAlignment="1">
      <alignment horizontal="center" vertical="center" wrapText="1"/>
    </xf>
    <xf numFmtId="0" fontId="2" fillId="0" borderId="9" xfId="0" applyFont="1" applyBorder="1" applyAlignment="1">
      <alignment horizontal="center"/>
    </xf>
    <xf numFmtId="0" fontId="2" fillId="0" borderId="0" xfId="0" quotePrefix="1" applyFont="1" applyAlignment="1">
      <alignment horizontal="left" vertical="top" wrapText="1"/>
    </xf>
    <xf numFmtId="0" fontId="2" fillId="0" borderId="0" xfId="0" applyFont="1" applyAlignment="1">
      <alignment horizontal="right" vertical="center" indent="1"/>
    </xf>
    <xf numFmtId="0" fontId="2" fillId="0" borderId="0" xfId="0" applyFont="1" applyAlignment="1">
      <alignment horizontal="right" vertical="center"/>
    </xf>
    <xf numFmtId="1" fontId="2" fillId="0" borderId="0" xfId="0" applyNumberFormat="1" applyFont="1" applyAlignment="1">
      <alignment vertical="justify" wrapText="1"/>
    </xf>
    <xf numFmtId="0" fontId="2" fillId="0" borderId="9" xfId="0" applyFont="1" applyBorder="1"/>
    <xf numFmtId="164" fontId="2" fillId="0" borderId="9" xfId="0" applyNumberFormat="1" applyFont="1" applyBorder="1" applyAlignment="1">
      <alignment horizontal="center"/>
    </xf>
    <xf numFmtId="0" fontId="12" fillId="0" borderId="0" xfId="0" applyFont="1" applyAlignment="1">
      <alignment horizontal="right"/>
    </xf>
    <xf numFmtId="0" fontId="12" fillId="0" borderId="0" xfId="0" applyFont="1"/>
    <xf numFmtId="0" fontId="12" fillId="0" borderId="9" xfId="0" applyFont="1" applyBorder="1" applyAlignment="1">
      <alignment horizontal="center"/>
    </xf>
    <xf numFmtId="0" fontId="12" fillId="0" borderId="9" xfId="0" applyFont="1" applyBorder="1"/>
    <xf numFmtId="0" fontId="12" fillId="0" borderId="9" xfId="0" applyFont="1" applyBorder="1" applyAlignment="1">
      <alignment horizontal="left"/>
    </xf>
    <xf numFmtId="0" fontId="12" fillId="0" borderId="0" xfId="0" quotePrefix="1" applyFont="1"/>
    <xf numFmtId="0" fontId="12" fillId="0" borderId="10" xfId="0" applyFont="1" applyBorder="1" applyAlignment="1">
      <alignment vertical="center" wrapText="1"/>
    </xf>
    <xf numFmtId="0" fontId="12" fillId="0" borderId="0" xfId="0" applyFont="1" applyAlignment="1">
      <alignment horizontal="center" vertical="center"/>
    </xf>
    <xf numFmtId="164" fontId="12" fillId="0" borderId="0" xfId="0" applyNumberFormat="1" applyFont="1" applyAlignment="1">
      <alignment horizontal="left"/>
    </xf>
    <xf numFmtId="0" fontId="12" fillId="0" borderId="9" xfId="0" applyFont="1" applyBorder="1" applyAlignment="1">
      <alignment horizontal="center" vertical="center" wrapText="1"/>
    </xf>
    <xf numFmtId="0" fontId="12" fillId="0" borderId="9" xfId="0" applyFont="1" applyBorder="1" applyAlignment="1">
      <alignment horizontal="center" vertical="center"/>
    </xf>
    <xf numFmtId="2" fontId="12" fillId="0" borderId="0" xfId="0" applyNumberFormat="1" applyFont="1" applyAlignment="1">
      <alignment horizontal="center"/>
    </xf>
    <xf numFmtId="2" fontId="0" fillId="0" borderId="0" xfId="0" applyNumberFormat="1" applyAlignment="1">
      <alignment horizontal="center"/>
    </xf>
    <xf numFmtId="0" fontId="15" fillId="0" borderId="0" xfId="0" applyFont="1" applyAlignment="1">
      <alignment horizontal="center" vertical="center"/>
    </xf>
    <xf numFmtId="2" fontId="2" fillId="0" borderId="0" xfId="0" applyNumberFormat="1" applyFont="1" applyAlignment="1">
      <alignment horizontal="center" vertical="center"/>
    </xf>
    <xf numFmtId="0" fontId="12" fillId="5" borderId="0" xfId="0" applyFont="1" applyFill="1" applyAlignment="1">
      <alignment horizontal="right"/>
    </xf>
    <xf numFmtId="164" fontId="12" fillId="5" borderId="0" xfId="0" applyNumberFormat="1" applyFont="1" applyFill="1" applyAlignment="1">
      <alignment horizontal="center"/>
    </xf>
    <xf numFmtId="0" fontId="12" fillId="5" borderId="0" xfId="0" applyFont="1" applyFill="1"/>
    <xf numFmtId="2" fontId="12" fillId="5" borderId="0" xfId="0" applyNumberFormat="1" applyFont="1" applyFill="1" applyAlignment="1">
      <alignment horizontal="center"/>
    </xf>
    <xf numFmtId="0" fontId="12" fillId="0" borderId="0" xfId="0" quotePrefix="1" applyFont="1" applyAlignment="1">
      <alignment horizontal="left"/>
    </xf>
    <xf numFmtId="164" fontId="2" fillId="5" borderId="0" xfId="0" applyNumberFormat="1" applyFont="1" applyFill="1" applyAlignment="1">
      <alignment horizontal="center"/>
    </xf>
    <xf numFmtId="0" fontId="2" fillId="5" borderId="0" xfId="0" quotePrefix="1" applyFont="1" applyFill="1" applyAlignment="1">
      <alignment horizontal="right"/>
    </xf>
    <xf numFmtId="0" fontId="2" fillId="5" borderId="0" xfId="0" applyFont="1" applyFill="1"/>
    <xf numFmtId="0" fontId="2" fillId="5" borderId="0" xfId="0" quotePrefix="1" applyFont="1" applyFill="1" applyAlignment="1">
      <alignment horizontal="right" vertical="top" wrapText="1" indent="1"/>
    </xf>
    <xf numFmtId="0" fontId="2" fillId="5" borderId="0" xfId="0" quotePrefix="1" applyFont="1" applyFill="1" applyAlignment="1">
      <alignment horizontal="left" vertical="top" wrapText="1"/>
    </xf>
    <xf numFmtId="0" fontId="2" fillId="5" borderId="0" xfId="0" quotePrefix="1" applyFont="1" applyFill="1" applyAlignment="1">
      <alignment horizontal="right" indent="1"/>
    </xf>
    <xf numFmtId="0" fontId="2" fillId="5" borderId="0" xfId="0" applyFont="1" applyFill="1" applyAlignment="1">
      <alignment horizontal="right"/>
    </xf>
    <xf numFmtId="0" fontId="20" fillId="0" borderId="9" xfId="0" applyFont="1" applyBorder="1" applyAlignment="1">
      <alignment horizontal="center" vertical="center" wrapText="1"/>
    </xf>
    <xf numFmtId="0" fontId="12" fillId="0" borderId="0" xfId="0" applyFont="1" applyAlignment="1">
      <alignment vertical="center" wrapText="1"/>
    </xf>
    <xf numFmtId="0" fontId="3" fillId="0" borderId="9" xfId="0" applyFont="1" applyBorder="1" applyAlignment="1">
      <alignment horizontal="center" vertical="center"/>
    </xf>
    <xf numFmtId="2" fontId="12" fillId="0" borderId="9" xfId="0" applyNumberFormat="1" applyFont="1" applyBorder="1" applyAlignment="1">
      <alignment horizontal="center" vertical="center"/>
    </xf>
    <xf numFmtId="164" fontId="2" fillId="0" borderId="9" xfId="0" applyNumberFormat="1" applyFont="1" applyBorder="1"/>
    <xf numFmtId="0" fontId="2" fillId="7" borderId="9" xfId="0" applyFont="1" applyFill="1" applyBorder="1"/>
    <xf numFmtId="164" fontId="2" fillId="7" borderId="9" xfId="0" applyNumberFormat="1" applyFont="1" applyFill="1" applyBorder="1"/>
    <xf numFmtId="2" fontId="2" fillId="7" borderId="9" xfId="0" applyNumberFormat="1" applyFont="1" applyFill="1" applyBorder="1"/>
    <xf numFmtId="0" fontId="2" fillId="0" borderId="9" xfId="0" applyFont="1" applyBorder="1" applyAlignment="1">
      <alignment horizontal="right"/>
    </xf>
    <xf numFmtId="2" fontId="2" fillId="0" borderId="9" xfId="0" applyNumberFormat="1" applyFont="1" applyBorder="1"/>
    <xf numFmtId="0" fontId="3" fillId="0" borderId="9" xfId="0" applyFont="1" applyBorder="1" applyAlignment="1">
      <alignment horizontal="center" vertical="center" wrapText="1"/>
    </xf>
    <xf numFmtId="0" fontId="2" fillId="0" borderId="9" xfId="0" applyFont="1" applyBorder="1" applyAlignment="1">
      <alignment horizontal="right" vertical="center"/>
    </xf>
    <xf numFmtId="10" fontId="2" fillId="0" borderId="0" xfId="0" applyNumberFormat="1" applyFont="1" applyAlignment="1">
      <alignment horizontal="center"/>
    </xf>
    <xf numFmtId="0" fontId="2" fillId="0" borderId="9" xfId="0" applyFont="1" applyBorder="1" applyAlignment="1">
      <alignment horizontal="left" vertical="center" wrapText="1"/>
    </xf>
    <xf numFmtId="0" fontId="12" fillId="5" borderId="0" xfId="0" applyFont="1" applyFill="1" applyAlignment="1">
      <alignment horizontal="center" vertical="center"/>
    </xf>
    <xf numFmtId="2" fontId="2" fillId="6" borderId="0" xfId="0" applyNumberFormat="1" applyFont="1" applyFill="1" applyAlignment="1">
      <alignment horizontal="center"/>
    </xf>
    <xf numFmtId="0" fontId="2" fillId="6" borderId="0" xfId="0" applyFont="1" applyFill="1" applyAlignment="1">
      <alignment horizontal="right"/>
    </xf>
    <xf numFmtId="2" fontId="0" fillId="6" borderId="0" xfId="0" applyNumberFormat="1" applyFill="1" applyAlignment="1">
      <alignment horizontal="center"/>
    </xf>
    <xf numFmtId="0" fontId="2" fillId="6" borderId="0" xfId="0" applyFont="1" applyFill="1"/>
    <xf numFmtId="0" fontId="12" fillId="6" borderId="0" xfId="0" applyFont="1" applyFill="1" applyAlignment="1">
      <alignment horizontal="right"/>
    </xf>
    <xf numFmtId="2" fontId="12" fillId="6" borderId="0" xfId="0" applyNumberFormat="1" applyFont="1" applyFill="1" applyAlignment="1">
      <alignment horizontal="center"/>
    </xf>
    <xf numFmtId="0" fontId="12" fillId="6" borderId="0" xfId="0" applyFont="1" applyFill="1"/>
    <xf numFmtId="0" fontId="2" fillId="6" borderId="0" xfId="0" applyFont="1" applyFill="1" applyAlignment="1">
      <alignment horizontal="center"/>
    </xf>
    <xf numFmtId="0" fontId="3" fillId="4" borderId="12" xfId="0" applyFont="1" applyFill="1" applyBorder="1" applyAlignment="1">
      <alignment horizontal="center"/>
    </xf>
    <xf numFmtId="0" fontId="3" fillId="4" borderId="13" xfId="0" applyFont="1" applyFill="1" applyBorder="1" applyAlignment="1">
      <alignment horizontal="center"/>
    </xf>
    <xf numFmtId="0" fontId="2" fillId="7" borderId="14" xfId="0" applyFont="1" applyFill="1" applyBorder="1" applyAlignment="1">
      <alignment horizontal="center" vertical="center"/>
    </xf>
    <xf numFmtId="0" fontId="2" fillId="7" borderId="15" xfId="0" applyFont="1" applyFill="1" applyBorder="1"/>
    <xf numFmtId="0" fontId="2" fillId="0" borderId="14" xfId="0" applyFont="1" applyBorder="1" applyAlignment="1">
      <alignment horizontal="center" vertical="center"/>
    </xf>
    <xf numFmtId="0" fontId="2" fillId="0" borderId="15" xfId="0" applyFont="1" applyBorder="1"/>
    <xf numFmtId="0" fontId="2" fillId="0" borderId="16" xfId="0" applyFont="1" applyBorder="1" applyAlignment="1">
      <alignment horizontal="center" vertical="center"/>
    </xf>
    <xf numFmtId="0" fontId="2" fillId="0" borderId="17" xfId="0" applyFont="1" applyBorder="1"/>
    <xf numFmtId="0" fontId="2" fillId="0" borderId="18" xfId="0" applyFont="1" applyBorder="1"/>
    <xf numFmtId="0" fontId="3" fillId="4" borderId="11" xfId="0" applyFont="1" applyFill="1" applyBorder="1" applyAlignment="1">
      <alignment horizontal="center"/>
    </xf>
    <xf numFmtId="10" fontId="3" fillId="4" borderId="13" xfId="0" applyNumberFormat="1" applyFont="1" applyFill="1" applyBorder="1" applyAlignment="1">
      <alignment horizontal="center"/>
    </xf>
    <xf numFmtId="0" fontId="2" fillId="7" borderId="14" xfId="0" applyFont="1" applyFill="1" applyBorder="1"/>
    <xf numFmtId="10" fontId="2" fillId="7" borderId="15" xfId="3" applyNumberFormat="1" applyFont="1" applyFill="1" applyBorder="1" applyAlignment="1">
      <alignment horizontal="center"/>
    </xf>
    <xf numFmtId="0" fontId="2" fillId="0" borderId="14" xfId="0" applyFont="1" applyBorder="1"/>
    <xf numFmtId="10" fontId="2" fillId="0" borderId="15" xfId="3" applyNumberFormat="1" applyFont="1" applyBorder="1" applyAlignment="1">
      <alignment horizontal="center"/>
    </xf>
    <xf numFmtId="10" fontId="2" fillId="0" borderId="15" xfId="0" applyNumberFormat="1" applyFont="1" applyBorder="1" applyAlignment="1">
      <alignment horizontal="center"/>
    </xf>
    <xf numFmtId="10" fontId="2" fillId="0" borderId="15" xfId="3" applyNumberFormat="1" applyFont="1" applyFill="1" applyBorder="1" applyAlignment="1">
      <alignment horizontal="center"/>
    </xf>
    <xf numFmtId="0" fontId="2" fillId="0" borderId="16" xfId="0" applyFont="1" applyBorder="1"/>
    <xf numFmtId="10" fontId="2" fillId="0" borderId="18" xfId="0" applyNumberFormat="1" applyFont="1" applyBorder="1" applyAlignment="1">
      <alignment horizontal="center"/>
    </xf>
    <xf numFmtId="10" fontId="2" fillId="7" borderId="20" xfId="0" applyNumberFormat="1" applyFont="1" applyFill="1" applyBorder="1"/>
    <xf numFmtId="0" fontId="2" fillId="0" borderId="20" xfId="0" applyFont="1" applyBorder="1"/>
    <xf numFmtId="0" fontId="2" fillId="0" borderId="21" xfId="0" applyFont="1" applyBorder="1"/>
    <xf numFmtId="0" fontId="2" fillId="7" borderId="20" xfId="0" applyFont="1" applyFill="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9" xfId="0" applyFont="1" applyBorder="1" applyAlignment="1">
      <alignment horizontal="center" vertical="center"/>
    </xf>
    <xf numFmtId="0" fontId="2" fillId="0" borderId="9" xfId="0" applyFont="1" applyBorder="1" applyAlignment="1">
      <alignment horizontal="center" vertical="center"/>
    </xf>
    <xf numFmtId="0" fontId="3" fillId="4" borderId="9" xfId="0" applyFont="1" applyFill="1" applyBorder="1" applyAlignment="1">
      <alignment horizontal="center"/>
    </xf>
    <xf numFmtId="165" fontId="2" fillId="5" borderId="0" xfId="0" applyNumberFormat="1" applyFont="1" applyFill="1"/>
    <xf numFmtId="165" fontId="2" fillId="0" borderId="0" xfId="0" applyNumberFormat="1" applyFont="1" applyAlignment="1">
      <alignment horizontal="right"/>
    </xf>
    <xf numFmtId="165" fontId="2" fillId="5" borderId="0" xfId="0" applyNumberFormat="1" applyFont="1" applyFill="1" applyAlignment="1">
      <alignment horizontal="center"/>
    </xf>
    <xf numFmtId="165" fontId="2" fillId="5" borderId="0" xfId="0" quotePrefix="1" applyNumberFormat="1" applyFont="1" applyFill="1" applyAlignment="1">
      <alignment horizontal="left" vertical="top" wrapText="1"/>
    </xf>
    <xf numFmtId="165" fontId="2" fillId="0" borderId="9" xfId="0" applyNumberFormat="1" applyFont="1" applyBorder="1" applyAlignment="1">
      <alignment horizontal="center" vertical="center"/>
    </xf>
    <xf numFmtId="165" fontId="2" fillId="5" borderId="0" xfId="0" applyNumberFormat="1" applyFont="1" applyFill="1" applyAlignment="1">
      <alignment horizontal="left"/>
    </xf>
    <xf numFmtId="165" fontId="2" fillId="0" borderId="0" xfId="0" applyNumberFormat="1" applyFont="1" applyAlignment="1">
      <alignment horizontal="center"/>
    </xf>
    <xf numFmtId="165" fontId="12" fillId="0" borderId="9" xfId="0" applyNumberFormat="1" applyFont="1" applyBorder="1" applyAlignment="1">
      <alignment horizontal="center"/>
    </xf>
    <xf numFmtId="165" fontId="2" fillId="0" borderId="0" xfId="0" applyNumberFormat="1" applyFont="1"/>
    <xf numFmtId="165" fontId="2" fillId="0" borderId="0" xfId="2" applyNumberFormat="1" applyFont="1" applyBorder="1" applyAlignment="1">
      <alignment horizontal="center"/>
    </xf>
    <xf numFmtId="165" fontId="2" fillId="0" borderId="0" xfId="2" applyNumberFormat="1" applyFont="1" applyBorder="1" applyAlignment="1">
      <alignment horizontal="center" vertical="center"/>
    </xf>
    <xf numFmtId="166" fontId="2" fillId="0" borderId="0" xfId="0" applyNumberFormat="1" applyFont="1" applyAlignment="1">
      <alignment horizontal="center"/>
    </xf>
    <xf numFmtId="0" fontId="2" fillId="0" borderId="0" xfId="0" applyFont="1" applyAlignment="1"/>
    <xf numFmtId="0" fontId="0" fillId="0" borderId="0" xfId="0" applyAlignment="1"/>
    <xf numFmtId="0" fontId="2" fillId="8" borderId="0" xfId="0" applyFont="1" applyFill="1"/>
    <xf numFmtId="0" fontId="12" fillId="0" borderId="0" xfId="0" applyFont="1" applyAlignment="1">
      <alignment horizontal="right"/>
    </xf>
    <xf numFmtId="0" fontId="2" fillId="0" borderId="9" xfId="0" applyFont="1" applyBorder="1" applyAlignment="1">
      <alignment vertical="center"/>
    </xf>
    <xf numFmtId="165" fontId="2" fillId="6" borderId="9" xfId="0" applyNumberFormat="1" applyFont="1" applyFill="1" applyBorder="1" applyAlignment="1">
      <alignment horizontal="center" vertical="center"/>
    </xf>
    <xf numFmtId="0" fontId="2" fillId="6" borderId="9" xfId="0" applyFont="1" applyFill="1" applyBorder="1" applyAlignment="1">
      <alignment horizontal="left" vertical="center"/>
    </xf>
    <xf numFmtId="165" fontId="12" fillId="0" borderId="0" xfId="0" applyNumberFormat="1" applyFont="1" applyAlignment="1">
      <alignment horizontal="center"/>
    </xf>
    <xf numFmtId="0" fontId="11" fillId="0" borderId="0" xfId="0" applyFont="1" applyAlignment="1">
      <alignment horizontal="left" vertical="top" wrapText="1"/>
    </xf>
    <xf numFmtId="0" fontId="20" fillId="0" borderId="9" xfId="0" applyFont="1" applyBorder="1" applyAlignment="1">
      <alignment horizontal="center" vertical="center" wrapText="1"/>
    </xf>
    <xf numFmtId="0" fontId="12" fillId="0" borderId="0" xfId="0" applyFont="1" applyAlignment="1">
      <alignment horizontal="right"/>
    </xf>
    <xf numFmtId="0" fontId="12" fillId="5" borderId="0" xfId="0" applyFont="1" applyFill="1" applyAlignment="1">
      <alignment horizontal="right"/>
    </xf>
    <xf numFmtId="0" fontId="12" fillId="0" borderId="9" xfId="0" applyFont="1" applyBorder="1" applyAlignment="1">
      <alignment horizontal="left" vertical="top" wrapText="1"/>
    </xf>
    <xf numFmtId="0" fontId="2" fillId="0" borderId="0" xfId="0" quotePrefix="1" applyFont="1" applyAlignment="1">
      <alignment horizontal="left"/>
    </xf>
    <xf numFmtId="0" fontId="2" fillId="0" borderId="0" xfId="0" quotePrefix="1" applyFont="1" applyAlignment="1">
      <alignment horizontal="left" vertical="top" wrapText="1"/>
    </xf>
    <xf numFmtId="0" fontId="12" fillId="0" borderId="9" xfId="0" applyFont="1" applyBorder="1" applyAlignment="1">
      <alignment horizontal="left" vertical="center" wrapText="1"/>
    </xf>
    <xf numFmtId="0" fontId="2" fillId="0" borderId="1" xfId="0" applyFont="1" applyBorder="1" applyAlignment="1">
      <alignment horizontal="center" vertical="center"/>
    </xf>
    <xf numFmtId="0" fontId="0" fillId="0" borderId="3" xfId="0" applyBorder="1" applyAlignment="1">
      <alignment horizontal="center" vertical="center"/>
    </xf>
    <xf numFmtId="0" fontId="8" fillId="0" borderId="0" xfId="0" applyFont="1" applyAlignment="1">
      <alignment horizontal="center" vertical="center"/>
    </xf>
    <xf numFmtId="0" fontId="2" fillId="0" borderId="0" xfId="0" applyFont="1" applyAlignment="1">
      <alignment horizontal="right" vertical="center"/>
    </xf>
    <xf numFmtId="0" fontId="3" fillId="4" borderId="9" xfId="0" applyFont="1" applyFill="1" applyBorder="1" applyAlignment="1">
      <alignment horizontal="center" vertical="center"/>
    </xf>
    <xf numFmtId="0" fontId="2" fillId="0" borderId="9" xfId="0" applyFont="1" applyBorder="1" applyAlignment="1">
      <alignment horizontal="center" vertical="center"/>
    </xf>
    <xf numFmtId="0" fontId="2" fillId="0" borderId="9" xfId="0" applyFont="1" applyBorder="1" applyAlignment="1">
      <alignment horizontal="left" vertical="center" wrapText="1"/>
    </xf>
    <xf numFmtId="0" fontId="2" fillId="0" borderId="9" xfId="0" applyFont="1" applyBorder="1" applyAlignment="1">
      <alignment horizontal="left" vertical="center"/>
    </xf>
    <xf numFmtId="0" fontId="2" fillId="0" borderId="0" xfId="0" applyFont="1" applyAlignment="1">
      <alignment horizontal="left" vertical="top" wrapText="1"/>
    </xf>
    <xf numFmtId="0" fontId="2" fillId="0" borderId="9" xfId="0" applyFont="1" applyBorder="1" applyAlignment="1">
      <alignment horizontal="center" vertical="center" wrapText="1"/>
    </xf>
    <xf numFmtId="0" fontId="12" fillId="3" borderId="0" xfId="1" applyFont="1" applyFill="1" applyBorder="1" applyAlignment="1">
      <alignment horizontal="left" vertical="top" wrapText="1"/>
    </xf>
    <xf numFmtId="0" fontId="2" fillId="0" borderId="0" xfId="0" applyFont="1" applyAlignment="1">
      <alignment horizontal="right" vertical="center" indent="1"/>
    </xf>
    <xf numFmtId="0" fontId="2" fillId="5" borderId="0" xfId="0" applyFont="1" applyFill="1" applyAlignment="1">
      <alignment horizontal="right" vertical="center"/>
    </xf>
    <xf numFmtId="0" fontId="2" fillId="6" borderId="9" xfId="0" applyFont="1" applyFill="1" applyBorder="1" applyAlignment="1">
      <alignment horizontal="left" vertical="center"/>
    </xf>
    <xf numFmtId="0" fontId="2" fillId="0" borderId="0" xfId="0" applyFont="1" applyAlignment="1">
      <alignment horizontal="center"/>
    </xf>
    <xf numFmtId="0" fontId="3" fillId="0" borderId="0" xfId="0" applyFont="1" applyAlignment="1">
      <alignment horizontal="center"/>
    </xf>
    <xf numFmtId="0" fontId="3" fillId="4" borderId="9" xfId="0" applyFont="1" applyFill="1" applyBorder="1" applyAlignment="1">
      <alignment horizontal="center"/>
    </xf>
    <xf numFmtId="0" fontId="3" fillId="4" borderId="15" xfId="0" applyFont="1" applyFill="1" applyBorder="1" applyAlignment="1">
      <alignment horizontal="center"/>
    </xf>
    <xf numFmtId="0" fontId="3" fillId="4" borderId="14" xfId="0" applyFont="1" applyFill="1" applyBorder="1" applyAlignment="1">
      <alignment horizontal="center"/>
    </xf>
    <xf numFmtId="0" fontId="2" fillId="0" borderId="0" xfId="0" applyFont="1" applyAlignment="1">
      <alignment horizontal="left" vertical="center" wrapText="1"/>
    </xf>
    <xf numFmtId="0" fontId="3" fillId="4" borderId="11" xfId="0" applyFont="1" applyFill="1" applyBorder="1" applyAlignment="1">
      <alignment horizontal="center" vertical="center"/>
    </xf>
    <xf numFmtId="0" fontId="3" fillId="4" borderId="14"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cellXfs>
  <cellStyles count="4">
    <cellStyle name="20% - Accent5" xfId="1" builtinId="46"/>
    <cellStyle name="Comma" xfId="2" builtinId="3"/>
    <cellStyle name="Normal" xfId="0" builtinId="0"/>
    <cellStyle name="Percent" xfId="3" builtinId="5"/>
  </cellStyles>
  <dxfs count="2">
    <dxf>
      <font>
        <color theme="0"/>
      </font>
      <fill>
        <patternFill>
          <bgColor rgb="FFFF0000"/>
        </patternFill>
      </fill>
    </dxf>
    <dxf>
      <font>
        <color theme="0"/>
      </font>
      <fill>
        <patternFill>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emf"/><Relationship Id="rId1" Type="http://schemas.openxmlformats.org/officeDocument/2006/relationships/image" Target="../media/image1.wmf"/><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emf"/><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 Id="rId4"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2</xdr:col>
      <xdr:colOff>86254</xdr:colOff>
      <xdr:row>62</xdr:row>
      <xdr:rowOff>90486</xdr:rowOff>
    </xdr:from>
    <xdr:to>
      <xdr:col>2</xdr:col>
      <xdr:colOff>619125</xdr:colOff>
      <xdr:row>65</xdr:row>
      <xdr:rowOff>6164</xdr:rowOff>
    </xdr:to>
    <xdr:pic>
      <xdr:nvPicPr>
        <xdr:cNvPr id="8" name="Picture 1">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cstate="screen">
          <a:extLst>
            <a:ext uri="{28A0092B-C50C-407E-A947-70E740481C1C}">
              <a14:useLocalDpi xmlns:a14="http://schemas.microsoft.com/office/drawing/2010/main"/>
            </a:ext>
          </a:extLst>
        </a:blip>
        <a:srcRect/>
        <a:stretch>
          <a:fillRect/>
        </a:stretch>
      </xdr:blipFill>
      <xdr:spPr bwMode="auto">
        <a:xfrm>
          <a:off x="1153054" y="6567486"/>
          <a:ext cx="532871" cy="4014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208058</xdr:colOff>
      <xdr:row>181</xdr:row>
      <xdr:rowOff>134867</xdr:rowOff>
    </xdr:from>
    <xdr:to>
      <xdr:col>5</xdr:col>
      <xdr:colOff>34338</xdr:colOff>
      <xdr:row>191</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screen">
          <a:extLst>
            <a:ext uri="{28A0092B-C50C-407E-A947-70E740481C1C}">
              <a14:useLocalDpi xmlns:a14="http://schemas.microsoft.com/office/drawing/2010/main"/>
            </a:ext>
          </a:extLst>
        </a:blip>
        <a:srcRect b="21867"/>
        <a:stretch>
          <a:fillRect/>
        </a:stretch>
      </xdr:blipFill>
      <xdr:spPr bwMode="auto">
        <a:xfrm>
          <a:off x="208058" y="30675827"/>
          <a:ext cx="3026680" cy="1625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50208</xdr:colOff>
      <xdr:row>233</xdr:row>
      <xdr:rowOff>155406</xdr:rowOff>
    </xdr:from>
    <xdr:to>
      <xdr:col>2</xdr:col>
      <xdr:colOff>1071795</xdr:colOff>
      <xdr:row>244</xdr:row>
      <xdr:rowOff>355</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cstate="screen">
          <a:extLst>
            <a:ext uri="{28A0092B-C50C-407E-A947-70E740481C1C}">
              <a14:useLocalDpi xmlns:a14="http://schemas.microsoft.com/office/drawing/2010/main"/>
            </a:ext>
          </a:extLst>
        </a:blip>
        <a:stretch>
          <a:fillRect/>
        </a:stretch>
      </xdr:blipFill>
      <xdr:spPr>
        <a:xfrm>
          <a:off x="262243" y="39375215"/>
          <a:ext cx="1871358" cy="1592324"/>
        </a:xfrm>
        <a:prstGeom prst="rect">
          <a:avLst/>
        </a:prstGeom>
      </xdr:spPr>
    </xdr:pic>
    <xdr:clientData/>
  </xdr:twoCellAnchor>
  <xdr:twoCellAnchor>
    <xdr:from>
      <xdr:col>3</xdr:col>
      <xdr:colOff>527223</xdr:colOff>
      <xdr:row>233</xdr:row>
      <xdr:rowOff>127935</xdr:rowOff>
    </xdr:from>
    <xdr:to>
      <xdr:col>5</xdr:col>
      <xdr:colOff>143373</xdr:colOff>
      <xdr:row>237</xdr:row>
      <xdr:rowOff>155714</xdr:rowOff>
    </xdr:to>
    <xdr:grpSp>
      <xdr:nvGrpSpPr>
        <xdr:cNvPr id="15" name="Group 14">
          <a:extLst>
            <a:ext uri="{FF2B5EF4-FFF2-40B4-BE49-F238E27FC236}">
              <a16:creationId xmlns:a16="http://schemas.microsoft.com/office/drawing/2014/main" id="{00000000-0008-0000-0000-00000F000000}"/>
            </a:ext>
          </a:extLst>
        </xdr:cNvPr>
        <xdr:cNvGrpSpPr/>
      </xdr:nvGrpSpPr>
      <xdr:grpSpPr>
        <a:xfrm>
          <a:off x="3543800" y="39547688"/>
          <a:ext cx="1375820" cy="656232"/>
          <a:chOff x="3197597" y="63225357"/>
          <a:chExt cx="963284" cy="665412"/>
        </a:xfrm>
      </xdr:grpSpPr>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4" cstate="screen">
            <a:extLst>
              <a:ext uri="{28A0092B-C50C-407E-A947-70E740481C1C}">
                <a14:useLocalDpi xmlns:a14="http://schemas.microsoft.com/office/drawing/2010/main"/>
              </a:ext>
            </a:extLst>
          </a:blip>
          <a:stretch>
            <a:fillRect/>
          </a:stretch>
        </xdr:blipFill>
        <xdr:spPr>
          <a:xfrm>
            <a:off x="3208555" y="63225357"/>
            <a:ext cx="888661" cy="212387"/>
          </a:xfrm>
          <a:prstGeom prst="rect">
            <a:avLst/>
          </a:prstGeom>
        </xdr:spPr>
      </xdr:pic>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5" cstate="screen">
            <a:extLst>
              <a:ext uri="{28A0092B-C50C-407E-A947-70E740481C1C}">
                <a14:useLocalDpi xmlns:a14="http://schemas.microsoft.com/office/drawing/2010/main"/>
              </a:ext>
            </a:extLst>
          </a:blip>
          <a:stretch>
            <a:fillRect/>
          </a:stretch>
        </xdr:blipFill>
        <xdr:spPr>
          <a:xfrm>
            <a:off x="3197597" y="63458546"/>
            <a:ext cx="923065" cy="201430"/>
          </a:xfrm>
          <a:prstGeom prst="rect">
            <a:avLst/>
          </a:prstGeom>
        </xdr:spPr>
      </xdr:pic>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6" cstate="screen">
            <a:extLst>
              <a:ext uri="{28A0092B-C50C-407E-A947-70E740481C1C}">
                <a14:useLocalDpi xmlns:a14="http://schemas.microsoft.com/office/drawing/2010/main"/>
              </a:ext>
            </a:extLst>
          </a:blip>
          <a:stretch>
            <a:fillRect/>
          </a:stretch>
        </xdr:blipFill>
        <xdr:spPr>
          <a:xfrm>
            <a:off x="3200146" y="63656307"/>
            <a:ext cx="960735" cy="234462"/>
          </a:xfrm>
          <a:prstGeom prst="rect">
            <a:avLst/>
          </a:prstGeom>
        </xdr:spPr>
      </xdr:pic>
    </xdr:grpSp>
    <xdr:clientData/>
  </xdr:twoCellAnchor>
  <xdr:twoCellAnchor editAs="oneCell">
    <xdr:from>
      <xdr:col>3</xdr:col>
      <xdr:colOff>530087</xdr:colOff>
      <xdr:row>238</xdr:row>
      <xdr:rowOff>86141</xdr:rowOff>
    </xdr:from>
    <xdr:to>
      <xdr:col>7</xdr:col>
      <xdr:colOff>404260</xdr:colOff>
      <xdr:row>239</xdr:row>
      <xdr:rowOff>133227</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cstate="screen">
          <a:extLst>
            <a:ext uri="{28A0092B-C50C-407E-A947-70E740481C1C}">
              <a14:useLocalDpi xmlns:a14="http://schemas.microsoft.com/office/drawing/2010/main"/>
            </a:ext>
          </a:extLst>
        </a:blip>
        <a:stretch>
          <a:fillRect/>
        </a:stretch>
      </xdr:blipFill>
      <xdr:spPr>
        <a:xfrm>
          <a:off x="2325757" y="40101080"/>
          <a:ext cx="2869096" cy="206113"/>
        </a:xfrm>
        <a:prstGeom prst="rect">
          <a:avLst/>
        </a:prstGeom>
      </xdr:spPr>
    </xdr:pic>
    <xdr:clientData/>
  </xdr:twoCellAnchor>
  <xdr:twoCellAnchor editAs="oneCell">
    <xdr:from>
      <xdr:col>5</xdr:col>
      <xdr:colOff>204645</xdr:colOff>
      <xdr:row>181</xdr:row>
      <xdr:rowOff>122915</xdr:rowOff>
    </xdr:from>
    <xdr:to>
      <xdr:col>8</xdr:col>
      <xdr:colOff>274320</xdr:colOff>
      <xdr:row>189</xdr:row>
      <xdr:rowOff>33575</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8" cstate="screen">
          <a:extLst>
            <a:ext uri="{28A0092B-C50C-407E-A947-70E740481C1C}">
              <a14:useLocalDpi xmlns:a14="http://schemas.microsoft.com/office/drawing/2010/main"/>
            </a:ext>
          </a:extLst>
        </a:blip>
        <a:stretch>
          <a:fillRect/>
        </a:stretch>
      </xdr:blipFill>
      <xdr:spPr>
        <a:xfrm>
          <a:off x="3405045" y="30663875"/>
          <a:ext cx="1944195" cy="1198441"/>
        </a:xfrm>
        <a:prstGeom prst="rect">
          <a:avLst/>
        </a:prstGeom>
      </xdr:spPr>
    </xdr:pic>
    <xdr:clientData/>
  </xdr:twoCellAnchor>
  <xdr:twoCellAnchor>
    <xdr:from>
      <xdr:col>1</xdr:col>
      <xdr:colOff>60628</xdr:colOff>
      <xdr:row>211</xdr:row>
      <xdr:rowOff>144449</xdr:rowOff>
    </xdr:from>
    <xdr:to>
      <xdr:col>5</xdr:col>
      <xdr:colOff>300212</xdr:colOff>
      <xdr:row>224</xdr:row>
      <xdr:rowOff>86961</xdr:rowOff>
    </xdr:to>
    <xdr:pic>
      <xdr:nvPicPr>
        <xdr:cNvPr id="25" name="Picture 24">
          <a:extLst>
            <a:ext uri="{FF2B5EF4-FFF2-40B4-BE49-F238E27FC236}">
              <a16:creationId xmlns:a16="http://schemas.microsoft.com/office/drawing/2014/main" id="{00000000-0008-0000-0000-000019000000}"/>
            </a:ext>
          </a:extLst>
        </xdr:cNvPr>
        <xdr:cNvPicPr>
          <a:picLocks noChangeAspect="1" noChangeArrowheads="1"/>
        </xdr:cNvPicPr>
      </xdr:nvPicPr>
      <xdr:blipFill rotWithShape="1">
        <a:blip xmlns:r="http://schemas.openxmlformats.org/officeDocument/2006/relationships" r:embed="rId9" cstate="screen">
          <a:extLst>
            <a:ext uri="{28A0092B-C50C-407E-A947-70E740481C1C}">
              <a14:useLocalDpi xmlns:a14="http://schemas.microsoft.com/office/drawing/2010/main"/>
            </a:ext>
          </a:extLst>
        </a:blip>
        <a:srcRect l="10920" t="4715" r="7770" b="14671"/>
        <a:stretch/>
      </xdr:blipFill>
      <xdr:spPr bwMode="auto">
        <a:xfrm>
          <a:off x="272663" y="36024710"/>
          <a:ext cx="3161688" cy="20098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6625</xdr:colOff>
      <xdr:row>265</xdr:row>
      <xdr:rowOff>73938</xdr:rowOff>
    </xdr:from>
    <xdr:to>
      <xdr:col>3</xdr:col>
      <xdr:colOff>397812</xdr:colOff>
      <xdr:row>278</xdr:row>
      <xdr:rowOff>29601</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10" cstate="screen">
          <a:extLst>
            <a:ext uri="{28A0092B-C50C-407E-A947-70E740481C1C}">
              <a14:useLocalDpi xmlns:a14="http://schemas.microsoft.com/office/drawing/2010/main"/>
            </a:ext>
          </a:extLst>
        </a:blip>
        <a:stretch>
          <a:fillRect/>
        </a:stretch>
      </xdr:blipFill>
      <xdr:spPr>
        <a:xfrm>
          <a:off x="218660" y="44846408"/>
          <a:ext cx="3147391" cy="2029626"/>
        </a:xfrm>
        <a:prstGeom prst="rect">
          <a:avLst/>
        </a:prstGeom>
      </xdr:spPr>
    </xdr:pic>
    <xdr:clientData/>
  </xdr:twoCellAnchor>
  <xdr:twoCellAnchor editAs="oneCell">
    <xdr:from>
      <xdr:col>0</xdr:col>
      <xdr:colOff>104070</xdr:colOff>
      <xdr:row>319</xdr:row>
      <xdr:rowOff>107966</xdr:rowOff>
    </xdr:from>
    <xdr:to>
      <xdr:col>3</xdr:col>
      <xdr:colOff>191651</xdr:colOff>
      <xdr:row>335</xdr:row>
      <xdr:rowOff>132520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11"/>
        <a:stretch>
          <a:fillRect/>
        </a:stretch>
      </xdr:blipFill>
      <xdr:spPr>
        <a:xfrm>
          <a:off x="104070" y="49188386"/>
          <a:ext cx="3101566" cy="2584876"/>
        </a:xfrm>
        <a:prstGeom prst="rect">
          <a:avLst/>
        </a:prstGeom>
      </xdr:spPr>
    </xdr:pic>
    <xdr:clientData/>
  </xdr:twoCellAnchor>
  <xdr:twoCellAnchor>
    <xdr:from>
      <xdr:col>1</xdr:col>
      <xdr:colOff>288224</xdr:colOff>
      <xdr:row>326</xdr:row>
      <xdr:rowOff>35896</xdr:rowOff>
    </xdr:from>
    <xdr:to>
      <xdr:col>4</xdr:col>
      <xdr:colOff>4445</xdr:colOff>
      <xdr:row>333</xdr:row>
      <xdr:rowOff>127639</xdr:rowOff>
    </xdr:to>
    <xdr:grpSp>
      <xdr:nvGrpSpPr>
        <xdr:cNvPr id="77" name="Group 76">
          <a:extLst>
            <a:ext uri="{FF2B5EF4-FFF2-40B4-BE49-F238E27FC236}">
              <a16:creationId xmlns:a16="http://schemas.microsoft.com/office/drawing/2014/main" id="{00000000-0008-0000-0000-00004D000000}"/>
            </a:ext>
          </a:extLst>
        </xdr:cNvPr>
        <xdr:cNvGrpSpPr/>
      </xdr:nvGrpSpPr>
      <xdr:grpSpPr>
        <a:xfrm>
          <a:off x="539605" y="55693319"/>
          <a:ext cx="3612634" cy="1191536"/>
          <a:chOff x="540369" y="49798292"/>
          <a:chExt cx="2081734" cy="1203955"/>
        </a:xfrm>
      </xdr:grpSpPr>
      <xdr:cxnSp macro="">
        <xdr:nvCxnSpPr>
          <xdr:cNvPr id="69" name="Straight Connector 68">
            <a:extLst>
              <a:ext uri="{FF2B5EF4-FFF2-40B4-BE49-F238E27FC236}">
                <a16:creationId xmlns:a16="http://schemas.microsoft.com/office/drawing/2014/main" id="{00000000-0008-0000-0000-000045000000}"/>
              </a:ext>
            </a:extLst>
          </xdr:cNvPr>
          <xdr:cNvCxnSpPr/>
        </xdr:nvCxnSpPr>
        <xdr:spPr>
          <a:xfrm>
            <a:off x="540369" y="49868160"/>
            <a:ext cx="2081734" cy="0"/>
          </a:xfrm>
          <a:prstGeom prst="line">
            <a:avLst/>
          </a:prstGeom>
          <a:ln w="12700"/>
        </xdr:spPr>
        <xdr:style>
          <a:lnRef idx="2">
            <a:schemeClr val="dk1"/>
          </a:lnRef>
          <a:fillRef idx="0">
            <a:schemeClr val="dk1"/>
          </a:fillRef>
          <a:effectRef idx="1">
            <a:schemeClr val="dk1"/>
          </a:effectRef>
          <a:fontRef idx="minor">
            <a:schemeClr val="tx1"/>
          </a:fontRef>
        </xdr:style>
      </xdr:cxnSp>
      <xdr:cxnSp macro="">
        <xdr:nvCxnSpPr>
          <xdr:cNvPr id="71" name="Straight Connector 70">
            <a:extLst>
              <a:ext uri="{FF2B5EF4-FFF2-40B4-BE49-F238E27FC236}">
                <a16:creationId xmlns:a16="http://schemas.microsoft.com/office/drawing/2014/main" id="{00000000-0008-0000-0000-000047000000}"/>
              </a:ext>
            </a:extLst>
          </xdr:cNvPr>
          <xdr:cNvCxnSpPr/>
        </xdr:nvCxnSpPr>
        <xdr:spPr>
          <a:xfrm>
            <a:off x="1035155" y="49818045"/>
            <a:ext cx="0" cy="1184202"/>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75" name="Straight Connector 74">
            <a:extLst>
              <a:ext uri="{FF2B5EF4-FFF2-40B4-BE49-F238E27FC236}">
                <a16:creationId xmlns:a16="http://schemas.microsoft.com/office/drawing/2014/main" id="{00000000-0008-0000-0000-00004B000000}"/>
              </a:ext>
            </a:extLst>
          </xdr:cNvPr>
          <xdr:cNvCxnSpPr/>
        </xdr:nvCxnSpPr>
        <xdr:spPr>
          <a:xfrm>
            <a:off x="1378055" y="49805219"/>
            <a:ext cx="0" cy="1188404"/>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76" name="Straight Connector 75">
            <a:extLst>
              <a:ext uri="{FF2B5EF4-FFF2-40B4-BE49-F238E27FC236}">
                <a16:creationId xmlns:a16="http://schemas.microsoft.com/office/drawing/2014/main" id="{00000000-0008-0000-0000-00004C000000}"/>
              </a:ext>
            </a:extLst>
          </xdr:cNvPr>
          <xdr:cNvCxnSpPr/>
        </xdr:nvCxnSpPr>
        <xdr:spPr>
          <a:xfrm>
            <a:off x="1187555" y="49798292"/>
            <a:ext cx="0" cy="1202724"/>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0</xdr:col>
      <xdr:colOff>53787</xdr:colOff>
      <xdr:row>340</xdr:row>
      <xdr:rowOff>2826</xdr:rowOff>
    </xdr:from>
    <xdr:to>
      <xdr:col>3</xdr:col>
      <xdr:colOff>504121</xdr:colOff>
      <xdr:row>349</xdr:row>
      <xdr:rowOff>125505</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12" cstate="screen">
          <a:extLst>
            <a:ext uri="{28A0092B-C50C-407E-A947-70E740481C1C}">
              <a14:useLocalDpi xmlns:a14="http://schemas.microsoft.com/office/drawing/2010/main"/>
            </a:ext>
          </a:extLst>
        </a:blip>
        <a:stretch>
          <a:fillRect/>
        </a:stretch>
      </xdr:blipFill>
      <xdr:spPr>
        <a:xfrm>
          <a:off x="53787" y="57134897"/>
          <a:ext cx="3464319" cy="1574962"/>
        </a:xfrm>
        <a:prstGeom prst="rect">
          <a:avLst/>
        </a:prstGeom>
      </xdr:spPr>
    </xdr:pic>
    <xdr:clientData/>
  </xdr:twoCellAnchor>
  <xdr:twoCellAnchor editAs="oneCell">
    <xdr:from>
      <xdr:col>5</xdr:col>
      <xdr:colOff>386173</xdr:colOff>
      <xdr:row>340</xdr:row>
      <xdr:rowOff>81026</xdr:rowOff>
    </xdr:from>
    <xdr:to>
      <xdr:col>8</xdr:col>
      <xdr:colOff>332384</xdr:colOff>
      <xdr:row>343</xdr:row>
      <xdr:rowOff>115973</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13" cstate="screen">
          <a:extLst>
            <a:ext uri="{28A0092B-C50C-407E-A947-70E740481C1C}">
              <a14:useLocalDpi xmlns:a14="http://schemas.microsoft.com/office/drawing/2010/main"/>
            </a:ext>
          </a:extLst>
        </a:blip>
        <a:stretch>
          <a:fillRect/>
        </a:stretch>
      </xdr:blipFill>
      <xdr:spPr>
        <a:xfrm>
          <a:off x="3586573" y="57213097"/>
          <a:ext cx="1828799" cy="519041"/>
        </a:xfrm>
        <a:prstGeom prst="rect">
          <a:avLst/>
        </a:prstGeom>
      </xdr:spPr>
    </xdr:pic>
    <xdr:clientData/>
  </xdr:twoCellAnchor>
  <xdr:twoCellAnchor editAs="oneCell">
    <xdr:from>
      <xdr:col>0</xdr:col>
      <xdr:colOff>141708</xdr:colOff>
      <xdr:row>288</xdr:row>
      <xdr:rowOff>98391</xdr:rowOff>
    </xdr:from>
    <xdr:to>
      <xdr:col>5</xdr:col>
      <xdr:colOff>154106</xdr:colOff>
      <xdr:row>297</xdr:row>
      <xdr:rowOff>61968</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14" cstate="screen">
          <a:extLst>
            <a:ext uri="{28A0092B-C50C-407E-A947-70E740481C1C}">
              <a14:useLocalDpi xmlns:a14="http://schemas.microsoft.com/office/drawing/2010/main"/>
            </a:ext>
          </a:extLst>
        </a:blip>
        <a:stretch>
          <a:fillRect/>
        </a:stretch>
      </xdr:blipFill>
      <xdr:spPr>
        <a:xfrm>
          <a:off x="141708" y="46838808"/>
          <a:ext cx="4774849" cy="1394814"/>
        </a:xfrm>
        <a:prstGeom prst="rect">
          <a:avLst/>
        </a:prstGeom>
      </xdr:spPr>
    </xdr:pic>
    <xdr:clientData/>
  </xdr:twoCellAnchor>
  <xdr:twoCellAnchor editAs="oneCell">
    <xdr:from>
      <xdr:col>0</xdr:col>
      <xdr:colOff>207983</xdr:colOff>
      <xdr:row>378</xdr:row>
      <xdr:rowOff>94287</xdr:rowOff>
    </xdr:from>
    <xdr:to>
      <xdr:col>5</xdr:col>
      <xdr:colOff>183444</xdr:colOff>
      <xdr:row>387</xdr:row>
      <xdr:rowOff>140676</xdr:rowOff>
    </xdr:to>
    <xdr:pic>
      <xdr:nvPicPr>
        <xdr:cNvPr id="197" name="Picture 196">
          <a:extLst>
            <a:ext uri="{FF2B5EF4-FFF2-40B4-BE49-F238E27FC236}">
              <a16:creationId xmlns:a16="http://schemas.microsoft.com/office/drawing/2014/main" id="{00000000-0008-0000-0000-0000C5000000}"/>
            </a:ext>
          </a:extLst>
        </xdr:cNvPr>
        <xdr:cNvPicPr>
          <a:picLocks noChangeAspect="1" noChangeArrowheads="1"/>
        </xdr:cNvPicPr>
      </xdr:nvPicPr>
      <xdr:blipFill>
        <a:blip xmlns:r="http://schemas.openxmlformats.org/officeDocument/2006/relationships" r:embed="rId15" cstate="screen">
          <a:extLst>
            <a:ext uri="{28A0092B-C50C-407E-A947-70E740481C1C}">
              <a14:useLocalDpi xmlns:a14="http://schemas.microsoft.com/office/drawing/2010/main"/>
            </a:ext>
          </a:extLst>
        </a:blip>
        <a:srcRect/>
        <a:stretch>
          <a:fillRect/>
        </a:stretch>
      </xdr:blipFill>
      <xdr:spPr bwMode="auto">
        <a:xfrm>
          <a:off x="207983" y="63012041"/>
          <a:ext cx="4746577" cy="1470743"/>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1</xdr:col>
      <xdr:colOff>441436</xdr:colOff>
      <xdr:row>192</xdr:row>
      <xdr:rowOff>15766</xdr:rowOff>
    </xdr:from>
    <xdr:to>
      <xdr:col>4</xdr:col>
      <xdr:colOff>289034</xdr:colOff>
      <xdr:row>194</xdr:row>
      <xdr:rowOff>140199</xdr:rowOff>
    </xdr:to>
    <xdr:pic>
      <xdr:nvPicPr>
        <xdr:cNvPr id="33" name="Picture 32">
          <a:extLst>
            <a:ext uri="{FF2B5EF4-FFF2-40B4-BE49-F238E27FC236}">
              <a16:creationId xmlns:a16="http://schemas.microsoft.com/office/drawing/2014/main" id="{00000000-0008-0000-0000-000021000000}"/>
            </a:ext>
          </a:extLst>
        </xdr:cNvPr>
        <xdr:cNvPicPr>
          <a:picLocks noChangeAspect="1" noChangeArrowheads="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l="51806" t="61414" b="25279"/>
        <a:stretch/>
      </xdr:blipFill>
      <xdr:spPr bwMode="auto">
        <a:xfrm>
          <a:off x="693684" y="32645132"/>
          <a:ext cx="2207171" cy="4397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45720</xdr:rowOff>
    </xdr:from>
    <xdr:to>
      <xdr:col>6</xdr:col>
      <xdr:colOff>128807</xdr:colOff>
      <xdr:row>30</xdr:row>
      <xdr:rowOff>23443</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0" y="381000"/>
          <a:ext cx="4661050" cy="4671643"/>
        </a:xfrm>
        <a:prstGeom prst="rect">
          <a:avLst/>
        </a:prstGeom>
      </xdr:spPr>
    </xdr:pic>
    <xdr:clientData/>
  </xdr:twoCellAnchor>
  <xdr:twoCellAnchor editAs="oneCell">
    <xdr:from>
      <xdr:col>0</xdr:col>
      <xdr:colOff>0</xdr:colOff>
      <xdr:row>29</xdr:row>
      <xdr:rowOff>152391</xdr:rowOff>
    </xdr:from>
    <xdr:to>
      <xdr:col>6</xdr:col>
      <xdr:colOff>93671</xdr:colOff>
      <xdr:row>46</xdr:row>
      <xdr:rowOff>145133</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0" y="5013951"/>
          <a:ext cx="4625914" cy="2842622"/>
        </a:xfrm>
        <a:prstGeom prst="rect">
          <a:avLst/>
        </a:prstGeom>
      </xdr:spPr>
    </xdr:pic>
    <xdr:clientData/>
  </xdr:twoCellAnchor>
  <xdr:twoCellAnchor editAs="oneCell">
    <xdr:from>
      <xdr:col>0</xdr:col>
      <xdr:colOff>45720</xdr:colOff>
      <xdr:row>58</xdr:row>
      <xdr:rowOff>7621</xdr:rowOff>
    </xdr:from>
    <xdr:to>
      <xdr:col>4</xdr:col>
      <xdr:colOff>397897</xdr:colOff>
      <xdr:row>78</xdr:row>
      <xdr:rowOff>165371</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cstate="screen">
          <a:extLst>
            <a:ext uri="{28A0092B-C50C-407E-A947-70E740481C1C}">
              <a14:useLocalDpi xmlns:a14="http://schemas.microsoft.com/office/drawing/2010/main"/>
            </a:ext>
          </a:extLst>
        </a:blip>
        <a:stretch>
          <a:fillRect/>
        </a:stretch>
      </xdr:blipFill>
      <xdr:spPr>
        <a:xfrm>
          <a:off x="45720" y="9730741"/>
          <a:ext cx="3665220" cy="3510550"/>
        </a:xfrm>
        <a:prstGeom prst="rect">
          <a:avLst/>
        </a:prstGeom>
      </xdr:spPr>
    </xdr:pic>
    <xdr:clientData/>
  </xdr:twoCellAnchor>
  <xdr:twoCellAnchor editAs="oneCell">
    <xdr:from>
      <xdr:col>0</xdr:col>
      <xdr:colOff>0</xdr:colOff>
      <xdr:row>82</xdr:row>
      <xdr:rowOff>22860</xdr:rowOff>
    </xdr:from>
    <xdr:to>
      <xdr:col>5</xdr:col>
      <xdr:colOff>3146</xdr:colOff>
      <xdr:row>102</xdr:row>
      <xdr:rowOff>76595</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4" cstate="screen">
          <a:extLst>
            <a:ext uri="{28A0092B-C50C-407E-A947-70E740481C1C}">
              <a14:useLocalDpi xmlns:a14="http://schemas.microsoft.com/office/drawing/2010/main"/>
            </a:ext>
          </a:extLst>
        </a:blip>
        <a:stretch>
          <a:fillRect/>
        </a:stretch>
      </xdr:blipFill>
      <xdr:spPr>
        <a:xfrm>
          <a:off x="0" y="13769340"/>
          <a:ext cx="3925789" cy="340653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434"/>
  <sheetViews>
    <sheetView tabSelected="1" zoomScale="97" zoomScaleNormal="100" zoomScaleSheetLayoutView="85" workbookViewId="0">
      <selection activeCell="G14" sqref="G14"/>
    </sheetView>
  </sheetViews>
  <sheetFormatPr defaultColWidth="9.109375" defaultRowHeight="13.2" x14ac:dyDescent="0.25"/>
  <cols>
    <col min="1" max="1" width="3.6640625" style="4" customWidth="1"/>
    <col min="2" max="2" width="12.44140625" style="4" customWidth="1"/>
    <col min="3" max="3" width="27.77734375" style="4" customWidth="1"/>
    <col min="4" max="4" width="16.44140625" style="4" customWidth="1"/>
    <col min="5" max="6" width="9.109375" style="4"/>
    <col min="7" max="7" width="9.109375" style="4" customWidth="1"/>
    <col min="8" max="8" width="9.109375" style="4"/>
    <col min="9" max="9" width="30.5546875" style="4" customWidth="1"/>
    <col min="10" max="11" width="5.6640625" style="4" customWidth="1"/>
    <col min="12" max="12" width="10.109375" style="4" customWidth="1"/>
    <col min="13" max="16384" width="9.109375" style="4"/>
  </cols>
  <sheetData>
    <row r="1" spans="1:9" ht="12.75" customHeight="1" x14ac:dyDescent="0.25">
      <c r="A1" s="1"/>
      <c r="B1" s="46"/>
      <c r="C1" s="2"/>
      <c r="D1" s="3"/>
      <c r="E1" s="3"/>
      <c r="F1" s="3"/>
      <c r="G1" s="3"/>
      <c r="H1" s="163" t="s">
        <v>351</v>
      </c>
      <c r="I1" s="164"/>
    </row>
    <row r="2" spans="1:9" ht="12.75" customHeight="1" x14ac:dyDescent="0.25">
      <c r="A2" s="5"/>
      <c r="B2" s="6"/>
      <c r="C2" s="165" t="s">
        <v>350</v>
      </c>
      <c r="D2" s="165"/>
      <c r="E2" s="165"/>
      <c r="F2" s="165"/>
      <c r="G2" s="165"/>
      <c r="H2" s="5" t="s">
        <v>0</v>
      </c>
      <c r="I2" s="6" t="s">
        <v>352</v>
      </c>
    </row>
    <row r="3" spans="1:9" ht="12.75" customHeight="1" x14ac:dyDescent="0.25">
      <c r="A3" s="5"/>
      <c r="B3" s="6"/>
      <c r="C3" s="165" t="s">
        <v>21</v>
      </c>
      <c r="D3" s="165"/>
      <c r="E3" s="165"/>
      <c r="F3" s="165"/>
      <c r="G3" s="165"/>
      <c r="H3" s="5" t="s">
        <v>1</v>
      </c>
      <c r="I3" s="6" t="s">
        <v>353</v>
      </c>
    </row>
    <row r="4" spans="1:9" ht="12.75" customHeight="1" x14ac:dyDescent="0.25">
      <c r="A4" s="7"/>
      <c r="B4" s="9"/>
      <c r="C4" s="8"/>
      <c r="D4" s="8"/>
      <c r="E4" s="8"/>
      <c r="F4" s="8"/>
      <c r="G4" s="8"/>
      <c r="H4" s="7"/>
      <c r="I4" s="9"/>
    </row>
    <row r="5" spans="1:9" ht="12.75" customHeight="1" x14ac:dyDescent="0.25">
      <c r="C5" s="10"/>
      <c r="D5" s="10"/>
      <c r="E5" s="10"/>
      <c r="F5" s="10"/>
      <c r="G5" s="10"/>
    </row>
    <row r="6" spans="1:9" ht="12.75" customHeight="1" x14ac:dyDescent="0.25">
      <c r="A6" s="44" t="s">
        <v>2</v>
      </c>
      <c r="B6" s="11" t="s">
        <v>16</v>
      </c>
      <c r="C6" s="12"/>
      <c r="D6" s="12"/>
      <c r="E6" s="12"/>
      <c r="F6" s="12"/>
      <c r="G6" s="13"/>
    </row>
    <row r="7" spans="1:9" ht="12.75" customHeight="1" x14ac:dyDescent="0.25">
      <c r="A7" s="34" t="s">
        <v>3</v>
      </c>
      <c r="B7" s="4" t="s">
        <v>17</v>
      </c>
    </row>
    <row r="8" spans="1:9" ht="12.75" customHeight="1" x14ac:dyDescent="0.25">
      <c r="A8" s="34" t="s">
        <v>4</v>
      </c>
      <c r="B8" s="4" t="s">
        <v>80</v>
      </c>
      <c r="G8" s="12"/>
    </row>
    <row r="9" spans="1:9" ht="12.75" customHeight="1" x14ac:dyDescent="0.25">
      <c r="A9" s="34" t="s">
        <v>5</v>
      </c>
      <c r="B9" s="14" t="s">
        <v>18</v>
      </c>
    </row>
    <row r="10" spans="1:9" ht="12.75" customHeight="1" x14ac:dyDescent="0.25">
      <c r="A10" s="34" t="s">
        <v>8</v>
      </c>
      <c r="B10" s="14" t="s">
        <v>19</v>
      </c>
    </row>
    <row r="11" spans="1:9" ht="12.75" customHeight="1" x14ac:dyDescent="0.25">
      <c r="A11" s="34" t="s">
        <v>9</v>
      </c>
      <c r="B11" s="14" t="s">
        <v>20</v>
      </c>
    </row>
    <row r="12" spans="1:9" ht="12.75" customHeight="1" x14ac:dyDescent="0.25">
      <c r="A12" s="34"/>
      <c r="B12" s="14"/>
    </row>
    <row r="13" spans="1:9" ht="12.75" customHeight="1" x14ac:dyDescent="0.25">
      <c r="A13" s="45" t="s">
        <v>6</v>
      </c>
      <c r="B13" s="11" t="s">
        <v>7</v>
      </c>
    </row>
    <row r="14" spans="1:9" ht="12.75" customHeight="1" x14ac:dyDescent="0.25">
      <c r="A14" s="24" t="s">
        <v>3</v>
      </c>
      <c r="B14" s="14" t="s">
        <v>22</v>
      </c>
    </row>
    <row r="15" spans="1:9" ht="12.75" customHeight="1" x14ac:dyDescent="0.25">
      <c r="A15" s="24" t="s">
        <v>4</v>
      </c>
      <c r="B15" s="14" t="s">
        <v>62</v>
      </c>
    </row>
    <row r="16" spans="1:9" ht="12.75" customHeight="1" x14ac:dyDescent="0.25">
      <c r="A16" s="24" t="s">
        <v>5</v>
      </c>
      <c r="B16" s="4" t="s">
        <v>50</v>
      </c>
    </row>
    <row r="17" spans="1:9" ht="12.75" customHeight="1" x14ac:dyDescent="0.25">
      <c r="A17" s="34" t="s">
        <v>8</v>
      </c>
      <c r="B17" s="14" t="s">
        <v>67</v>
      </c>
      <c r="C17" s="12"/>
      <c r="D17" s="12"/>
      <c r="E17" s="13"/>
      <c r="F17" s="13"/>
      <c r="G17" s="13"/>
      <c r="H17" s="13"/>
      <c r="I17" s="13"/>
    </row>
    <row r="18" spans="1:9" ht="12.75" customHeight="1" x14ac:dyDescent="0.25">
      <c r="A18" s="24"/>
      <c r="B18" s="16" t="s">
        <v>23</v>
      </c>
      <c r="C18" s="15"/>
      <c r="D18" s="15"/>
      <c r="E18" s="13"/>
      <c r="F18" s="13"/>
      <c r="G18" s="13"/>
      <c r="H18" s="13"/>
      <c r="I18" s="13"/>
    </row>
    <row r="19" spans="1:9" ht="12.75" customHeight="1" x14ac:dyDescent="0.25">
      <c r="A19" s="24"/>
      <c r="B19" s="16" t="s">
        <v>24</v>
      </c>
    </row>
    <row r="20" spans="1:9" ht="12.75" customHeight="1" x14ac:dyDescent="0.25">
      <c r="A20" s="24"/>
      <c r="B20" s="16" t="s">
        <v>25</v>
      </c>
    </row>
    <row r="21" spans="1:9" ht="12.75" customHeight="1" x14ac:dyDescent="0.25">
      <c r="A21" s="24"/>
      <c r="B21" s="16" t="s">
        <v>27</v>
      </c>
    </row>
    <row r="22" spans="1:9" ht="12.75" customHeight="1" x14ac:dyDescent="0.25">
      <c r="A22" s="24"/>
      <c r="B22" s="16" t="s">
        <v>26</v>
      </c>
    </row>
    <row r="23" spans="1:9" ht="12.75" customHeight="1" x14ac:dyDescent="0.25">
      <c r="A23" s="24"/>
      <c r="B23" s="16" t="s">
        <v>28</v>
      </c>
    </row>
    <row r="24" spans="1:9" ht="12.75" customHeight="1" x14ac:dyDescent="0.25">
      <c r="A24" s="24"/>
      <c r="B24" s="16" t="s">
        <v>29</v>
      </c>
    </row>
    <row r="25" spans="1:9" ht="12.75" customHeight="1" x14ac:dyDescent="0.25">
      <c r="A25" s="24" t="s">
        <v>9</v>
      </c>
      <c r="B25" s="16" t="s">
        <v>99</v>
      </c>
    </row>
    <row r="26" spans="1:9" ht="12.75" customHeight="1" x14ac:dyDescent="0.25">
      <c r="A26" s="34"/>
      <c r="B26" s="16" t="s">
        <v>100</v>
      </c>
    </row>
    <row r="27" spans="1:9" ht="12.75" customHeight="1" x14ac:dyDescent="0.25">
      <c r="A27" s="24"/>
      <c r="B27" s="18" t="s">
        <v>101</v>
      </c>
    </row>
    <row r="28" spans="1:9" ht="12.75" customHeight="1" x14ac:dyDescent="0.25">
      <c r="A28" s="24"/>
      <c r="B28" s="16" t="s">
        <v>103</v>
      </c>
    </row>
    <row r="29" spans="1:9" ht="12.75" customHeight="1" x14ac:dyDescent="0.25">
      <c r="A29" s="24"/>
      <c r="B29" s="16" t="s">
        <v>102</v>
      </c>
    </row>
    <row r="30" spans="1:9" ht="12.75" customHeight="1" x14ac:dyDescent="0.25">
      <c r="A30" s="24" t="s">
        <v>15</v>
      </c>
      <c r="B30" s="4" t="s">
        <v>31</v>
      </c>
    </row>
    <row r="31" spans="1:9" ht="12.75" customHeight="1" x14ac:dyDescent="0.25">
      <c r="A31" s="24" t="s">
        <v>30</v>
      </c>
      <c r="B31" s="14" t="s">
        <v>61</v>
      </c>
    </row>
    <row r="32" spans="1:9" ht="12.75" customHeight="1" x14ac:dyDescent="0.25">
      <c r="A32" s="24" t="s">
        <v>32</v>
      </c>
      <c r="B32" s="4" t="s">
        <v>33</v>
      </c>
    </row>
    <row r="33" spans="1:9" ht="12.75" customHeight="1" x14ac:dyDescent="0.25">
      <c r="A33" s="24"/>
    </row>
    <row r="34" spans="1:9" ht="12.75" customHeight="1" x14ac:dyDescent="0.25">
      <c r="A34" s="155" t="s">
        <v>334</v>
      </c>
      <c r="B34" s="155"/>
      <c r="C34" s="155"/>
      <c r="D34" s="155"/>
      <c r="E34" s="155"/>
      <c r="F34" s="155"/>
      <c r="G34" s="155"/>
      <c r="H34" s="155"/>
      <c r="I34" s="155"/>
    </row>
    <row r="35" spans="1:9" ht="18" customHeight="1" x14ac:dyDescent="0.25">
      <c r="A35" s="155"/>
      <c r="B35" s="155"/>
      <c r="C35" s="155"/>
      <c r="D35" s="155"/>
      <c r="E35" s="155"/>
      <c r="F35" s="155"/>
      <c r="G35" s="155"/>
      <c r="H35" s="155"/>
      <c r="I35" s="155"/>
    </row>
    <row r="36" spans="1:9" ht="12.75" customHeight="1" x14ac:dyDescent="0.25">
      <c r="A36" s="45" t="s">
        <v>10</v>
      </c>
      <c r="B36" s="11" t="s">
        <v>11</v>
      </c>
      <c r="C36" s="21"/>
      <c r="D36" s="21"/>
      <c r="E36" s="21"/>
      <c r="F36" s="21"/>
      <c r="G36" s="21"/>
      <c r="H36" s="21"/>
      <c r="I36" s="22"/>
    </row>
    <row r="37" spans="1:9" ht="12.75" customHeight="1" x14ac:dyDescent="0.25">
      <c r="A37" s="30" t="s">
        <v>3</v>
      </c>
      <c r="B37" s="20" t="s">
        <v>34</v>
      </c>
      <c r="C37" s="22"/>
      <c r="D37" s="22"/>
      <c r="E37" s="22"/>
      <c r="F37" s="22"/>
      <c r="G37" s="22"/>
      <c r="H37" s="22"/>
      <c r="I37" s="22"/>
    </row>
    <row r="38" spans="1:9" ht="12.75" customHeight="1" x14ac:dyDescent="0.25">
      <c r="A38" s="30"/>
      <c r="B38" s="20"/>
      <c r="C38" s="22"/>
      <c r="D38" s="22"/>
      <c r="E38" s="22"/>
      <c r="F38" s="22"/>
      <c r="G38" s="22"/>
      <c r="H38" s="22"/>
      <c r="I38" s="22"/>
    </row>
    <row r="39" spans="1:9" ht="12.75" customHeight="1" x14ac:dyDescent="0.25">
      <c r="A39" s="30"/>
      <c r="B39" s="23" t="s">
        <v>157</v>
      </c>
      <c r="C39" s="27" t="s">
        <v>336</v>
      </c>
      <c r="D39" s="22"/>
      <c r="E39" s="22"/>
      <c r="F39" s="22"/>
      <c r="G39" s="22"/>
      <c r="H39" s="22"/>
      <c r="I39" s="22"/>
    </row>
    <row r="40" spans="1:9" ht="12.75" customHeight="1" x14ac:dyDescent="0.25">
      <c r="A40" s="30"/>
      <c r="B40" s="23" t="s">
        <v>88</v>
      </c>
      <c r="C40" s="27" t="s">
        <v>335</v>
      </c>
      <c r="D40" s="22"/>
      <c r="E40" s="22"/>
      <c r="F40" s="22"/>
      <c r="G40" s="22"/>
      <c r="H40" s="22"/>
      <c r="I40" s="22"/>
    </row>
    <row r="41" spans="1:9" ht="12.75" customHeight="1" x14ac:dyDescent="0.25">
      <c r="A41" s="30"/>
      <c r="B41" s="23" t="s">
        <v>89</v>
      </c>
      <c r="C41" s="27">
        <v>9291456</v>
      </c>
      <c r="D41" s="22"/>
      <c r="E41" s="22"/>
      <c r="F41" s="22"/>
      <c r="G41" s="22"/>
      <c r="H41" s="22"/>
      <c r="I41" s="22"/>
    </row>
    <row r="42" spans="1:9" ht="12.75" customHeight="1" x14ac:dyDescent="0.25">
      <c r="A42" s="30"/>
      <c r="B42" s="23" t="s">
        <v>95</v>
      </c>
      <c r="C42" s="27" t="s">
        <v>90</v>
      </c>
      <c r="D42" s="22"/>
      <c r="E42" s="22"/>
      <c r="F42" s="22"/>
      <c r="G42" s="22"/>
      <c r="H42" s="22"/>
      <c r="I42" s="22"/>
    </row>
    <row r="43" spans="1:9" ht="12.75" customHeight="1" x14ac:dyDescent="0.25">
      <c r="A43" s="30"/>
      <c r="B43" s="14" t="s">
        <v>58</v>
      </c>
      <c r="C43" s="27">
        <v>145.53</v>
      </c>
      <c r="D43" s="4" t="s">
        <v>39</v>
      </c>
      <c r="E43" s="22"/>
      <c r="F43" s="22"/>
      <c r="G43" s="22"/>
      <c r="H43" s="22"/>
      <c r="I43" s="22"/>
    </row>
    <row r="44" spans="1:9" ht="12.75" customHeight="1" x14ac:dyDescent="0.25">
      <c r="A44" s="24"/>
      <c r="B44" s="100" t="s">
        <v>35</v>
      </c>
      <c r="C44" s="106">
        <v>137</v>
      </c>
      <c r="D44" s="102" t="s">
        <v>39</v>
      </c>
      <c r="E44" s="17"/>
    </row>
    <row r="45" spans="1:9" ht="12.75" customHeight="1" x14ac:dyDescent="0.25">
      <c r="A45" s="24"/>
      <c r="B45" s="23" t="s">
        <v>37</v>
      </c>
      <c r="C45" s="24">
        <v>13.35</v>
      </c>
      <c r="D45" s="4" t="s">
        <v>39</v>
      </c>
      <c r="E45" s="28"/>
      <c r="F45" s="28"/>
      <c r="G45" s="28"/>
      <c r="H45" s="28"/>
    </row>
    <row r="46" spans="1:9" ht="12.75" customHeight="1" x14ac:dyDescent="0.25">
      <c r="A46" s="24"/>
      <c r="B46" s="23" t="s">
        <v>38</v>
      </c>
      <c r="C46" s="24">
        <v>23.7</v>
      </c>
      <c r="D46" s="4" t="s">
        <v>39</v>
      </c>
      <c r="E46" s="28"/>
      <c r="F46" s="28"/>
      <c r="G46" s="28"/>
      <c r="H46" s="28"/>
    </row>
    <row r="47" spans="1:9" ht="12.75" customHeight="1" x14ac:dyDescent="0.25">
      <c r="A47" s="24"/>
      <c r="B47" s="23" t="s">
        <v>36</v>
      </c>
      <c r="C47" s="32">
        <v>9.9469999999999992</v>
      </c>
      <c r="D47" s="4" t="s">
        <v>39</v>
      </c>
    </row>
    <row r="48" spans="1:9" ht="12.75" customHeight="1" x14ac:dyDescent="0.25">
      <c r="B48" s="100" t="s">
        <v>41</v>
      </c>
      <c r="C48" s="106">
        <v>16.3</v>
      </c>
      <c r="D48" s="102" t="s">
        <v>44</v>
      </c>
    </row>
    <row r="49" spans="1:4" ht="12.75" customHeight="1" x14ac:dyDescent="0.25">
      <c r="B49" s="23" t="s">
        <v>42</v>
      </c>
      <c r="C49" s="32">
        <f>0.5144*C48</f>
        <v>8.3847199999999997</v>
      </c>
      <c r="D49" s="4" t="s">
        <v>14</v>
      </c>
    </row>
    <row r="50" spans="1:4" ht="16.2" x14ac:dyDescent="0.3">
      <c r="B50" s="23" t="s">
        <v>43</v>
      </c>
      <c r="C50" s="24">
        <v>1.0249999999999999</v>
      </c>
      <c r="D50" s="4" t="s">
        <v>231</v>
      </c>
    </row>
    <row r="51" spans="1:4" ht="12.75" customHeight="1" x14ac:dyDescent="0.25">
      <c r="B51" s="23"/>
      <c r="C51" s="24"/>
    </row>
    <row r="52" spans="1:4" ht="12.75" customHeight="1" x14ac:dyDescent="0.25">
      <c r="A52" s="33" t="s">
        <v>4</v>
      </c>
      <c r="B52" s="20" t="s">
        <v>62</v>
      </c>
    </row>
    <row r="53" spans="1:4" ht="12.75" customHeight="1" x14ac:dyDescent="0.25">
      <c r="A53" s="24"/>
      <c r="B53" s="23" t="s">
        <v>59</v>
      </c>
      <c r="C53" s="4" t="s">
        <v>337</v>
      </c>
    </row>
    <row r="54" spans="1:4" ht="12.75" customHeight="1" x14ac:dyDescent="0.25">
      <c r="A54" s="24"/>
      <c r="B54" s="23" t="s">
        <v>63</v>
      </c>
    </row>
    <row r="55" spans="1:4" ht="12.75" customHeight="1" x14ac:dyDescent="0.25">
      <c r="A55" s="24"/>
      <c r="B55" s="23" t="s">
        <v>59</v>
      </c>
      <c r="C55" s="4" t="s">
        <v>64</v>
      </c>
    </row>
    <row r="56" spans="1:4" ht="12.75" customHeight="1" x14ac:dyDescent="0.25">
      <c r="A56" s="24"/>
      <c r="B56" s="23" t="s">
        <v>12</v>
      </c>
      <c r="C56" s="24">
        <f>C44</f>
        <v>137</v>
      </c>
      <c r="D56" s="4" t="s">
        <v>39</v>
      </c>
    </row>
    <row r="57" spans="1:4" ht="12.75" customHeight="1" x14ac:dyDescent="0.25">
      <c r="A57" s="24"/>
      <c r="B57" s="23"/>
      <c r="C57" s="24"/>
    </row>
    <row r="58" spans="1:4" ht="12.75" customHeight="1" x14ac:dyDescent="0.25">
      <c r="A58" s="24"/>
      <c r="B58" s="14" t="s">
        <v>65</v>
      </c>
      <c r="C58" s="24"/>
    </row>
    <row r="59" spans="1:4" ht="12.75" customHeight="1" x14ac:dyDescent="0.25">
      <c r="A59" s="24"/>
      <c r="B59" s="23" t="s">
        <v>59</v>
      </c>
      <c r="C59" s="24">
        <f>1.04* LPP_m</f>
        <v>142.48000000000002</v>
      </c>
      <c r="D59" s="4" t="s">
        <v>39</v>
      </c>
    </row>
    <row r="60" spans="1:4" ht="12.75" customHeight="1" x14ac:dyDescent="0.25">
      <c r="A60" s="24"/>
      <c r="B60" s="14"/>
    </row>
    <row r="61" spans="1:4" ht="12.75" customHeight="1" x14ac:dyDescent="0.25">
      <c r="A61" s="24"/>
      <c r="B61" s="14"/>
    </row>
    <row r="62" spans="1:4" ht="12.75" customHeight="1" x14ac:dyDescent="0.25">
      <c r="A62" s="30" t="s">
        <v>5</v>
      </c>
      <c r="B62" s="20" t="s">
        <v>49</v>
      </c>
    </row>
    <row r="63" spans="1:4" ht="12.75" customHeight="1" x14ac:dyDescent="0.25">
      <c r="A63" s="30"/>
      <c r="B63" s="20"/>
    </row>
    <row r="64" spans="1:4" ht="12.75" customHeight="1" x14ac:dyDescent="0.25">
      <c r="B64" s="166" t="s">
        <v>45</v>
      </c>
    </row>
    <row r="65" spans="1:11" ht="12.75" customHeight="1" x14ac:dyDescent="0.25">
      <c r="B65" s="166"/>
    </row>
    <row r="66" spans="1:11" ht="12.75" customHeight="1" x14ac:dyDescent="0.25">
      <c r="B66" s="4" t="s">
        <v>46</v>
      </c>
    </row>
    <row r="67" spans="1:11" ht="12.75" customHeight="1" x14ac:dyDescent="0.25">
      <c r="B67" s="23" t="s">
        <v>47</v>
      </c>
      <c r="C67" s="4" t="s">
        <v>51</v>
      </c>
      <c r="E67" s="17"/>
      <c r="F67" s="17"/>
      <c r="G67" s="17"/>
      <c r="H67" s="17"/>
    </row>
    <row r="68" spans="1:11" ht="12.75" customHeight="1" x14ac:dyDescent="0.25">
      <c r="B68" s="23" t="s">
        <v>48</v>
      </c>
      <c r="C68" s="4" t="s">
        <v>52</v>
      </c>
    </row>
    <row r="69" spans="1:11" ht="15.6" x14ac:dyDescent="0.25">
      <c r="B69" s="23" t="s">
        <v>53</v>
      </c>
      <c r="C69" s="4" t="s">
        <v>54</v>
      </c>
      <c r="E69" s="24">
        <v>9.81</v>
      </c>
      <c r="F69" s="4" t="s">
        <v>55</v>
      </c>
    </row>
    <row r="70" spans="1:11" ht="12.75" customHeight="1" x14ac:dyDescent="0.25">
      <c r="B70" s="23" t="s">
        <v>66</v>
      </c>
      <c r="C70" s="4" t="s">
        <v>56</v>
      </c>
    </row>
    <row r="71" spans="1:11" ht="12.75" customHeight="1" x14ac:dyDescent="0.25">
      <c r="C71" s="17"/>
      <c r="E71" s="17"/>
      <c r="J71" s="17"/>
      <c r="K71" s="17"/>
    </row>
    <row r="72" spans="1:11" ht="12.75" customHeight="1" x14ac:dyDescent="0.25">
      <c r="B72" s="14" t="s">
        <v>65</v>
      </c>
    </row>
    <row r="73" spans="1:11" ht="12.75" customHeight="1" x14ac:dyDescent="0.25">
      <c r="B73" s="23" t="s">
        <v>47</v>
      </c>
      <c r="C73" s="32">
        <f>Vs_mps / (SQRT(gravitasi_mps * LWL_m))</f>
        <v>0.22427305935938685</v>
      </c>
    </row>
    <row r="74" spans="1:11" ht="12.75" customHeight="1" x14ac:dyDescent="0.25"/>
    <row r="75" spans="1:11" ht="12.75" customHeight="1" x14ac:dyDescent="0.25">
      <c r="A75" s="30" t="s">
        <v>8</v>
      </c>
      <c r="B75" s="20" t="s">
        <v>67</v>
      </c>
      <c r="E75" s="17"/>
      <c r="F75" s="17"/>
      <c r="G75" s="17"/>
      <c r="H75" s="17"/>
    </row>
    <row r="76" spans="1:11" ht="12.75" customHeight="1" x14ac:dyDescent="0.25">
      <c r="A76" s="30"/>
      <c r="B76" s="14" t="s">
        <v>348</v>
      </c>
      <c r="C76" s="149" t="s">
        <v>345</v>
      </c>
      <c r="E76" s="17"/>
      <c r="F76" s="17"/>
      <c r="G76" s="17"/>
      <c r="H76" s="17"/>
    </row>
    <row r="77" spans="1:11" ht="12.75" customHeight="1" x14ac:dyDescent="0.25">
      <c r="A77" s="30"/>
      <c r="B77" s="20"/>
      <c r="E77" s="17"/>
      <c r="F77" s="17"/>
      <c r="G77" s="17"/>
      <c r="H77" s="17"/>
    </row>
    <row r="78" spans="1:11" ht="12.75" customHeight="1" x14ac:dyDescent="0.25">
      <c r="A78" s="35" t="s">
        <v>79</v>
      </c>
      <c r="B78" s="35" t="s">
        <v>83</v>
      </c>
      <c r="C78" s="35" t="s">
        <v>70</v>
      </c>
      <c r="D78" s="35" t="s">
        <v>71</v>
      </c>
      <c r="E78" s="134" t="s">
        <v>198</v>
      </c>
      <c r="F78" s="134" t="s">
        <v>199</v>
      </c>
      <c r="G78" s="167" t="s">
        <v>84</v>
      </c>
      <c r="H78" s="167"/>
      <c r="I78" s="167" t="s">
        <v>72</v>
      </c>
      <c r="J78" s="167"/>
      <c r="K78" s="167"/>
    </row>
    <row r="79" spans="1:11" s="17" customFormat="1" ht="29.4" customHeight="1" x14ac:dyDescent="0.25">
      <c r="A79" s="36">
        <v>1</v>
      </c>
      <c r="B79" s="40" t="s">
        <v>73</v>
      </c>
      <c r="C79" s="139">
        <f>C44/C46</f>
        <v>5.7805907172995781</v>
      </c>
      <c r="D79" s="40" t="str">
        <f>IF(C79&lt;E79,"Error",IF(C79&gt;F79,"Error","OK"))</f>
        <v>OK</v>
      </c>
      <c r="E79" s="151">
        <f>_xlfn.XLOOKUP($C$76, ShipType_ref, LpB_min_ref)</f>
        <v>5</v>
      </c>
      <c r="F79" s="151">
        <f>_xlfn.XLOOKUP($C$76, ShipType_ref, LpB_max_ref)</f>
        <v>6.5</v>
      </c>
      <c r="G79" s="168" t="str">
        <f>E79&amp;" &lt; " &amp;B79&amp; " &lt; "&amp;F79</f>
        <v>5 &lt; L/B &lt; 6.5</v>
      </c>
      <c r="H79" s="168"/>
      <c r="I79" s="169" t="s">
        <v>81</v>
      </c>
      <c r="J79" s="169"/>
      <c r="K79" s="169"/>
    </row>
    <row r="80" spans="1:11" s="17" customFormat="1" ht="31.2" customHeight="1" x14ac:dyDescent="0.25">
      <c r="A80" s="36">
        <v>2</v>
      </c>
      <c r="B80" s="40" t="s">
        <v>69</v>
      </c>
      <c r="C80" s="139">
        <f>C46/C47</f>
        <v>2.3826279280184983</v>
      </c>
      <c r="D80" s="132" t="str">
        <f>IF(C80&lt;E80,"Error",IF(C80&gt;F80,"Error","OK"))</f>
        <v>OK</v>
      </c>
      <c r="E80" s="151">
        <f>_xlfn.XLOOKUP($C$76, ShipType_ref, BpT_min_ref)</f>
        <v>2.2000000000000002</v>
      </c>
      <c r="F80" s="151">
        <f>_xlfn.XLOOKUP($C$76, ShipType_ref, BpT_max_ref)</f>
        <v>2.9</v>
      </c>
      <c r="G80" s="168" t="str">
        <f t="shared" ref="G80:G83" si="0">E80&amp;" &lt; " &amp;B80&amp; " &lt; "&amp;F80</f>
        <v>2.2 &lt; B/T &lt; 2.9</v>
      </c>
      <c r="H80" s="168"/>
      <c r="I80" s="169" t="s">
        <v>81</v>
      </c>
      <c r="J80" s="169"/>
      <c r="K80" s="169"/>
    </row>
    <row r="81" spans="1:11" s="17" customFormat="1" ht="32.4" customHeight="1" x14ac:dyDescent="0.25">
      <c r="A81" s="36">
        <v>3</v>
      </c>
      <c r="B81" s="40" t="s">
        <v>74</v>
      </c>
      <c r="C81" s="139">
        <f>C44/C47</f>
        <v>13.772996883482458</v>
      </c>
      <c r="D81" s="132" t="str">
        <f t="shared" ref="D81:D83" si="1">IF(C81&lt;E81,"Error",IF(C81&gt;F81,"Error","OK"))</f>
        <v>OK</v>
      </c>
      <c r="E81" s="151">
        <v>10</v>
      </c>
      <c r="F81" s="151">
        <v>30</v>
      </c>
      <c r="G81" s="168" t="str">
        <f t="shared" si="0"/>
        <v>10 &lt; L/T &lt; 30</v>
      </c>
      <c r="H81" s="168"/>
      <c r="I81" s="169" t="s">
        <v>85</v>
      </c>
      <c r="J81" s="169"/>
      <c r="K81" s="169"/>
    </row>
    <row r="82" spans="1:11" s="17" customFormat="1" ht="28.8" customHeight="1" x14ac:dyDescent="0.25">
      <c r="A82" s="36">
        <v>4</v>
      </c>
      <c r="B82" s="40" t="s">
        <v>75</v>
      </c>
      <c r="C82" s="139">
        <f>C44/C45</f>
        <v>10.262172284644196</v>
      </c>
      <c r="D82" s="132" t="str">
        <f t="shared" si="1"/>
        <v>OK</v>
      </c>
      <c r="E82" s="151">
        <v>10</v>
      </c>
      <c r="F82" s="151">
        <v>20</v>
      </c>
      <c r="G82" s="168" t="str">
        <f t="shared" si="0"/>
        <v>10 &lt; L/H &lt; 20</v>
      </c>
      <c r="H82" s="168"/>
      <c r="I82" s="169" t="s">
        <v>81</v>
      </c>
      <c r="J82" s="169"/>
      <c r="K82" s="169"/>
    </row>
    <row r="83" spans="1:11" s="17" customFormat="1" ht="12.75" customHeight="1" x14ac:dyDescent="0.25">
      <c r="A83" s="36">
        <v>5</v>
      </c>
      <c r="B83" s="40" t="s">
        <v>76</v>
      </c>
      <c r="C83" s="139">
        <f>B_m/H_m</f>
        <v>1.7752808988764044</v>
      </c>
      <c r="D83" s="132" t="str">
        <f t="shared" si="1"/>
        <v>Error</v>
      </c>
      <c r="E83" s="151">
        <v>1.9</v>
      </c>
      <c r="F83" s="151">
        <v>2</v>
      </c>
      <c r="G83" s="168" t="str">
        <f t="shared" si="0"/>
        <v>1.9 &lt; B/H &lt; 2</v>
      </c>
      <c r="H83" s="168"/>
      <c r="I83" s="169" t="s">
        <v>91</v>
      </c>
      <c r="J83" s="169"/>
      <c r="K83" s="169"/>
    </row>
    <row r="84" spans="1:11" s="17" customFormat="1" ht="27.6" customHeight="1" x14ac:dyDescent="0.25">
      <c r="A84" s="36">
        <v>6</v>
      </c>
      <c r="B84" s="40" t="s">
        <v>77</v>
      </c>
      <c r="C84" s="139">
        <f>T_m/H_m</f>
        <v>0.74509363295880149</v>
      </c>
      <c r="D84" s="132" t="str">
        <f>IF(C84&lt;=E84,"Error",IF(C84&gt;=F84,"Error","OK"))</f>
        <v>Error</v>
      </c>
      <c r="E84" s="151" cm="1">
        <f t="array" ref="E84">_xlfn.XLOOKUP($C$76, ShipType_ref, TpH_min_ref)</f>
        <v>0.78</v>
      </c>
      <c r="F84" s="151">
        <f>1E+99</f>
        <v>9.9999999999999997E+98</v>
      </c>
      <c r="G84" s="172" t="str">
        <f>"T/H &gt;= " &amp; E84</f>
        <v>T/H &gt;= 0.78</v>
      </c>
      <c r="H84" s="172"/>
      <c r="I84" s="169" t="s">
        <v>92</v>
      </c>
      <c r="J84" s="169"/>
      <c r="K84" s="169"/>
    </row>
    <row r="85" spans="1:11" s="17" customFormat="1" ht="26.4" x14ac:dyDescent="0.25">
      <c r="A85" s="36">
        <v>7</v>
      </c>
      <c r="B85" s="48" t="s">
        <v>78</v>
      </c>
      <c r="C85" s="139">
        <f>C45</f>
        <v>13.35</v>
      </c>
      <c r="D85" s="133" t="str">
        <f>IF(C85&lt;=E85,"Error",IF(C85&gt;=F85,"Error","OK"))</f>
        <v>OK</v>
      </c>
      <c r="E85" s="151">
        <f>LPP_m/16</f>
        <v>8.5625</v>
      </c>
      <c r="F85" s="151">
        <f>1E+99</f>
        <v>9.9999999999999997E+98</v>
      </c>
      <c r="G85" s="168" t="s">
        <v>349</v>
      </c>
      <c r="H85" s="168"/>
      <c r="I85" s="170" t="s">
        <v>93</v>
      </c>
      <c r="J85" s="170"/>
      <c r="K85" s="170"/>
    </row>
    <row r="86" spans="1:11" ht="12.75" customHeight="1" x14ac:dyDescent="0.25">
      <c r="A86" s="34"/>
      <c r="B86" s="16" t="s">
        <v>82</v>
      </c>
      <c r="E86" s="17"/>
      <c r="F86" s="17"/>
      <c r="G86" s="17"/>
      <c r="H86" s="17"/>
    </row>
    <row r="87" spans="1:11" ht="12.75" customHeight="1" x14ac:dyDescent="0.25">
      <c r="A87" s="34"/>
      <c r="B87" s="16" t="s">
        <v>87</v>
      </c>
      <c r="E87" s="17"/>
      <c r="F87" s="17"/>
      <c r="G87" s="17"/>
      <c r="H87" s="17"/>
    </row>
    <row r="88" spans="1:11" ht="12.75" customHeight="1" x14ac:dyDescent="0.25">
      <c r="A88" s="34"/>
      <c r="B88" s="16" t="s">
        <v>94</v>
      </c>
      <c r="E88" s="17"/>
      <c r="F88" s="17"/>
      <c r="G88" s="17"/>
      <c r="H88" s="17"/>
    </row>
    <row r="89" spans="1:11" ht="12.75" customHeight="1" x14ac:dyDescent="0.25">
      <c r="A89" s="34"/>
      <c r="B89" s="13" t="s">
        <v>193</v>
      </c>
      <c r="E89" s="17"/>
      <c r="F89" s="17"/>
      <c r="G89" s="17"/>
      <c r="H89" s="17"/>
    </row>
    <row r="90" spans="1:11" ht="12.75" customHeight="1" x14ac:dyDescent="0.25">
      <c r="A90" s="34"/>
      <c r="B90" s="4" t="s">
        <v>190</v>
      </c>
      <c r="E90" s="17"/>
      <c r="F90" s="17"/>
      <c r="G90" s="17"/>
      <c r="H90" s="17"/>
    </row>
    <row r="91" spans="1:11" ht="12.75" customHeight="1" x14ac:dyDescent="0.25">
      <c r="A91" s="34"/>
      <c r="B91" s="4" t="s">
        <v>213</v>
      </c>
      <c r="E91" s="17"/>
      <c r="F91" s="17"/>
      <c r="G91" s="17"/>
      <c r="H91" s="17"/>
    </row>
    <row r="92" spans="1:11" ht="12.75" customHeight="1" x14ac:dyDescent="0.25">
      <c r="A92" s="34"/>
      <c r="B92" s="4" t="s">
        <v>191</v>
      </c>
      <c r="E92" s="17"/>
      <c r="F92" s="17"/>
      <c r="G92" s="17"/>
      <c r="H92" s="17"/>
    </row>
    <row r="93" spans="1:11" ht="12.75" customHeight="1" x14ac:dyDescent="0.25">
      <c r="A93" s="34"/>
      <c r="B93" s="4" t="s">
        <v>192</v>
      </c>
      <c r="E93" s="17"/>
      <c r="F93" s="17"/>
      <c r="G93" s="17"/>
      <c r="H93" s="17"/>
    </row>
    <row r="94" spans="1:11" ht="12.75" customHeight="1" x14ac:dyDescent="0.25">
      <c r="A94" s="34"/>
      <c r="B94" s="16"/>
      <c r="E94" s="17"/>
      <c r="F94" s="17"/>
      <c r="G94" s="17"/>
      <c r="H94" s="17"/>
    </row>
    <row r="95" spans="1:11" ht="12.75" customHeight="1" x14ac:dyDescent="0.25">
      <c r="A95" s="30" t="s">
        <v>8</v>
      </c>
      <c r="B95" s="37" t="s">
        <v>99</v>
      </c>
      <c r="E95" s="17"/>
      <c r="F95" s="17"/>
      <c r="G95" s="17"/>
      <c r="H95" s="17"/>
    </row>
    <row r="96" spans="1:11" ht="12.75" customHeight="1" x14ac:dyDescent="0.25">
      <c r="A96" s="34"/>
      <c r="B96" s="37" t="s">
        <v>109</v>
      </c>
      <c r="E96" s="17"/>
      <c r="F96" s="17"/>
      <c r="G96" s="17"/>
      <c r="H96" s="17"/>
    </row>
    <row r="97" spans="1:9" ht="12.75" customHeight="1" x14ac:dyDescent="0.25">
      <c r="A97" s="34"/>
      <c r="B97" s="16" t="s">
        <v>111</v>
      </c>
      <c r="E97" s="17"/>
      <c r="F97" s="17"/>
      <c r="G97" s="17"/>
      <c r="H97" s="17"/>
    </row>
    <row r="98" spans="1:9" ht="15.6" x14ac:dyDescent="0.25">
      <c r="A98" s="34"/>
      <c r="B98" s="174" t="s">
        <v>104</v>
      </c>
      <c r="C98" s="174"/>
      <c r="D98" s="31" t="s">
        <v>105</v>
      </c>
      <c r="E98" s="17"/>
      <c r="F98" s="17"/>
      <c r="G98" s="17"/>
      <c r="H98" s="17"/>
    </row>
    <row r="99" spans="1:9" ht="12.6" customHeight="1" x14ac:dyDescent="0.25">
      <c r="A99" s="34"/>
      <c r="B99" s="52"/>
      <c r="C99" s="52"/>
      <c r="D99" s="31"/>
      <c r="E99" s="17"/>
      <c r="F99" s="17"/>
      <c r="G99" s="17"/>
      <c r="H99" s="17"/>
    </row>
    <row r="100" spans="1:9" ht="12.75" customHeight="1" x14ac:dyDescent="0.25">
      <c r="A100" s="34"/>
      <c r="B100" s="173" t="s">
        <v>106</v>
      </c>
      <c r="C100" s="173"/>
      <c r="D100" s="173"/>
      <c r="E100" s="173"/>
      <c r="F100" s="173"/>
      <c r="G100" s="173"/>
      <c r="H100" s="173"/>
      <c r="I100" s="173"/>
    </row>
    <row r="101" spans="1:9" ht="32.4" customHeight="1" x14ac:dyDescent="0.25">
      <c r="A101" s="34"/>
      <c r="B101" s="173"/>
      <c r="C101" s="173"/>
      <c r="D101" s="173"/>
      <c r="E101" s="173"/>
      <c r="F101" s="173"/>
      <c r="G101" s="173"/>
      <c r="H101" s="173"/>
      <c r="I101" s="173"/>
    </row>
    <row r="102" spans="1:9" ht="12.75" customHeight="1" x14ac:dyDescent="0.25">
      <c r="A102" s="34"/>
      <c r="B102" s="23" t="s">
        <v>47</v>
      </c>
      <c r="C102" s="32">
        <f>C73</f>
        <v>0.22427305935938685</v>
      </c>
      <c r="D102" s="24" t="s">
        <v>68</v>
      </c>
      <c r="E102" s="17" t="s">
        <v>107</v>
      </c>
      <c r="F102" s="17"/>
      <c r="G102" s="17"/>
      <c r="H102" s="17"/>
    </row>
    <row r="103" spans="1:9" ht="12.75" customHeight="1" x14ac:dyDescent="0.25">
      <c r="A103" s="34"/>
      <c r="E103" s="17"/>
      <c r="F103" s="17"/>
      <c r="G103" s="17"/>
      <c r="H103" s="17"/>
    </row>
    <row r="104" spans="1:9" ht="12.75" customHeight="1" x14ac:dyDescent="0.25">
      <c r="A104" s="34"/>
      <c r="B104" s="4" t="s">
        <v>108</v>
      </c>
      <c r="E104" s="17"/>
      <c r="F104" s="17"/>
      <c r="G104" s="17"/>
      <c r="H104" s="17"/>
    </row>
    <row r="105" spans="1:9" ht="12.75" customHeight="1" x14ac:dyDescent="0.25">
      <c r="A105" s="34"/>
      <c r="B105" s="175" t="s">
        <v>104</v>
      </c>
      <c r="C105" s="175"/>
      <c r="D105" s="77">
        <f>((-4.22)+(27.8*(SQRT(Fn)))-(39.1*Fn)+(46.6*(Fn^3)))</f>
        <v>0.70197678237994154</v>
      </c>
      <c r="E105" s="70"/>
      <c r="F105" s="71"/>
      <c r="G105" s="17"/>
      <c r="H105" s="17"/>
    </row>
    <row r="106" spans="1:9" ht="12.75" customHeight="1" x14ac:dyDescent="0.25">
      <c r="A106" s="34"/>
      <c r="B106" s="52"/>
      <c r="C106" s="52"/>
      <c r="E106" s="17"/>
      <c r="F106" s="17"/>
      <c r="G106" s="17"/>
      <c r="H106" s="17"/>
    </row>
    <row r="107" spans="1:9" ht="12.75" customHeight="1" x14ac:dyDescent="0.25">
      <c r="A107" s="34"/>
      <c r="B107" s="19" t="s">
        <v>110</v>
      </c>
      <c r="E107" s="17"/>
      <c r="F107" s="17"/>
      <c r="G107" s="17"/>
      <c r="H107" s="17"/>
    </row>
    <row r="108" spans="1:9" ht="12.75" customHeight="1" x14ac:dyDescent="0.25">
      <c r="A108" s="34"/>
      <c r="B108" s="161" t="s">
        <v>114</v>
      </c>
      <c r="C108" s="161"/>
      <c r="D108" s="161"/>
      <c r="E108" s="161"/>
      <c r="F108" s="161"/>
      <c r="G108" s="161"/>
      <c r="H108" s="161"/>
      <c r="I108" s="161"/>
    </row>
    <row r="109" spans="1:9" ht="17.399999999999999" customHeight="1" x14ac:dyDescent="0.25">
      <c r="A109" s="34"/>
      <c r="B109" s="161"/>
      <c r="C109" s="161"/>
      <c r="D109" s="161"/>
      <c r="E109" s="161"/>
      <c r="F109" s="161"/>
      <c r="G109" s="161"/>
      <c r="H109" s="161"/>
      <c r="I109" s="161"/>
    </row>
    <row r="110" spans="1:9" ht="12.75" customHeight="1" x14ac:dyDescent="0.25">
      <c r="A110" s="34"/>
      <c r="B110" s="26" t="s">
        <v>113</v>
      </c>
      <c r="C110" s="4" t="s">
        <v>112</v>
      </c>
      <c r="E110" s="17"/>
      <c r="F110" s="17"/>
      <c r="G110" s="17"/>
      <c r="H110" s="17"/>
    </row>
    <row r="111" spans="1:9" ht="12.75" customHeight="1" x14ac:dyDescent="0.25">
      <c r="A111" s="34"/>
      <c r="B111" s="78" t="s">
        <v>113</v>
      </c>
      <c r="C111" s="135">
        <f>0.977 +0.085*(Cb-0.6)</f>
        <v>0.98566802650229501</v>
      </c>
      <c r="D111" s="79"/>
      <c r="E111" s="17"/>
      <c r="F111" s="17"/>
      <c r="G111" s="17"/>
      <c r="H111" s="17"/>
    </row>
    <row r="112" spans="1:9" ht="12.75" customHeight="1" x14ac:dyDescent="0.25">
      <c r="A112" s="34"/>
      <c r="B112" s="18"/>
      <c r="E112" s="17"/>
      <c r="F112" s="17"/>
      <c r="G112" s="17"/>
      <c r="H112" s="17"/>
    </row>
    <row r="113" spans="1:9" ht="12.75" customHeight="1" x14ac:dyDescent="0.25">
      <c r="B113" s="37" t="s">
        <v>211</v>
      </c>
    </row>
    <row r="114" spans="1:9" ht="12.75" customHeight="1" x14ac:dyDescent="0.25">
      <c r="B114" s="161" t="s">
        <v>122</v>
      </c>
      <c r="C114" s="161"/>
      <c r="D114" s="161"/>
      <c r="E114" s="161"/>
      <c r="F114" s="161"/>
      <c r="G114" s="161"/>
      <c r="H114" s="161"/>
      <c r="I114" s="161"/>
    </row>
    <row r="115" spans="1:9" x14ac:dyDescent="0.25">
      <c r="B115" s="38" t="s">
        <v>119</v>
      </c>
      <c r="C115" s="51" t="s">
        <v>118</v>
      </c>
      <c r="D115" s="51"/>
      <c r="E115" s="51"/>
      <c r="F115" s="51"/>
      <c r="G115" s="51"/>
      <c r="H115" s="51"/>
      <c r="I115" s="51"/>
    </row>
    <row r="116" spans="1:9" x14ac:dyDescent="0.25">
      <c r="B116" s="80" t="str">
        <f>B115</f>
        <v>Cp =</v>
      </c>
      <c r="C116" s="138">
        <f>Cb/Cm</f>
        <v>0.71218378146134076</v>
      </c>
      <c r="D116" s="81"/>
      <c r="E116" s="51"/>
      <c r="F116" s="51"/>
      <c r="G116" s="51"/>
      <c r="H116" s="51"/>
      <c r="I116" s="51"/>
    </row>
    <row r="117" spans="1:9" ht="12.75" customHeight="1" x14ac:dyDescent="0.25">
      <c r="B117" s="16"/>
    </row>
    <row r="118" spans="1:9" ht="12.75" customHeight="1" x14ac:dyDescent="0.25">
      <c r="A118" s="34"/>
      <c r="B118" s="37" t="s">
        <v>212</v>
      </c>
      <c r="E118" s="17"/>
      <c r="F118" s="17"/>
      <c r="G118" s="17"/>
      <c r="H118" s="17"/>
    </row>
    <row r="119" spans="1:9" ht="12.75" customHeight="1" x14ac:dyDescent="0.25">
      <c r="A119" s="34"/>
      <c r="B119" s="161" t="s">
        <v>115</v>
      </c>
      <c r="C119" s="161"/>
      <c r="D119" s="161"/>
      <c r="E119" s="161"/>
      <c r="F119" s="161"/>
      <c r="G119" s="161"/>
      <c r="H119" s="161"/>
      <c r="I119" s="161"/>
    </row>
    <row r="120" spans="1:9" ht="17.399999999999999" customHeight="1" x14ac:dyDescent="0.25">
      <c r="A120" s="34"/>
      <c r="B120" s="161"/>
      <c r="C120" s="161"/>
      <c r="D120" s="161"/>
      <c r="E120" s="161"/>
      <c r="F120" s="161"/>
      <c r="G120" s="161"/>
      <c r="H120" s="161"/>
      <c r="I120" s="161"/>
    </row>
    <row r="121" spans="1:9" ht="12.75" customHeight="1" x14ac:dyDescent="0.25">
      <c r="A121" s="34"/>
      <c r="B121" s="26" t="s">
        <v>117</v>
      </c>
      <c r="C121" s="4" t="s">
        <v>116</v>
      </c>
      <c r="E121" s="17"/>
      <c r="F121" s="17"/>
      <c r="G121" s="17"/>
      <c r="H121" s="17"/>
    </row>
    <row r="122" spans="1:9" ht="12.75" customHeight="1" x14ac:dyDescent="0.25">
      <c r="A122" s="34"/>
      <c r="B122" s="78" t="str">
        <f>B121</f>
        <v>Cwp =</v>
      </c>
      <c r="C122" s="137">
        <f>0.18+0.86*Cp</f>
        <v>0.79247805205675315</v>
      </c>
      <c r="D122" s="79"/>
      <c r="E122" s="17"/>
      <c r="F122" s="17"/>
      <c r="G122" s="17"/>
      <c r="H122" s="17"/>
    </row>
    <row r="123" spans="1:9" ht="12.75" customHeight="1" x14ac:dyDescent="0.25">
      <c r="A123" s="34"/>
      <c r="B123" s="16"/>
      <c r="E123" s="17"/>
      <c r="F123" s="17"/>
      <c r="G123" s="17"/>
      <c r="H123" s="17"/>
    </row>
    <row r="124" spans="1:9" ht="12.75" customHeight="1" x14ac:dyDescent="0.25">
      <c r="A124" s="33" t="s">
        <v>15</v>
      </c>
      <c r="B124" s="13" t="s">
        <v>120</v>
      </c>
    </row>
    <row r="125" spans="1:9" ht="12.75" customHeight="1" x14ac:dyDescent="0.25">
      <c r="A125" s="34"/>
      <c r="B125" s="161" t="s">
        <v>121</v>
      </c>
      <c r="C125" s="161"/>
      <c r="D125" s="161"/>
      <c r="E125" s="161"/>
      <c r="F125" s="161"/>
      <c r="G125" s="161"/>
      <c r="H125" s="161"/>
      <c r="I125" s="161"/>
    </row>
    <row r="126" spans="1:9" ht="19.2" customHeight="1" x14ac:dyDescent="0.25">
      <c r="A126" s="34"/>
      <c r="B126" s="161"/>
      <c r="C126" s="161"/>
      <c r="D126" s="161"/>
      <c r="E126" s="161"/>
      <c r="F126" s="161"/>
      <c r="G126" s="161"/>
      <c r="H126" s="161"/>
      <c r="I126" s="161"/>
    </row>
    <row r="127" spans="1:9" ht="12.75" customHeight="1" x14ac:dyDescent="0.25">
      <c r="A127" s="34"/>
      <c r="B127" s="39" t="s">
        <v>123</v>
      </c>
      <c r="C127" s="4" t="s">
        <v>124</v>
      </c>
      <c r="E127" s="17"/>
      <c r="F127" s="17"/>
      <c r="G127" s="17">
        <v>128</v>
      </c>
      <c r="H127" s="17">
        <f>G127/2</f>
        <v>64</v>
      </c>
    </row>
    <row r="128" spans="1:9" ht="12.75" customHeight="1" x14ac:dyDescent="0.25">
      <c r="A128" s="23"/>
      <c r="B128" s="82" t="s">
        <v>123</v>
      </c>
      <c r="C128" s="135">
        <f>-13.5+19.4*Cp</f>
        <v>0.3163653603500105</v>
      </c>
      <c r="D128" s="79" t="s">
        <v>125</v>
      </c>
    </row>
    <row r="129" spans="1:9" ht="12.75" customHeight="1" x14ac:dyDescent="0.25">
      <c r="B129" s="39" t="s">
        <v>123</v>
      </c>
      <c r="C129" s="136">
        <f>C128% * LPP_m</f>
        <v>0.43342054367951438</v>
      </c>
      <c r="D129" s="171" t="s">
        <v>126</v>
      </c>
      <c r="E129" s="171"/>
      <c r="F129" s="171"/>
      <c r="G129" s="171"/>
      <c r="H129" s="171"/>
      <c r="I129" s="171"/>
    </row>
    <row r="130" spans="1:9" ht="16.8" customHeight="1" x14ac:dyDescent="0.25">
      <c r="B130" s="14"/>
      <c r="D130" s="171"/>
      <c r="E130" s="171"/>
      <c r="F130" s="171"/>
      <c r="G130" s="171"/>
      <c r="H130" s="171"/>
      <c r="I130" s="171"/>
    </row>
    <row r="131" spans="1:9" ht="12.75" customHeight="1" x14ac:dyDescent="0.25">
      <c r="B131" s="82" t="s">
        <v>123</v>
      </c>
      <c r="C131" s="135">
        <f>C129+(C44/2)</f>
        <v>68.933420543679517</v>
      </c>
      <c r="D131" s="79" t="s">
        <v>127</v>
      </c>
      <c r="E131" s="79"/>
    </row>
    <row r="132" spans="1:9" ht="12.75" customHeight="1" x14ac:dyDescent="0.25">
      <c r="B132" s="23"/>
      <c r="C132" s="29"/>
      <c r="D132" s="29"/>
    </row>
    <row r="133" spans="1:9" ht="12.75" customHeight="1" x14ac:dyDescent="0.25">
      <c r="A133" s="33" t="s">
        <v>30</v>
      </c>
      <c r="B133" s="20" t="s">
        <v>61</v>
      </c>
    </row>
    <row r="134" spans="1:9" ht="12.75" customHeight="1" x14ac:dyDescent="0.25">
      <c r="A134" s="33"/>
      <c r="B134" s="16" t="s">
        <v>130</v>
      </c>
    </row>
    <row r="135" spans="1:9" ht="12.75" customHeight="1" x14ac:dyDescent="0.25">
      <c r="B135" s="23" t="s">
        <v>128</v>
      </c>
      <c r="C135" s="4" t="s">
        <v>129</v>
      </c>
    </row>
    <row r="136" spans="1:9" ht="15.6" x14ac:dyDescent="0.25">
      <c r="B136" s="83" t="s">
        <v>128</v>
      </c>
      <c r="C136" s="140">
        <f>LWL_m * B_m * T_m * Cb</f>
        <v>23578.55134035931</v>
      </c>
      <c r="D136" s="79" t="s">
        <v>131</v>
      </c>
    </row>
    <row r="137" spans="1:9" x14ac:dyDescent="0.25">
      <c r="B137" s="83"/>
      <c r="C137" s="140"/>
      <c r="D137" s="79"/>
    </row>
    <row r="138" spans="1:9" ht="12.75" customHeight="1" x14ac:dyDescent="0.25">
      <c r="B138" s="23"/>
      <c r="C138" s="14"/>
    </row>
    <row r="139" spans="1:9" ht="12.75" customHeight="1" x14ac:dyDescent="0.25">
      <c r="B139" s="16" t="s">
        <v>132</v>
      </c>
    </row>
    <row r="140" spans="1:9" ht="12.75" customHeight="1" x14ac:dyDescent="0.25">
      <c r="B140" s="23" t="s">
        <v>232</v>
      </c>
      <c r="C140" s="4" t="s">
        <v>233</v>
      </c>
    </row>
    <row r="141" spans="1:9" ht="12.75" customHeight="1" x14ac:dyDescent="0.25">
      <c r="B141" s="23" t="s">
        <v>232</v>
      </c>
      <c r="C141" s="29" t="s">
        <v>234</v>
      </c>
      <c r="D141" s="29"/>
    </row>
    <row r="142" spans="1:9" ht="12.75" customHeight="1" x14ac:dyDescent="0.25">
      <c r="B142" s="83" t="s">
        <v>232</v>
      </c>
      <c r="C142" s="79">
        <f>Vdisp_m3 * MassaJenisAirLaut</f>
        <v>24168.015123868292</v>
      </c>
      <c r="D142" s="79" t="s">
        <v>133</v>
      </c>
    </row>
    <row r="143" spans="1:9" ht="12.75" customHeight="1" x14ac:dyDescent="0.25">
      <c r="B143" s="23"/>
    </row>
    <row r="144" spans="1:9" ht="12.75" customHeight="1" x14ac:dyDescent="0.25">
      <c r="A144" s="33" t="s">
        <v>32</v>
      </c>
      <c r="B144" s="13" t="s">
        <v>134</v>
      </c>
    </row>
    <row r="145" spans="1:10" ht="12.75" customHeight="1" x14ac:dyDescent="0.25">
      <c r="B145" s="161" t="s">
        <v>136</v>
      </c>
      <c r="C145" s="161"/>
      <c r="D145" s="161"/>
      <c r="E145" s="161"/>
      <c r="F145" s="161"/>
      <c r="G145" s="161"/>
      <c r="H145" s="161"/>
      <c r="I145" s="161"/>
      <c r="J145" s="17"/>
    </row>
    <row r="146" spans="1:10" ht="12.75" customHeight="1" x14ac:dyDescent="0.25">
      <c r="B146" s="161"/>
      <c r="C146" s="161"/>
      <c r="D146" s="161"/>
      <c r="E146" s="161"/>
      <c r="F146" s="161"/>
      <c r="G146" s="161"/>
      <c r="H146" s="161"/>
      <c r="I146" s="161"/>
      <c r="J146" s="17"/>
    </row>
    <row r="147" spans="1:10" ht="19.2" customHeight="1" x14ac:dyDescent="0.25">
      <c r="B147" s="161"/>
      <c r="C147" s="161"/>
      <c r="D147" s="161"/>
      <c r="E147" s="161"/>
      <c r="F147" s="161"/>
      <c r="G147" s="161"/>
      <c r="H147" s="161"/>
      <c r="I147" s="161"/>
      <c r="J147" s="17"/>
    </row>
    <row r="148" spans="1:10" ht="12.75" customHeight="1" x14ac:dyDescent="0.25">
      <c r="B148" s="23" t="s">
        <v>135</v>
      </c>
      <c r="C148" s="25">
        <v>600</v>
      </c>
      <c r="D148" s="17" t="s">
        <v>13</v>
      </c>
      <c r="E148" s="17"/>
      <c r="F148" s="17"/>
      <c r="G148" s="17"/>
      <c r="H148" s="17"/>
      <c r="I148" s="17"/>
      <c r="J148" s="17"/>
    </row>
    <row r="149" spans="1:10" ht="12.75" customHeight="1" x14ac:dyDescent="0.25">
      <c r="B149" s="23" t="s">
        <v>135</v>
      </c>
      <c r="C149" s="24">
        <f>C148/1000</f>
        <v>0.6</v>
      </c>
      <c r="D149" s="4" t="s">
        <v>39</v>
      </c>
    </row>
    <row r="150" spans="1:10" ht="12.75" customHeight="1" x14ac:dyDescent="0.25"/>
    <row r="151" spans="1:10" ht="12.75" customHeight="1" x14ac:dyDescent="0.25">
      <c r="A151" s="33" t="s">
        <v>60</v>
      </c>
      <c r="B151" s="13" t="s">
        <v>137</v>
      </c>
    </row>
    <row r="152" spans="1:10" ht="12.75" customHeight="1" x14ac:dyDescent="0.25">
      <c r="B152" s="23"/>
      <c r="C152" s="24"/>
    </row>
    <row r="153" spans="1:10" ht="12.75" customHeight="1" x14ac:dyDescent="0.25">
      <c r="B153" s="170" t="s">
        <v>143</v>
      </c>
      <c r="C153" s="170"/>
      <c r="D153" s="48" t="str">
        <f>C39</f>
        <v>MTM Antwerp</v>
      </c>
      <c r="E153" s="41"/>
    </row>
    <row r="154" spans="1:10" ht="12.75" customHeight="1" x14ac:dyDescent="0.25">
      <c r="B154" s="170" t="s">
        <v>138</v>
      </c>
      <c r="C154" s="170"/>
      <c r="D154" s="48" t="str">
        <f>C40</f>
        <v>Oil Tanker</v>
      </c>
      <c r="E154" s="97"/>
    </row>
    <row r="155" spans="1:10" ht="12.75" customHeight="1" x14ac:dyDescent="0.25">
      <c r="B155" s="170" t="s">
        <v>139</v>
      </c>
      <c r="C155" s="170"/>
      <c r="D155" s="48">
        <f>C41</f>
        <v>9291456</v>
      </c>
      <c r="E155" s="97"/>
    </row>
    <row r="156" spans="1:10" ht="12.75" customHeight="1" x14ac:dyDescent="0.25">
      <c r="B156" s="170" t="s">
        <v>140</v>
      </c>
      <c r="C156" s="170"/>
      <c r="D156" s="48" t="str">
        <f>C42</f>
        <v>NKK</v>
      </c>
      <c r="E156" s="97"/>
    </row>
    <row r="157" spans="1:10" ht="12.75" customHeight="1" x14ac:dyDescent="0.25">
      <c r="B157" s="176" t="s">
        <v>57</v>
      </c>
      <c r="C157" s="176"/>
      <c r="D157" s="152">
        <v>145.53</v>
      </c>
      <c r="E157" s="153" t="s">
        <v>39</v>
      </c>
    </row>
    <row r="158" spans="1:10" ht="25.8" customHeight="1" x14ac:dyDescent="0.25">
      <c r="B158" s="169" t="s">
        <v>144</v>
      </c>
      <c r="C158" s="169"/>
      <c r="D158" s="139">
        <f>LPP_m</f>
        <v>137</v>
      </c>
      <c r="E158" s="41" t="s">
        <v>39</v>
      </c>
    </row>
    <row r="159" spans="1:10" ht="25.8" customHeight="1" x14ac:dyDescent="0.25">
      <c r="B159" s="169" t="s">
        <v>146</v>
      </c>
      <c r="C159" s="169"/>
      <c r="D159" s="139">
        <f>LWL_m</f>
        <v>142.48000000000002</v>
      </c>
      <c r="E159" s="41" t="s">
        <v>39</v>
      </c>
    </row>
    <row r="160" spans="1:10" ht="12.75" customHeight="1" x14ac:dyDescent="0.25">
      <c r="B160" s="170" t="s">
        <v>147</v>
      </c>
      <c r="C160" s="170"/>
      <c r="D160" s="139">
        <f>H_m</f>
        <v>13.35</v>
      </c>
      <c r="E160" s="41" t="s">
        <v>39</v>
      </c>
    </row>
    <row r="161" spans="1:5" ht="12.75" customHeight="1" x14ac:dyDescent="0.25">
      <c r="B161" s="170" t="s">
        <v>145</v>
      </c>
      <c r="C161" s="170"/>
      <c r="D161" s="139">
        <f>B_m</f>
        <v>23.7</v>
      </c>
      <c r="E161" s="41" t="s">
        <v>39</v>
      </c>
    </row>
    <row r="162" spans="1:5" ht="12.75" customHeight="1" x14ac:dyDescent="0.25">
      <c r="B162" s="170" t="s">
        <v>148</v>
      </c>
      <c r="C162" s="170"/>
      <c r="D162" s="139">
        <f>T_m</f>
        <v>9.9469999999999992</v>
      </c>
      <c r="E162" s="41" t="s">
        <v>39</v>
      </c>
    </row>
    <row r="163" spans="1:5" ht="12.75" customHeight="1" x14ac:dyDescent="0.25">
      <c r="B163" s="170" t="s">
        <v>40</v>
      </c>
      <c r="C163" s="170"/>
      <c r="D163" s="139">
        <f>Vs_knot</f>
        <v>16.3</v>
      </c>
      <c r="E163" s="41" t="s">
        <v>44</v>
      </c>
    </row>
    <row r="164" spans="1:5" ht="12.75" customHeight="1" x14ac:dyDescent="0.25">
      <c r="B164" s="170" t="s">
        <v>141</v>
      </c>
      <c r="C164" s="170"/>
      <c r="D164" s="139">
        <f>Vs_mps</f>
        <v>8.3847199999999997</v>
      </c>
      <c r="E164" s="41" t="s">
        <v>14</v>
      </c>
    </row>
    <row r="165" spans="1:5" ht="12.75" customHeight="1" x14ac:dyDescent="0.25">
      <c r="B165" s="170" t="s">
        <v>142</v>
      </c>
      <c r="C165" s="170"/>
      <c r="D165" s="139">
        <f>MassaJenisAirLaut</f>
        <v>1.0249999999999999</v>
      </c>
      <c r="E165" s="41" t="s">
        <v>231</v>
      </c>
    </row>
    <row r="166" spans="1:5" ht="12.75" customHeight="1" x14ac:dyDescent="0.25">
      <c r="B166" s="170" t="s">
        <v>149</v>
      </c>
      <c r="C166" s="170"/>
      <c r="D166" s="139">
        <f>Cb</f>
        <v>0.70197678237994154</v>
      </c>
      <c r="E166" s="41"/>
    </row>
    <row r="167" spans="1:5" ht="12.75" customHeight="1" x14ac:dyDescent="0.25">
      <c r="B167" s="170" t="s">
        <v>150</v>
      </c>
      <c r="C167" s="170"/>
      <c r="D167" s="139">
        <f>Cm</f>
        <v>0.98566802650229501</v>
      </c>
      <c r="E167" s="41"/>
    </row>
    <row r="168" spans="1:5" ht="12.75" customHeight="1" x14ac:dyDescent="0.25">
      <c r="B168" s="170" t="s">
        <v>152</v>
      </c>
      <c r="C168" s="170"/>
      <c r="D168" s="139">
        <f>Cp</f>
        <v>0.71218378146134076</v>
      </c>
      <c r="E168" s="41"/>
    </row>
    <row r="169" spans="1:5" ht="12.75" customHeight="1" x14ac:dyDescent="0.25">
      <c r="B169" s="170" t="s">
        <v>151</v>
      </c>
      <c r="C169" s="170"/>
      <c r="D169" s="139">
        <f>Cwp</f>
        <v>0.79247805205675315</v>
      </c>
      <c r="E169" s="41"/>
    </row>
    <row r="170" spans="1:5" ht="27" customHeight="1" x14ac:dyDescent="0.25">
      <c r="B170" s="169" t="s">
        <v>153</v>
      </c>
      <c r="C170" s="169"/>
      <c r="D170" s="139">
        <f>C128</f>
        <v>0.3163653603500105</v>
      </c>
      <c r="E170" s="41" t="s">
        <v>125</v>
      </c>
    </row>
    <row r="171" spans="1:5" ht="12.75" customHeight="1" x14ac:dyDescent="0.25">
      <c r="B171" s="170" t="s">
        <v>154</v>
      </c>
      <c r="C171" s="170"/>
      <c r="D171" s="139">
        <f>Disp_ton</f>
        <v>24168.015123868292</v>
      </c>
      <c r="E171" s="41" t="s">
        <v>133</v>
      </c>
    </row>
    <row r="172" spans="1:5" ht="12.75" customHeight="1" x14ac:dyDescent="0.25">
      <c r="B172" s="170" t="s">
        <v>155</v>
      </c>
      <c r="C172" s="170"/>
      <c r="D172" s="139">
        <f>Vdisp_m3</f>
        <v>23578.55134035931</v>
      </c>
      <c r="E172" s="41" t="s">
        <v>131</v>
      </c>
    </row>
    <row r="173" spans="1:5" ht="12.75" customHeight="1" x14ac:dyDescent="0.25">
      <c r="B173" s="170" t="s">
        <v>156</v>
      </c>
      <c r="C173" s="170"/>
      <c r="D173" s="139">
        <f>Fn</f>
        <v>0.22427305935938685</v>
      </c>
      <c r="E173" s="41"/>
    </row>
    <row r="174" spans="1:5" ht="12.75" customHeight="1" x14ac:dyDescent="0.25">
      <c r="B174" s="14"/>
      <c r="C174" s="14"/>
    </row>
    <row r="175" spans="1:5" ht="12.75" customHeight="1" x14ac:dyDescent="0.25">
      <c r="A175" s="33" t="s">
        <v>164</v>
      </c>
      <c r="B175" s="20" t="s">
        <v>216</v>
      </c>
    </row>
    <row r="176" spans="1:5" ht="12.75" customHeight="1" x14ac:dyDescent="0.25">
      <c r="A176" s="33"/>
      <c r="B176" s="14" t="s">
        <v>263</v>
      </c>
    </row>
    <row r="177" spans="1:9" ht="12.75" customHeight="1" x14ac:dyDescent="0.35">
      <c r="B177" s="23" t="s">
        <v>161</v>
      </c>
      <c r="C177" s="24" t="s">
        <v>253</v>
      </c>
    </row>
    <row r="178" spans="1:9" ht="12.75" customHeight="1" x14ac:dyDescent="0.25">
      <c r="B178" s="23" t="s">
        <v>162</v>
      </c>
      <c r="C178" s="141">
        <f xml:space="preserve"> Cm * B_m * T_m</f>
        <v>232.36522467295435</v>
      </c>
      <c r="D178" s="14" t="s">
        <v>163</v>
      </c>
    </row>
    <row r="179" spans="1:9" ht="12.75" customHeight="1" x14ac:dyDescent="0.25">
      <c r="B179" s="23"/>
    </row>
    <row r="180" spans="1:9" ht="12.75" customHeight="1" x14ac:dyDescent="0.25">
      <c r="B180" s="171" t="s">
        <v>264</v>
      </c>
      <c r="C180" s="171"/>
      <c r="D180" s="171"/>
      <c r="E180" s="171"/>
      <c r="F180" s="171"/>
      <c r="G180" s="171"/>
      <c r="H180" s="171"/>
      <c r="I180" s="171"/>
    </row>
    <row r="181" spans="1:9" ht="16.8" customHeight="1" x14ac:dyDescent="0.25">
      <c r="A181" s="23"/>
      <c r="B181" s="171"/>
      <c r="C181" s="171"/>
      <c r="D181" s="171"/>
      <c r="E181" s="171"/>
      <c r="F181" s="171"/>
      <c r="G181" s="171"/>
      <c r="H181" s="171"/>
      <c r="I181" s="171"/>
    </row>
    <row r="182" spans="1:9" ht="12.75" customHeight="1" x14ac:dyDescent="0.25">
      <c r="B182" s="14"/>
    </row>
    <row r="183" spans="1:9" ht="12.75" customHeight="1" x14ac:dyDescent="0.25">
      <c r="B183" s="14"/>
      <c r="F183" s="24"/>
    </row>
    <row r="184" spans="1:9" ht="12.75" customHeight="1" x14ac:dyDescent="0.25"/>
    <row r="185" spans="1:9" ht="12.75" customHeight="1" x14ac:dyDescent="0.25">
      <c r="A185" s="23"/>
    </row>
    <row r="187" spans="1:9" ht="12.75" customHeight="1" x14ac:dyDescent="0.25">
      <c r="H187" s="24"/>
    </row>
    <row r="188" spans="1:9" ht="12.75" customHeight="1" x14ac:dyDescent="0.25">
      <c r="H188" s="24"/>
    </row>
    <row r="189" spans="1:9" ht="12.75" customHeight="1" x14ac:dyDescent="0.25">
      <c r="H189" s="24"/>
    </row>
    <row r="190" spans="1:9" ht="12.75" customHeight="1" x14ac:dyDescent="0.25">
      <c r="H190" s="24"/>
    </row>
    <row r="191" spans="1:9" ht="12.75" customHeight="1" x14ac:dyDescent="0.25"/>
    <row r="192" spans="1:9" ht="12.75" customHeight="1" x14ac:dyDescent="0.25"/>
    <row r="193" spans="1:12" ht="12.75" customHeight="1" x14ac:dyDescent="0.25"/>
    <row r="194" spans="1:12" ht="12.75" customHeight="1" x14ac:dyDescent="0.25"/>
    <row r="195" spans="1:12" ht="12.75" customHeight="1" x14ac:dyDescent="0.25"/>
    <row r="196" spans="1:12" ht="12.75" customHeight="1" x14ac:dyDescent="0.25">
      <c r="B196" s="57" t="s">
        <v>165</v>
      </c>
      <c r="C196" s="154">
        <f>((0.5*((B_m*T_m)- Am_m2 ))/(1-((1/4)*PI())))^0.5</f>
        <v>2.8057018281759216</v>
      </c>
      <c r="D196" s="58" t="s">
        <v>39</v>
      </c>
      <c r="E196" s="58"/>
    </row>
    <row r="197" spans="1:12" ht="12.75" customHeight="1" x14ac:dyDescent="0.25">
      <c r="B197" s="57" t="s">
        <v>166</v>
      </c>
      <c r="C197" s="154">
        <f>(1/4)*PI()*(C196^2)</f>
        <v>6.1826250851069027</v>
      </c>
      <c r="D197" s="58" t="s">
        <v>282</v>
      </c>
      <c r="E197" s="58"/>
      <c r="F197" s="17"/>
      <c r="G197" s="17"/>
      <c r="H197" s="17"/>
      <c r="I197" s="17"/>
      <c r="J197" s="17"/>
    </row>
    <row r="198" spans="1:12" ht="12.75" customHeight="1" x14ac:dyDescent="0.25">
      <c r="B198" s="57" t="s">
        <v>167</v>
      </c>
      <c r="C198" s="154">
        <f>(C196^2)*(1-((1/4)*PI()))</f>
        <v>1.6893376635228068</v>
      </c>
      <c r="D198" s="58" t="s">
        <v>282</v>
      </c>
      <c r="E198" s="58"/>
      <c r="F198" s="17"/>
      <c r="G198" s="17"/>
      <c r="H198" s="17"/>
      <c r="I198" s="17"/>
      <c r="J198" s="17"/>
    </row>
    <row r="199" spans="1:12" ht="12.75" customHeight="1" x14ac:dyDescent="0.25">
      <c r="B199" s="150"/>
      <c r="C199" s="154">
        <f>C196^2- C197</f>
        <v>1.6893376635228066</v>
      </c>
      <c r="D199" s="58" t="s">
        <v>282</v>
      </c>
      <c r="E199" s="58"/>
      <c r="F199" s="17"/>
      <c r="G199" s="17"/>
      <c r="H199" s="17"/>
      <c r="I199" s="17"/>
      <c r="J199" s="17"/>
    </row>
    <row r="200" spans="1:12" x14ac:dyDescent="0.25">
      <c r="B200" s="58"/>
      <c r="C200" s="58"/>
      <c r="D200" s="58"/>
      <c r="E200" s="58"/>
      <c r="F200" s="53"/>
      <c r="G200" s="17"/>
      <c r="H200" s="17"/>
      <c r="I200" s="17"/>
      <c r="J200" s="17"/>
    </row>
    <row r="201" spans="1:12" ht="12.75" customHeight="1" x14ac:dyDescent="0.25">
      <c r="B201" s="162" t="s">
        <v>168</v>
      </c>
      <c r="C201" s="162"/>
      <c r="D201" s="142">
        <f>B_m</f>
        <v>23.7</v>
      </c>
      <c r="E201" s="60" t="s">
        <v>169</v>
      </c>
      <c r="F201" s="53"/>
      <c r="G201" s="17"/>
      <c r="H201" s="17"/>
      <c r="I201" s="17"/>
      <c r="J201" s="17"/>
    </row>
    <row r="202" spans="1:12" ht="12.75" customHeight="1" x14ac:dyDescent="0.25">
      <c r="B202" s="162" t="s">
        <v>170</v>
      </c>
      <c r="C202" s="162"/>
      <c r="D202" s="142">
        <f>H_m</f>
        <v>13.35</v>
      </c>
      <c r="E202" s="60" t="s">
        <v>169</v>
      </c>
      <c r="F202" s="53"/>
    </row>
    <row r="203" spans="1:12" ht="12.75" customHeight="1" x14ac:dyDescent="0.25">
      <c r="A203" s="23"/>
      <c r="B203" s="162" t="s">
        <v>171</v>
      </c>
      <c r="C203" s="162"/>
      <c r="D203" s="142">
        <f>T_m</f>
        <v>9.9469999999999992</v>
      </c>
      <c r="E203" s="60" t="s">
        <v>169</v>
      </c>
    </row>
    <row r="204" spans="1:12" ht="15.6" x14ac:dyDescent="0.25">
      <c r="B204" s="162" t="s">
        <v>172</v>
      </c>
      <c r="C204" s="162"/>
      <c r="D204" s="142">
        <f>Am_m2</f>
        <v>232.36522467295435</v>
      </c>
      <c r="E204" s="61" t="s">
        <v>235</v>
      </c>
    </row>
    <row r="205" spans="1:12" ht="12.75" customHeight="1" x14ac:dyDescent="0.25">
      <c r="B205" s="23"/>
      <c r="C205" s="14"/>
    </row>
    <row r="206" spans="1:12" x14ac:dyDescent="0.25">
      <c r="B206" s="23" t="s">
        <v>214</v>
      </c>
      <c r="C206" s="143">
        <f>(D201/2)-C196</f>
        <v>9.044298171824078</v>
      </c>
      <c r="D206" s="29" t="s">
        <v>39</v>
      </c>
    </row>
    <row r="207" spans="1:12" ht="12.75" customHeight="1" x14ac:dyDescent="0.25">
      <c r="B207" s="21"/>
      <c r="C207" s="54">
        <v>8828.4414918048296</v>
      </c>
      <c r="D207" s="21" t="s">
        <v>13</v>
      </c>
      <c r="E207" s="21"/>
      <c r="F207" s="21"/>
      <c r="G207" s="21"/>
      <c r="H207" s="21"/>
      <c r="I207" s="21"/>
      <c r="J207" s="21"/>
      <c r="K207" s="21"/>
      <c r="L207" s="21"/>
    </row>
    <row r="208" spans="1:12" ht="12.75" customHeight="1" x14ac:dyDescent="0.25">
      <c r="B208" s="14"/>
      <c r="C208" s="14"/>
    </row>
    <row r="209" spans="1:3" ht="12.75" customHeight="1" x14ac:dyDescent="0.25">
      <c r="A209" s="33" t="s">
        <v>215</v>
      </c>
      <c r="B209" s="20" t="s">
        <v>217</v>
      </c>
      <c r="C209" s="14"/>
    </row>
    <row r="210" spans="1:3" ht="12.75" customHeight="1" x14ac:dyDescent="0.25">
      <c r="B210" s="16" t="s">
        <v>218</v>
      </c>
      <c r="C210" s="14"/>
    </row>
    <row r="211" spans="1:3" ht="12.75" customHeight="1" x14ac:dyDescent="0.25">
      <c r="B211" s="14"/>
      <c r="C211" s="14"/>
    </row>
    <row r="212" spans="1:3" ht="12.75" customHeight="1" x14ac:dyDescent="0.25">
      <c r="B212" s="14"/>
      <c r="C212" s="14"/>
    </row>
    <row r="213" spans="1:3" ht="12.75" customHeight="1" x14ac:dyDescent="0.25">
      <c r="B213" s="14"/>
      <c r="C213" s="14"/>
    </row>
    <row r="214" spans="1:3" ht="12.75" customHeight="1" x14ac:dyDescent="0.25">
      <c r="B214" s="14"/>
      <c r="C214" s="14"/>
    </row>
    <row r="215" spans="1:3" ht="12.75" customHeight="1" x14ac:dyDescent="0.25">
      <c r="B215" s="14"/>
      <c r="C215" s="14"/>
    </row>
    <row r="216" spans="1:3" ht="12.75" customHeight="1" x14ac:dyDescent="0.25">
      <c r="B216" s="14"/>
      <c r="C216" s="14"/>
    </row>
    <row r="217" spans="1:3" ht="12.75" customHeight="1" x14ac:dyDescent="0.25">
      <c r="B217" s="14"/>
      <c r="C217" s="14"/>
    </row>
    <row r="218" spans="1:3" ht="12.75" customHeight="1" x14ac:dyDescent="0.25">
      <c r="B218" s="14"/>
      <c r="C218" s="14"/>
    </row>
    <row r="219" spans="1:3" ht="12.75" customHeight="1" x14ac:dyDescent="0.25">
      <c r="B219" s="14"/>
      <c r="C219" s="14"/>
    </row>
    <row r="220" spans="1:3" ht="12.75" customHeight="1" x14ac:dyDescent="0.25">
      <c r="B220" s="14"/>
      <c r="C220" s="14"/>
    </row>
    <row r="221" spans="1:3" ht="12.75" customHeight="1" x14ac:dyDescent="0.25">
      <c r="B221" s="14"/>
      <c r="C221" s="14"/>
    </row>
    <row r="222" spans="1:3" ht="12.75" customHeight="1" x14ac:dyDescent="0.25">
      <c r="B222" s="14"/>
      <c r="C222" s="14"/>
    </row>
    <row r="223" spans="1:3" ht="12.75" customHeight="1" x14ac:dyDescent="0.25">
      <c r="B223" s="14"/>
      <c r="C223" s="14"/>
    </row>
    <row r="224" spans="1:3" ht="12.75" customHeight="1" x14ac:dyDescent="0.25">
      <c r="B224" s="14"/>
      <c r="C224" s="14"/>
    </row>
    <row r="225" spans="2:8" ht="12.75" customHeight="1" x14ac:dyDescent="0.25">
      <c r="B225" s="14"/>
      <c r="C225" s="14"/>
    </row>
    <row r="226" spans="2:8" ht="12.75" customHeight="1" x14ac:dyDescent="0.25">
      <c r="B226" s="162" t="s">
        <v>207</v>
      </c>
      <c r="C226" s="162"/>
      <c r="D226" s="59">
        <f>LPP_m</f>
        <v>137</v>
      </c>
      <c r="E226" s="60" t="s">
        <v>169</v>
      </c>
    </row>
    <row r="227" spans="2:8" ht="12.75" customHeight="1" x14ac:dyDescent="0.25">
      <c r="B227" s="162" t="s">
        <v>327</v>
      </c>
      <c r="C227" s="162"/>
      <c r="D227" s="59">
        <f>LWL_m</f>
        <v>142.48000000000002</v>
      </c>
      <c r="E227" s="60" t="s">
        <v>169</v>
      </c>
      <c r="H227" s="4">
        <f>90+15</f>
        <v>105</v>
      </c>
    </row>
    <row r="228" spans="2:8" ht="12.75" customHeight="1" x14ac:dyDescent="0.25">
      <c r="B228" s="162" t="s">
        <v>168</v>
      </c>
      <c r="C228" s="162"/>
      <c r="D228" s="59">
        <f>B_m</f>
        <v>23.7</v>
      </c>
      <c r="E228" s="60" t="s">
        <v>169</v>
      </c>
      <c r="H228" s="4">
        <f>270-15</f>
        <v>255</v>
      </c>
    </row>
    <row r="229" spans="2:8" ht="12.75" customHeight="1" x14ac:dyDescent="0.25">
      <c r="B229" s="162" t="s">
        <v>170</v>
      </c>
      <c r="C229" s="162"/>
      <c r="D229" s="59">
        <f>H_m</f>
        <v>13.35</v>
      </c>
      <c r="E229" s="60" t="s">
        <v>169</v>
      </c>
    </row>
    <row r="230" spans="2:8" ht="12.75" customHeight="1" x14ac:dyDescent="0.25">
      <c r="B230" s="162" t="s">
        <v>171</v>
      </c>
      <c r="C230" s="162"/>
      <c r="D230" s="59">
        <f>T_m</f>
        <v>9.9469999999999992</v>
      </c>
      <c r="E230" s="60" t="s">
        <v>169</v>
      </c>
    </row>
    <row r="231" spans="2:8" ht="12.75" customHeight="1" x14ac:dyDescent="0.25">
      <c r="B231" s="162" t="s">
        <v>56</v>
      </c>
      <c r="C231" s="162"/>
      <c r="D231" s="59">
        <f>LWL_m</f>
        <v>142.48000000000002</v>
      </c>
      <c r="E231" s="60" t="s">
        <v>169</v>
      </c>
    </row>
    <row r="232" spans="2:8" ht="12.75" customHeight="1" x14ac:dyDescent="0.25">
      <c r="B232" s="14"/>
      <c r="C232" s="14"/>
    </row>
    <row r="233" spans="2:8" ht="12.75" customHeight="1" x14ac:dyDescent="0.25">
      <c r="B233" s="62" t="s">
        <v>219</v>
      </c>
      <c r="D233" s="58"/>
      <c r="E233" s="58"/>
    </row>
    <row r="234" spans="2:8" ht="12.75" customHeight="1" x14ac:dyDescent="0.25">
      <c r="B234" s="14"/>
      <c r="C234" s="14"/>
    </row>
    <row r="235" spans="2:8" ht="12.75" customHeight="1" x14ac:dyDescent="0.25">
      <c r="B235" s="14"/>
      <c r="C235" s="14"/>
    </row>
    <row r="236" spans="2:8" ht="12.75" customHeight="1" x14ac:dyDescent="0.25">
      <c r="B236" s="14"/>
      <c r="C236" s="14"/>
    </row>
    <row r="237" spans="2:8" ht="12.75" customHeight="1" x14ac:dyDescent="0.25">
      <c r="B237" s="14"/>
      <c r="C237" s="14"/>
    </row>
    <row r="238" spans="2:8" ht="12.75" customHeight="1" x14ac:dyDescent="0.25">
      <c r="B238" s="14"/>
      <c r="C238" s="14"/>
    </row>
    <row r="239" spans="2:8" ht="12.75" customHeight="1" x14ac:dyDescent="0.25">
      <c r="B239" s="14"/>
      <c r="C239" s="14"/>
    </row>
    <row r="240" spans="2:8" ht="12.75" customHeight="1" x14ac:dyDescent="0.25">
      <c r="B240" s="14"/>
      <c r="C240" s="14"/>
    </row>
    <row r="241" spans="2:6" ht="12.75" customHeight="1" x14ac:dyDescent="0.25">
      <c r="B241" s="14"/>
      <c r="C241" s="14"/>
    </row>
    <row r="242" spans="2:6" ht="12.75" customHeight="1" x14ac:dyDescent="0.25">
      <c r="B242" s="14"/>
      <c r="C242" s="14"/>
    </row>
    <row r="243" spans="2:6" ht="12.75" customHeight="1" x14ac:dyDescent="0.25">
      <c r="B243" s="14"/>
      <c r="C243" s="14"/>
    </row>
    <row r="244" spans="2:6" ht="12.75" customHeight="1" x14ac:dyDescent="0.25">
      <c r="B244" s="14"/>
      <c r="C244" s="14"/>
    </row>
    <row r="245" spans="2:6" ht="12.75" customHeight="1" x14ac:dyDescent="0.25">
      <c r="B245" s="14"/>
      <c r="C245" s="14"/>
    </row>
    <row r="246" spans="2:6" ht="15.6" x14ac:dyDescent="0.35">
      <c r="B246" s="23" t="s">
        <v>194</v>
      </c>
      <c r="C246" s="141">
        <f>D161</f>
        <v>23.7</v>
      </c>
      <c r="D246" s="4" t="s">
        <v>39</v>
      </c>
    </row>
    <row r="247" spans="2:6" ht="15.6" x14ac:dyDescent="0.35">
      <c r="B247" s="23" t="s">
        <v>200</v>
      </c>
      <c r="C247" s="141">
        <f>D162</f>
        <v>9.9469999999999992</v>
      </c>
      <c r="D247" s="4" t="s">
        <v>39</v>
      </c>
    </row>
    <row r="248" spans="2:6" ht="15.6" x14ac:dyDescent="0.35">
      <c r="B248" s="23" t="s">
        <v>201</v>
      </c>
      <c r="C248" s="141">
        <f>D158</f>
        <v>137</v>
      </c>
      <c r="D248" s="4" t="s">
        <v>39</v>
      </c>
    </row>
    <row r="249" spans="2:6" ht="15.6" x14ac:dyDescent="0.35">
      <c r="B249" s="23" t="s">
        <v>203</v>
      </c>
      <c r="C249" s="141">
        <v>3.2250000000000001</v>
      </c>
      <c r="D249" s="4" t="s">
        <v>39</v>
      </c>
    </row>
    <row r="250" spans="2:6" ht="15.6" x14ac:dyDescent="0.35">
      <c r="B250" s="23" t="s">
        <v>202</v>
      </c>
      <c r="C250" s="141">
        <v>3.1869999999999998</v>
      </c>
      <c r="D250" s="4" t="s">
        <v>39</v>
      </c>
    </row>
    <row r="251" spans="2:6" ht="15.6" x14ac:dyDescent="0.35">
      <c r="B251" s="23" t="s">
        <v>204</v>
      </c>
      <c r="C251" s="141">
        <v>2.0910000000000002</v>
      </c>
      <c r="D251" s="4" t="s">
        <v>39</v>
      </c>
    </row>
    <row r="252" spans="2:6" ht="15.6" x14ac:dyDescent="0.35">
      <c r="B252" s="23" t="s">
        <v>205</v>
      </c>
      <c r="C252" s="141">
        <f>C251*2</f>
        <v>4.1820000000000004</v>
      </c>
      <c r="D252" s="4" t="s">
        <v>39</v>
      </c>
    </row>
    <row r="253" spans="2:6" x14ac:dyDescent="0.25">
      <c r="B253" s="23"/>
      <c r="C253" s="24"/>
    </row>
    <row r="254" spans="2:6" x14ac:dyDescent="0.25">
      <c r="B254" s="50"/>
      <c r="C254" s="50" t="s">
        <v>198</v>
      </c>
      <c r="D254" s="50" t="s">
        <v>199</v>
      </c>
      <c r="E254" s="55" t="s">
        <v>70</v>
      </c>
      <c r="F254" s="50" t="s">
        <v>71</v>
      </c>
    </row>
    <row r="255" spans="2:6" ht="15.6" x14ac:dyDescent="0.35">
      <c r="B255" s="50" t="s">
        <v>195</v>
      </c>
      <c r="C255" s="50">
        <v>0.17</v>
      </c>
      <c r="D255" s="50">
        <v>0.2</v>
      </c>
      <c r="E255" s="56">
        <f>C252/C246</f>
        <v>0.17645569620253165</v>
      </c>
      <c r="F255" s="50" t="str">
        <f>IF(E255&gt;D255,"Error",IF(E255&lt;C255,"Error","OK"))</f>
        <v>OK</v>
      </c>
    </row>
    <row r="256" spans="2:6" ht="15.6" x14ac:dyDescent="0.35">
      <c r="B256" s="50" t="s">
        <v>196</v>
      </c>
      <c r="C256" s="50">
        <v>1.7999999999999999E-2</v>
      </c>
      <c r="D256" s="50">
        <v>3.1E-2</v>
      </c>
      <c r="E256" s="56">
        <f>C249/C248</f>
        <v>2.354014598540146E-2</v>
      </c>
      <c r="F256" s="50" t="str">
        <f>IF(E256&gt;D256,"Error",IF(E256&lt;C256,"Error","OK"))</f>
        <v>OK</v>
      </c>
    </row>
    <row r="257" spans="2:6" ht="15.6" x14ac:dyDescent="0.35">
      <c r="B257" s="50" t="s">
        <v>197</v>
      </c>
      <c r="C257" s="50">
        <v>0.26</v>
      </c>
      <c r="D257" s="50">
        <v>0.55000000000000004</v>
      </c>
      <c r="E257" s="56">
        <f>C250/C247</f>
        <v>0.32039810998290941</v>
      </c>
      <c r="F257" s="50" t="str">
        <f>IF(E257&gt;D257,"Error",IF(E257&lt;C257,"Error","OK"))</f>
        <v>OK</v>
      </c>
    </row>
    <row r="259" spans="2:6" x14ac:dyDescent="0.25">
      <c r="B259" s="13" t="s">
        <v>193</v>
      </c>
    </row>
    <row r="260" spans="2:6" x14ac:dyDescent="0.25">
      <c r="B260" s="4" t="s">
        <v>190</v>
      </c>
    </row>
    <row r="261" spans="2:6" x14ac:dyDescent="0.25">
      <c r="B261" s="4" t="s">
        <v>213</v>
      </c>
    </row>
    <row r="262" spans="2:6" x14ac:dyDescent="0.25">
      <c r="B262" s="4" t="s">
        <v>191</v>
      </c>
    </row>
    <row r="263" spans="2:6" x14ac:dyDescent="0.25">
      <c r="B263" s="4" t="s">
        <v>192</v>
      </c>
    </row>
    <row r="265" spans="2:6" x14ac:dyDescent="0.25">
      <c r="B265" s="18" t="s">
        <v>220</v>
      </c>
    </row>
    <row r="267" spans="2:6" ht="12.75" customHeight="1" x14ac:dyDescent="0.25">
      <c r="B267" s="14"/>
      <c r="C267" s="14"/>
    </row>
    <row r="268" spans="2:6" ht="12.75" customHeight="1" x14ac:dyDescent="0.25">
      <c r="B268" s="14"/>
      <c r="C268" s="14"/>
    </row>
    <row r="269" spans="2:6" ht="12.75" customHeight="1" x14ac:dyDescent="0.25">
      <c r="B269" s="14"/>
      <c r="C269" s="14"/>
    </row>
    <row r="270" spans="2:6" ht="12.75" customHeight="1" x14ac:dyDescent="0.25">
      <c r="B270" s="14"/>
      <c r="C270" s="14"/>
    </row>
    <row r="271" spans="2:6" ht="12.75" customHeight="1" x14ac:dyDescent="0.25">
      <c r="B271" s="14"/>
      <c r="C271" s="14"/>
    </row>
    <row r="272" spans="2:6" ht="12.75" customHeight="1" x14ac:dyDescent="0.25">
      <c r="B272" s="14"/>
      <c r="C272" s="14"/>
    </row>
    <row r="273" spans="2:5" ht="12.75" customHeight="1" x14ac:dyDescent="0.25">
      <c r="B273" s="14"/>
      <c r="C273" s="14"/>
    </row>
    <row r="274" spans="2:5" ht="12.75" customHeight="1" x14ac:dyDescent="0.25">
      <c r="B274" s="14"/>
      <c r="C274" s="14"/>
    </row>
    <row r="275" spans="2:5" ht="12.75" customHeight="1" x14ac:dyDescent="0.25">
      <c r="B275" s="14"/>
      <c r="C275" s="14"/>
    </row>
    <row r="276" spans="2:5" ht="12.75" customHeight="1" x14ac:dyDescent="0.25">
      <c r="B276" s="14"/>
      <c r="C276" s="14"/>
    </row>
    <row r="277" spans="2:5" ht="12.75" customHeight="1" x14ac:dyDescent="0.25">
      <c r="B277" s="14"/>
      <c r="C277" s="14"/>
    </row>
    <row r="278" spans="2:5" ht="12.75" customHeight="1" x14ac:dyDescent="0.25">
      <c r="B278" s="14"/>
      <c r="C278" s="14"/>
    </row>
    <row r="279" spans="2:5" ht="12.75" customHeight="1" x14ac:dyDescent="0.25">
      <c r="B279" s="14"/>
      <c r="C279" s="14"/>
    </row>
    <row r="280" spans="2:5" ht="12.75" customHeight="1" x14ac:dyDescent="0.25">
      <c r="B280" s="14"/>
      <c r="C280" s="14"/>
    </row>
    <row r="281" spans="2:5" ht="12.75" customHeight="1" x14ac:dyDescent="0.25">
      <c r="B281" s="63" t="s">
        <v>168</v>
      </c>
      <c r="C281" s="142">
        <f>B_m</f>
        <v>23.7</v>
      </c>
      <c r="D281" s="60" t="s">
        <v>169</v>
      </c>
      <c r="E281" s="58"/>
    </row>
    <row r="282" spans="2:5" ht="12.75" customHeight="1" x14ac:dyDescent="0.25">
      <c r="B282" s="63" t="s">
        <v>171</v>
      </c>
      <c r="C282" s="142">
        <f>T_m</f>
        <v>9.9469999999999992</v>
      </c>
      <c r="D282" s="60" t="s">
        <v>169</v>
      </c>
      <c r="E282" s="58"/>
    </row>
    <row r="283" spans="2:5" ht="12.75" customHeight="1" x14ac:dyDescent="0.25">
      <c r="B283" s="58"/>
      <c r="C283" s="58"/>
      <c r="D283" s="58"/>
      <c r="E283" s="58"/>
    </row>
    <row r="284" spans="2:5" ht="12.75" customHeight="1" x14ac:dyDescent="0.25">
      <c r="B284" s="72" t="s">
        <v>221</v>
      </c>
      <c r="C284" s="98" t="s">
        <v>222</v>
      </c>
      <c r="D284" s="98">
        <f>0.68*C282</f>
        <v>6.76396</v>
      </c>
      <c r="E284" s="74" t="s">
        <v>39</v>
      </c>
    </row>
    <row r="285" spans="2:5" ht="12.75" customHeight="1" x14ac:dyDescent="0.25">
      <c r="B285" s="57" t="s">
        <v>223</v>
      </c>
      <c r="C285" s="64" t="s">
        <v>224</v>
      </c>
      <c r="D285" s="64">
        <f>0.33*C282</f>
        <v>3.2825099999999998</v>
      </c>
      <c r="E285" s="58" t="s">
        <v>39</v>
      </c>
    </row>
    <row r="286" spans="2:5" ht="12.75" customHeight="1" x14ac:dyDescent="0.25">
      <c r="B286" s="72" t="s">
        <v>225</v>
      </c>
      <c r="C286" s="98" t="s">
        <v>226</v>
      </c>
      <c r="D286" s="98">
        <f>0.35*C282</f>
        <v>3.4814499999999997</v>
      </c>
      <c r="E286" s="74" t="s">
        <v>39</v>
      </c>
    </row>
    <row r="287" spans="2:5" ht="12.75" customHeight="1" x14ac:dyDescent="0.25">
      <c r="B287" s="57" t="s">
        <v>227</v>
      </c>
      <c r="C287" s="64" t="s">
        <v>228</v>
      </c>
      <c r="D287" s="64">
        <f>0.12*C282</f>
        <v>1.1936399999999998</v>
      </c>
      <c r="E287" s="58" t="s">
        <v>39</v>
      </c>
    </row>
    <row r="288" spans="2:5" ht="12.75" customHeight="1" x14ac:dyDescent="0.25">
      <c r="B288" s="57"/>
      <c r="C288" s="64"/>
      <c r="D288" s="64"/>
      <c r="E288" s="58"/>
    </row>
    <row r="289" spans="2:8" ht="12.75" customHeight="1" x14ac:dyDescent="0.25">
      <c r="B289" s="76" t="s">
        <v>258</v>
      </c>
      <c r="C289" s="64"/>
      <c r="D289" s="64"/>
      <c r="E289" s="58"/>
    </row>
    <row r="290" spans="2:8" ht="12.75" customHeight="1" x14ac:dyDescent="0.25">
      <c r="B290" s="76"/>
      <c r="C290" s="64"/>
      <c r="D290" s="64"/>
      <c r="E290" s="58"/>
    </row>
    <row r="291" spans="2:8" ht="12.75" customHeight="1" x14ac:dyDescent="0.25">
      <c r="B291" s="76"/>
      <c r="C291" s="64"/>
      <c r="D291" s="64"/>
      <c r="E291" s="58"/>
    </row>
    <row r="292" spans="2:8" ht="12.75" customHeight="1" x14ac:dyDescent="0.25">
      <c r="B292" s="76"/>
      <c r="C292" s="64"/>
      <c r="D292" s="64"/>
      <c r="E292" s="58"/>
    </row>
    <row r="293" spans="2:8" ht="12.75" customHeight="1" x14ac:dyDescent="0.25">
      <c r="B293" s="76"/>
      <c r="C293" s="64"/>
      <c r="D293" s="64"/>
      <c r="E293" s="58"/>
    </row>
    <row r="294" spans="2:8" ht="12.75" customHeight="1" x14ac:dyDescent="0.25">
      <c r="B294" s="76"/>
      <c r="C294" s="64"/>
      <c r="D294" s="64"/>
      <c r="E294" s="58"/>
    </row>
    <row r="295" spans="2:8" ht="12.75" customHeight="1" x14ac:dyDescent="0.25">
      <c r="B295" s="76"/>
      <c r="C295" s="64"/>
      <c r="D295" s="64"/>
      <c r="E295" s="58"/>
    </row>
    <row r="296" spans="2:8" ht="12.75" customHeight="1" x14ac:dyDescent="0.25">
      <c r="B296" s="76"/>
      <c r="C296" s="64"/>
      <c r="D296" s="64"/>
      <c r="E296" s="58"/>
    </row>
    <row r="297" spans="2:8" ht="12.75" customHeight="1" x14ac:dyDescent="0.25">
      <c r="B297" s="76"/>
      <c r="C297" s="64"/>
      <c r="D297" s="64"/>
      <c r="E297" s="58"/>
    </row>
    <row r="298" spans="2:8" ht="12.75" customHeight="1" x14ac:dyDescent="0.25">
      <c r="B298" s="57"/>
      <c r="C298" s="64"/>
      <c r="D298" s="64"/>
      <c r="E298" s="58"/>
    </row>
    <row r="299" spans="2:8" ht="39.6" x14ac:dyDescent="0.25">
      <c r="B299" s="156" t="s">
        <v>208</v>
      </c>
      <c r="C299" s="156"/>
      <c r="D299" s="156"/>
      <c r="E299" s="84" t="s">
        <v>262</v>
      </c>
      <c r="F299" s="84" t="s">
        <v>260</v>
      </c>
      <c r="G299" s="84" t="s">
        <v>209</v>
      </c>
      <c r="H299" s="84" t="s">
        <v>261</v>
      </c>
    </row>
    <row r="300" spans="2:8" x14ac:dyDescent="0.25">
      <c r="B300" s="159" t="s">
        <v>259</v>
      </c>
      <c r="C300" s="159"/>
      <c r="D300" s="159"/>
      <c r="E300" s="66">
        <f>0.35*C282</f>
        <v>3.4814499999999997</v>
      </c>
      <c r="F300" s="66">
        <v>0.6</v>
      </c>
      <c r="G300" s="66">
        <f>ROUNDUP((E300/F300),0)</f>
        <v>6</v>
      </c>
      <c r="H300" s="87">
        <f>E300</f>
        <v>3.4814499999999997</v>
      </c>
    </row>
    <row r="301" spans="2:8" ht="27" customHeight="1" x14ac:dyDescent="0.25">
      <c r="B301" s="159" t="s">
        <v>210</v>
      </c>
      <c r="C301" s="159"/>
      <c r="D301" s="159"/>
      <c r="E301" s="67">
        <v>1.8</v>
      </c>
      <c r="F301" s="67">
        <v>0.6</v>
      </c>
      <c r="G301" s="66">
        <f>E301/F301</f>
        <v>3</v>
      </c>
      <c r="H301" s="87">
        <v>6</v>
      </c>
    </row>
    <row r="302" spans="2:8" ht="44.4" customHeight="1" x14ac:dyDescent="0.25">
      <c r="B302" s="159" t="s">
        <v>239</v>
      </c>
      <c r="C302" s="159"/>
      <c r="D302" s="159"/>
      <c r="E302" s="67">
        <f>18%*D226</f>
        <v>24.66</v>
      </c>
      <c r="F302" s="67">
        <v>0.6</v>
      </c>
      <c r="G302" s="66">
        <f>ROUNDUP((E302/F302),0)</f>
        <v>42</v>
      </c>
      <c r="H302" s="87">
        <v>24</v>
      </c>
    </row>
    <row r="303" spans="2:8" ht="27" customHeight="1" x14ac:dyDescent="0.25">
      <c r="B303" s="159" t="s">
        <v>272</v>
      </c>
      <c r="C303" s="159"/>
      <c r="D303" s="159"/>
      <c r="E303" s="67">
        <f>7.5%*D226</f>
        <v>10.275</v>
      </c>
      <c r="F303" s="67">
        <v>0.6</v>
      </c>
      <c r="G303" s="66"/>
      <c r="H303" s="87">
        <v>9.8000000000000007</v>
      </c>
    </row>
    <row r="304" spans="2:8" x14ac:dyDescent="0.25">
      <c r="B304" s="57"/>
      <c r="C304" s="64"/>
      <c r="D304" s="64"/>
      <c r="E304" s="58"/>
    </row>
    <row r="305" spans="1:8" ht="12.75" customHeight="1" x14ac:dyDescent="0.25">
      <c r="B305" s="57"/>
      <c r="C305" s="64"/>
      <c r="D305" s="64"/>
      <c r="E305" s="58"/>
    </row>
    <row r="306" spans="1:8" ht="12.75" customHeight="1" x14ac:dyDescent="0.25">
      <c r="B306" s="57"/>
      <c r="C306" s="64"/>
      <c r="D306" s="64"/>
      <c r="E306" s="58"/>
    </row>
    <row r="307" spans="1:8" ht="12.75" customHeight="1" x14ac:dyDescent="0.25">
      <c r="A307" s="33" t="s">
        <v>229</v>
      </c>
      <c r="B307" s="20" t="s">
        <v>230</v>
      </c>
      <c r="C307" s="14"/>
    </row>
    <row r="308" spans="1:8" ht="12.75" customHeight="1" x14ac:dyDescent="0.35">
      <c r="A308" s="33"/>
      <c r="B308" s="37" t="s">
        <v>321</v>
      </c>
      <c r="C308" s="14"/>
    </row>
    <row r="309" spans="1:8" ht="12.75" customHeight="1" x14ac:dyDescent="0.25">
      <c r="A309" s="33"/>
      <c r="B309" s="160" t="s">
        <v>251</v>
      </c>
      <c r="C309" s="160"/>
      <c r="D309" s="160"/>
      <c r="E309" s="160"/>
      <c r="F309" s="160"/>
      <c r="G309" s="160"/>
      <c r="H309" s="160"/>
    </row>
    <row r="310" spans="1:8" ht="12.75" customHeight="1" x14ac:dyDescent="0.25">
      <c r="A310" s="33"/>
      <c r="B310" s="161" t="s">
        <v>328</v>
      </c>
      <c r="C310" s="161"/>
      <c r="D310" s="161"/>
      <c r="E310" s="161"/>
      <c r="F310" s="161"/>
      <c r="G310" s="161"/>
      <c r="H310" s="161"/>
    </row>
    <row r="311" spans="1:8" ht="12.75" customHeight="1" x14ac:dyDescent="0.25">
      <c r="A311" s="33"/>
      <c r="B311" s="161"/>
      <c r="C311" s="161"/>
      <c r="D311" s="161"/>
      <c r="E311" s="161"/>
      <c r="F311" s="161"/>
      <c r="G311" s="161"/>
      <c r="H311" s="161"/>
    </row>
    <row r="312" spans="1:8" ht="12.75" customHeight="1" x14ac:dyDescent="0.25">
      <c r="A312" s="33"/>
      <c r="B312" s="160" t="s">
        <v>242</v>
      </c>
      <c r="C312" s="160"/>
      <c r="D312" s="160"/>
      <c r="E312" s="160"/>
      <c r="F312" s="160"/>
      <c r="G312" s="160"/>
      <c r="H312" s="160"/>
    </row>
    <row r="313" spans="1:8" ht="12.75" customHeight="1" x14ac:dyDescent="0.25">
      <c r="A313" s="33"/>
      <c r="B313" s="26" t="s">
        <v>249</v>
      </c>
      <c r="C313" s="24">
        <f>0.5*C281</f>
        <v>11.85</v>
      </c>
      <c r="D313" s="14" t="s">
        <v>39</v>
      </c>
    </row>
    <row r="314" spans="1:8" ht="12.75" customHeight="1" x14ac:dyDescent="0.25">
      <c r="A314" s="33"/>
      <c r="B314" s="23" t="s">
        <v>119</v>
      </c>
      <c r="C314" s="47">
        <f>D168</f>
        <v>0.71218378146134076</v>
      </c>
      <c r="D314" s="14"/>
    </row>
    <row r="315" spans="1:8" ht="12.75" customHeight="1" x14ac:dyDescent="0.25">
      <c r="A315" s="33"/>
      <c r="B315" s="26" t="s">
        <v>59</v>
      </c>
      <c r="C315" s="24">
        <f>D159</f>
        <v>142.48000000000002</v>
      </c>
      <c r="D315" s="14" t="s">
        <v>39</v>
      </c>
    </row>
    <row r="316" spans="1:8" ht="12.75" customHeight="1" x14ac:dyDescent="0.25">
      <c r="A316" s="33"/>
      <c r="B316" s="26"/>
      <c r="C316" s="14"/>
    </row>
    <row r="317" spans="1:8" ht="12.75" customHeight="1" x14ac:dyDescent="0.35">
      <c r="A317" s="33"/>
      <c r="B317" s="16" t="s">
        <v>254</v>
      </c>
      <c r="C317" s="14"/>
    </row>
    <row r="318" spans="1:8" ht="12.75" customHeight="1" x14ac:dyDescent="0.25">
      <c r="A318" s="33"/>
      <c r="B318" s="16" t="s">
        <v>243</v>
      </c>
      <c r="C318" s="14"/>
    </row>
    <row r="319" spans="1:8" ht="12.75" customHeight="1" x14ac:dyDescent="0.25">
      <c r="A319" s="33"/>
      <c r="B319" s="16" t="s">
        <v>244</v>
      </c>
      <c r="C319" s="14"/>
      <c r="D319" s="4">
        <f>28.5%*C315</f>
        <v>40.6068</v>
      </c>
      <c r="E319" s="4" t="s">
        <v>245</v>
      </c>
      <c r="F319" s="99">
        <f>ROUNDUP(D319,0)</f>
        <v>41</v>
      </c>
      <c r="G319" s="4" t="s">
        <v>39</v>
      </c>
    </row>
    <row r="320" spans="1:8" ht="12.75" customHeight="1" x14ac:dyDescent="0.25">
      <c r="A320" s="33"/>
      <c r="B320" s="16"/>
      <c r="C320" s="14"/>
    </row>
    <row r="321" spans="1:3" ht="12.75" customHeight="1" x14ac:dyDescent="0.25">
      <c r="A321" s="33"/>
      <c r="B321" s="16"/>
      <c r="C321" s="14"/>
    </row>
    <row r="322" spans="1:3" ht="12.75" customHeight="1" x14ac:dyDescent="0.25">
      <c r="A322" s="33"/>
      <c r="B322" s="16"/>
      <c r="C322" s="14"/>
    </row>
    <row r="323" spans="1:3" ht="12.75" customHeight="1" x14ac:dyDescent="0.25">
      <c r="A323" s="33"/>
      <c r="B323" s="16"/>
      <c r="C323" s="14"/>
    </row>
    <row r="324" spans="1:3" ht="12.75" customHeight="1" x14ac:dyDescent="0.25">
      <c r="A324" s="33"/>
      <c r="B324" s="16"/>
      <c r="C324" s="14"/>
    </row>
    <row r="325" spans="1:3" ht="12.75" customHeight="1" x14ac:dyDescent="0.25">
      <c r="A325" s="33"/>
      <c r="B325" s="16"/>
      <c r="C325" s="14"/>
    </row>
    <row r="326" spans="1:3" ht="12.75" customHeight="1" x14ac:dyDescent="0.25">
      <c r="A326" s="33"/>
      <c r="B326" s="16"/>
      <c r="C326" s="14"/>
    </row>
    <row r="327" spans="1:3" ht="12.75" customHeight="1" x14ac:dyDescent="0.25">
      <c r="A327" s="33"/>
      <c r="B327" s="16"/>
      <c r="C327" s="14"/>
    </row>
    <row r="328" spans="1:3" ht="12.75" customHeight="1" x14ac:dyDescent="0.25">
      <c r="A328" s="33"/>
      <c r="B328" s="16"/>
      <c r="C328" s="14"/>
    </row>
    <row r="329" spans="1:3" ht="12.75" customHeight="1" x14ac:dyDescent="0.25">
      <c r="A329" s="33"/>
      <c r="B329" s="16"/>
      <c r="C329" s="14"/>
    </row>
    <row r="330" spans="1:3" ht="12.75" customHeight="1" x14ac:dyDescent="0.25">
      <c r="A330" s="33"/>
      <c r="B330" s="16"/>
      <c r="C330" s="14"/>
    </row>
    <row r="331" spans="1:3" ht="12.75" customHeight="1" x14ac:dyDescent="0.25">
      <c r="A331" s="33"/>
      <c r="B331" s="16"/>
      <c r="C331" s="14"/>
    </row>
    <row r="332" spans="1:3" ht="12.75" customHeight="1" x14ac:dyDescent="0.25">
      <c r="A332" s="33"/>
      <c r="B332" s="16"/>
      <c r="C332" s="14"/>
    </row>
    <row r="333" spans="1:3" ht="12.75" customHeight="1" x14ac:dyDescent="0.25">
      <c r="A333" s="33"/>
      <c r="B333" s="16"/>
      <c r="C333" s="14"/>
    </row>
    <row r="334" spans="1:3" ht="12.75" customHeight="1" x14ac:dyDescent="0.25">
      <c r="A334" s="33"/>
      <c r="B334" s="16"/>
      <c r="C334" s="14"/>
    </row>
    <row r="335" spans="1:3" ht="12.75" customHeight="1" x14ac:dyDescent="0.25">
      <c r="A335" s="33"/>
      <c r="B335" s="16"/>
      <c r="C335" s="14"/>
    </row>
    <row r="336" spans="1:3" ht="12.75" customHeight="1" x14ac:dyDescent="0.25">
      <c r="A336" s="33"/>
      <c r="B336" s="16"/>
      <c r="C336" s="14"/>
    </row>
    <row r="337" spans="1:4" ht="12.75" customHeight="1" x14ac:dyDescent="0.25">
      <c r="A337" s="33"/>
      <c r="B337" s="16"/>
      <c r="C337" s="14"/>
    </row>
    <row r="338" spans="1:4" ht="12.75" customHeight="1" x14ac:dyDescent="0.35">
      <c r="A338" s="33"/>
      <c r="B338" s="37" t="s">
        <v>322</v>
      </c>
      <c r="C338" s="14"/>
    </row>
    <row r="339" spans="1:4" ht="12.75" customHeight="1" x14ac:dyDescent="0.25">
      <c r="A339" s="33"/>
      <c r="B339" s="16" t="s">
        <v>252</v>
      </c>
      <c r="C339" s="14"/>
    </row>
    <row r="340" spans="1:4" ht="12.75" customHeight="1" x14ac:dyDescent="0.25">
      <c r="A340" s="33"/>
      <c r="B340" s="16"/>
      <c r="C340" s="14"/>
    </row>
    <row r="341" spans="1:4" ht="12.75" customHeight="1" x14ac:dyDescent="0.25">
      <c r="A341" s="33"/>
      <c r="B341" s="16"/>
      <c r="C341" s="14"/>
    </row>
    <row r="342" spans="1:4" ht="12.75" customHeight="1" x14ac:dyDescent="0.25">
      <c r="A342" s="33"/>
      <c r="B342" s="16"/>
      <c r="C342" s="14"/>
    </row>
    <row r="343" spans="1:4" ht="12.75" customHeight="1" x14ac:dyDescent="0.25">
      <c r="A343" s="33"/>
      <c r="B343" s="16"/>
      <c r="C343" s="14"/>
    </row>
    <row r="344" spans="1:4" ht="12.75" customHeight="1" x14ac:dyDescent="0.25">
      <c r="A344" s="33"/>
      <c r="B344" s="16"/>
      <c r="C344" s="14"/>
    </row>
    <row r="345" spans="1:4" ht="12.75" customHeight="1" x14ac:dyDescent="0.25">
      <c r="A345" s="33"/>
      <c r="B345" s="16"/>
      <c r="C345" s="14"/>
    </row>
    <row r="346" spans="1:4" ht="12.75" customHeight="1" x14ac:dyDescent="0.25">
      <c r="A346" s="33"/>
      <c r="B346" s="16"/>
      <c r="C346" s="14"/>
    </row>
    <row r="347" spans="1:4" ht="12.75" customHeight="1" x14ac:dyDescent="0.25">
      <c r="A347" s="33"/>
      <c r="B347" s="16"/>
      <c r="C347" s="14"/>
    </row>
    <row r="348" spans="1:4" ht="12.75" customHeight="1" x14ac:dyDescent="0.25">
      <c r="A348" s="33"/>
      <c r="B348" s="16"/>
      <c r="C348" s="14"/>
    </row>
    <row r="349" spans="1:4" ht="12.75" customHeight="1" x14ac:dyDescent="0.25">
      <c r="A349" s="33"/>
      <c r="B349" s="16"/>
      <c r="C349" s="14"/>
    </row>
    <row r="350" spans="1:4" ht="12.75" customHeight="1" x14ac:dyDescent="0.25">
      <c r="A350" s="33"/>
      <c r="B350" s="16"/>
      <c r="C350" s="14"/>
    </row>
    <row r="351" spans="1:4" ht="12.75" customHeight="1" x14ac:dyDescent="0.25">
      <c r="A351" s="33"/>
      <c r="B351" s="16"/>
      <c r="C351" s="14"/>
    </row>
    <row r="352" spans="1:4" ht="12.75" customHeight="1" x14ac:dyDescent="0.35">
      <c r="A352" s="33"/>
      <c r="B352" s="100" t="s">
        <v>255</v>
      </c>
      <c r="C352" s="101">
        <f>4.08*SQRT('Calculation (Preliminery)'!$C$178)</f>
        <v>62.193604783738557</v>
      </c>
      <c r="D352" s="102" t="s">
        <v>39</v>
      </c>
    </row>
    <row r="353" spans="1:5" ht="12.75" customHeight="1" x14ac:dyDescent="0.35">
      <c r="A353" s="33"/>
      <c r="B353" s="23" t="s">
        <v>256</v>
      </c>
      <c r="C353" s="69">
        <f>3.2*(SQRT((D161*D162)/D166))</f>
        <v>58.642008448590381</v>
      </c>
      <c r="D353" s="4" t="s">
        <v>39</v>
      </c>
    </row>
    <row r="354" spans="1:5" ht="12.75" customHeight="1" x14ac:dyDescent="0.25">
      <c r="A354" s="33"/>
      <c r="B354" s="26" t="s">
        <v>257</v>
      </c>
      <c r="C354" s="47">
        <f>AVERAGE(C352:C353)</f>
        <v>60.417806616164469</v>
      </c>
      <c r="D354" s="4" t="s">
        <v>39</v>
      </c>
    </row>
    <row r="355" spans="1:5" ht="12.75" customHeight="1" x14ac:dyDescent="0.25">
      <c r="A355" s="33"/>
      <c r="B355" s="16"/>
      <c r="C355" s="14"/>
    </row>
    <row r="356" spans="1:5" ht="12.75" customHeight="1" x14ac:dyDescent="0.35">
      <c r="A356" s="33"/>
      <c r="B356" s="37" t="s">
        <v>323</v>
      </c>
      <c r="C356" s="14"/>
    </row>
    <row r="357" spans="1:5" x14ac:dyDescent="0.25">
      <c r="B357" s="57" t="s">
        <v>180</v>
      </c>
      <c r="C357" s="58" t="s">
        <v>181</v>
      </c>
      <c r="D357" s="58"/>
      <c r="E357" s="58"/>
    </row>
    <row r="358" spans="1:5" x14ac:dyDescent="0.25">
      <c r="B358" s="58" t="s">
        <v>182</v>
      </c>
      <c r="C358" s="58"/>
      <c r="D358" s="58"/>
      <c r="E358" s="58"/>
    </row>
    <row r="359" spans="1:5" x14ac:dyDescent="0.25">
      <c r="B359" s="57" t="s">
        <v>183</v>
      </c>
      <c r="C359" s="58" t="s">
        <v>184</v>
      </c>
      <c r="D359" s="58"/>
      <c r="E359" s="58"/>
    </row>
    <row r="360" spans="1:5" x14ac:dyDescent="0.25">
      <c r="B360" s="57" t="s">
        <v>185</v>
      </c>
      <c r="C360" s="58" t="s">
        <v>240</v>
      </c>
      <c r="D360" s="58"/>
      <c r="E360" s="58"/>
    </row>
    <row r="361" spans="1:5" x14ac:dyDescent="0.25">
      <c r="B361" s="57" t="s">
        <v>183</v>
      </c>
      <c r="C361" s="65">
        <f>D166*(D158/D159)</f>
        <v>0.67497767536532838</v>
      </c>
      <c r="D361" s="58"/>
      <c r="E361" s="58"/>
    </row>
    <row r="362" spans="1:5" x14ac:dyDescent="0.25">
      <c r="B362" s="57"/>
      <c r="C362" s="58"/>
      <c r="D362" s="58"/>
      <c r="E362" s="58"/>
    </row>
    <row r="363" spans="1:5" x14ac:dyDescent="0.25">
      <c r="B363" s="57" t="s">
        <v>186</v>
      </c>
      <c r="C363" s="58" t="s">
        <v>187</v>
      </c>
      <c r="D363" s="58"/>
      <c r="E363" s="58"/>
    </row>
    <row r="364" spans="1:5" x14ac:dyDescent="0.25">
      <c r="B364" s="57" t="s">
        <v>186</v>
      </c>
      <c r="C364" s="65">
        <f>0.248+(0.778*C361)</f>
        <v>0.7731326314342255</v>
      </c>
      <c r="D364" s="58"/>
      <c r="E364" s="58"/>
    </row>
    <row r="365" spans="1:5" x14ac:dyDescent="0.25">
      <c r="B365" s="58"/>
      <c r="C365" s="58"/>
      <c r="D365" s="58"/>
      <c r="E365" s="58"/>
    </row>
    <row r="366" spans="1:5" x14ac:dyDescent="0.25">
      <c r="B366" s="58" t="s">
        <v>248</v>
      </c>
      <c r="C366" s="58"/>
      <c r="D366" s="58"/>
      <c r="E366" s="58"/>
    </row>
    <row r="367" spans="1:5" ht="16.8" x14ac:dyDescent="0.35">
      <c r="B367" s="103" t="s">
        <v>237</v>
      </c>
      <c r="C367" s="104">
        <f>D159*D161*C364</f>
        <v>2610.6957146439386</v>
      </c>
      <c r="D367" s="105" t="s">
        <v>235</v>
      </c>
      <c r="E367" s="58"/>
    </row>
    <row r="368" spans="1:5" x14ac:dyDescent="0.25">
      <c r="B368" s="57"/>
      <c r="C368" s="68"/>
      <c r="D368" s="58"/>
      <c r="E368" s="58"/>
    </row>
    <row r="369" spans="1:6" x14ac:dyDescent="0.25">
      <c r="B369" s="58" t="s">
        <v>246</v>
      </c>
      <c r="C369" s="68"/>
      <c r="D369" s="58"/>
      <c r="E369" s="58"/>
    </row>
    <row r="370" spans="1:6" ht="16.8" x14ac:dyDescent="0.35">
      <c r="B370" s="157" t="s">
        <v>250</v>
      </c>
      <c r="C370" s="157"/>
      <c r="D370" s="68">
        <v>1173.2671</v>
      </c>
      <c r="E370" s="58" t="s">
        <v>235</v>
      </c>
    </row>
    <row r="371" spans="1:6" ht="16.8" x14ac:dyDescent="0.35">
      <c r="B371" s="158" t="s">
        <v>241</v>
      </c>
      <c r="C371" s="158"/>
      <c r="D371" s="75">
        <f>D370*2</f>
        <v>2346.5342000000001</v>
      </c>
      <c r="E371" s="74" t="s">
        <v>235</v>
      </c>
      <c r="F371" s="68"/>
    </row>
    <row r="372" spans="1:6" x14ac:dyDescent="0.25">
      <c r="B372" s="58"/>
      <c r="C372" s="68"/>
      <c r="D372" s="58"/>
      <c r="E372" s="58"/>
    </row>
    <row r="373" spans="1:6" ht="15.6" x14ac:dyDescent="0.35">
      <c r="B373" s="58" t="s">
        <v>236</v>
      </c>
      <c r="C373" s="58"/>
      <c r="D373" s="58"/>
      <c r="E373" s="58"/>
    </row>
    <row r="374" spans="1:6" ht="15.6" x14ac:dyDescent="0.35">
      <c r="B374" s="57" t="s">
        <v>188</v>
      </c>
      <c r="C374" s="58" t="s">
        <v>247</v>
      </c>
      <c r="D374" s="58"/>
      <c r="E374" s="58"/>
    </row>
    <row r="375" spans="1:6" x14ac:dyDescent="0.25">
      <c r="B375" s="72" t="s">
        <v>188</v>
      </c>
      <c r="C375" s="73">
        <f>((D371-C367)/C367)*100</f>
        <v>-10.118433686553407</v>
      </c>
      <c r="D375" s="74" t="str">
        <f>"% "&amp;"("&amp;IF(C375&gt;0.5,"Koreksi Belum Terpenuhi",IF(C375&lt;-0.5,"Koreksi Belum Terpenuhi","Koreksi Terpenuhi"))&amp;")"</f>
        <v>% (Koreksi Belum Terpenuhi)</v>
      </c>
      <c r="E375" s="74"/>
    </row>
    <row r="376" spans="1:6" ht="15.6" x14ac:dyDescent="0.35">
      <c r="B376" s="58" t="s">
        <v>238</v>
      </c>
      <c r="C376" s="58"/>
      <c r="D376" s="58"/>
      <c r="E376" s="58"/>
    </row>
    <row r="377" spans="1:6" ht="12.75" customHeight="1" x14ac:dyDescent="0.25">
      <c r="A377" s="33"/>
      <c r="B377" s="20"/>
      <c r="C377" s="14"/>
    </row>
    <row r="378" spans="1:6" ht="12.75" customHeight="1" x14ac:dyDescent="0.25">
      <c r="A378" s="33"/>
      <c r="B378" s="37" t="s">
        <v>265</v>
      </c>
      <c r="C378" s="14"/>
    </row>
    <row r="379" spans="1:6" ht="12.75" customHeight="1" x14ac:dyDescent="0.25">
      <c r="A379" s="33"/>
      <c r="B379" s="16"/>
      <c r="C379" s="14"/>
    </row>
    <row r="380" spans="1:6" ht="12.75" customHeight="1" x14ac:dyDescent="0.25">
      <c r="A380" s="33"/>
      <c r="B380" s="16"/>
      <c r="C380" s="14"/>
    </row>
    <row r="381" spans="1:6" ht="12.75" customHeight="1" x14ac:dyDescent="0.25">
      <c r="A381" s="33"/>
      <c r="B381" s="16"/>
      <c r="C381" s="14"/>
    </row>
    <row r="382" spans="1:6" ht="12.75" customHeight="1" x14ac:dyDescent="0.25">
      <c r="A382" s="33"/>
      <c r="B382" s="16"/>
      <c r="C382" s="14"/>
    </row>
    <row r="383" spans="1:6" ht="12.75" customHeight="1" x14ac:dyDescent="0.25">
      <c r="A383" s="33"/>
      <c r="B383" s="16"/>
      <c r="C383" s="14"/>
    </row>
    <row r="384" spans="1:6" ht="12.75" customHeight="1" x14ac:dyDescent="0.25">
      <c r="A384" s="33"/>
      <c r="B384" s="16"/>
      <c r="C384" s="14"/>
    </row>
    <row r="385" spans="1:5" ht="12.75" customHeight="1" x14ac:dyDescent="0.25">
      <c r="A385" s="33"/>
      <c r="B385" s="16"/>
      <c r="C385" s="14"/>
    </row>
    <row r="386" spans="1:5" ht="12.75" customHeight="1" x14ac:dyDescent="0.25">
      <c r="A386" s="33"/>
      <c r="B386" s="16"/>
      <c r="C386" s="14"/>
    </row>
    <row r="387" spans="1:5" ht="12.75" customHeight="1" x14ac:dyDescent="0.25">
      <c r="A387" s="33"/>
      <c r="B387" s="16"/>
      <c r="C387" s="14"/>
    </row>
    <row r="388" spans="1:5" ht="12.75" customHeight="1" x14ac:dyDescent="0.25">
      <c r="A388" s="33"/>
      <c r="B388" s="16"/>
      <c r="C388" s="14"/>
    </row>
    <row r="389" spans="1:5" ht="12.75" customHeight="1" x14ac:dyDescent="0.25">
      <c r="A389" s="33"/>
      <c r="B389" s="16"/>
      <c r="C389" s="14"/>
    </row>
    <row r="390" spans="1:5" ht="12.75" customHeight="1" x14ac:dyDescent="0.25">
      <c r="B390" s="63" t="s">
        <v>168</v>
      </c>
      <c r="C390" s="142">
        <f>B_m</f>
        <v>23.7</v>
      </c>
      <c r="D390" s="60" t="s">
        <v>169</v>
      </c>
      <c r="E390" s="58"/>
    </row>
    <row r="391" spans="1:5" ht="12.75" customHeight="1" x14ac:dyDescent="0.25">
      <c r="B391" s="63" t="s">
        <v>179</v>
      </c>
      <c r="C391" s="142">
        <f>LWL_m</f>
        <v>142.48000000000002</v>
      </c>
      <c r="D391" s="60" t="s">
        <v>169</v>
      </c>
      <c r="E391" s="58"/>
    </row>
    <row r="392" spans="1:5" ht="12.75" customHeight="1" x14ac:dyDescent="0.25">
      <c r="B392" s="85"/>
      <c r="C392" s="68"/>
      <c r="D392" s="58"/>
      <c r="E392" s="58"/>
    </row>
    <row r="393" spans="1:5" ht="12.75" customHeight="1" x14ac:dyDescent="0.25">
      <c r="A393" s="33"/>
      <c r="B393" s="86" t="s">
        <v>266</v>
      </c>
      <c r="C393" s="86" t="s">
        <v>70</v>
      </c>
      <c r="D393" s="86" t="s">
        <v>269</v>
      </c>
      <c r="E393" s="86" t="s">
        <v>270</v>
      </c>
    </row>
    <row r="394" spans="1:5" ht="12.75" customHeight="1" x14ac:dyDescent="0.25">
      <c r="A394" s="33"/>
      <c r="B394" s="40" t="s">
        <v>271</v>
      </c>
      <c r="C394" s="40">
        <v>0.4</v>
      </c>
      <c r="D394" s="40">
        <f>C394*C390</f>
        <v>9.48</v>
      </c>
      <c r="E394" s="50">
        <f>D394/2</f>
        <v>4.74</v>
      </c>
    </row>
    <row r="395" spans="1:5" ht="12.75" customHeight="1" x14ac:dyDescent="0.25">
      <c r="A395" s="33"/>
      <c r="B395" s="40" t="s">
        <v>267</v>
      </c>
      <c r="C395" s="40">
        <v>0.6</v>
      </c>
      <c r="D395" s="40">
        <f>C395*C390</f>
        <v>14.219999999999999</v>
      </c>
      <c r="E395" s="50">
        <f>D395/2</f>
        <v>7.1099999999999994</v>
      </c>
    </row>
    <row r="396" spans="1:5" ht="12.75" customHeight="1" x14ac:dyDescent="0.25">
      <c r="A396" s="33"/>
      <c r="B396" s="40" t="s">
        <v>268</v>
      </c>
      <c r="C396" s="40">
        <v>0.05</v>
      </c>
      <c r="D396" s="40">
        <f>C396*C391</f>
        <v>7.1240000000000014</v>
      </c>
      <c r="E396" s="50" t="s">
        <v>178</v>
      </c>
    </row>
    <row r="397" spans="1:5" ht="12.75" customHeight="1" x14ac:dyDescent="0.25">
      <c r="A397" s="33"/>
      <c r="B397" s="14"/>
      <c r="C397" s="14"/>
    </row>
    <row r="398" spans="1:5" ht="12.75" customHeight="1" x14ac:dyDescent="0.25">
      <c r="A398" s="33" t="s">
        <v>164</v>
      </c>
      <c r="B398" s="14" t="s">
        <v>173</v>
      </c>
      <c r="C398" s="14"/>
    </row>
    <row r="399" spans="1:5" ht="12.75" customHeight="1" x14ac:dyDescent="0.25">
      <c r="B399" s="23" t="s">
        <v>12</v>
      </c>
      <c r="C399" s="144">
        <f>D158</f>
        <v>137</v>
      </c>
      <c r="D399" s="4" t="s">
        <v>39</v>
      </c>
    </row>
    <row r="400" spans="1:5" ht="12.75" customHeight="1" x14ac:dyDescent="0.25">
      <c r="B400" s="26" t="s">
        <v>162</v>
      </c>
      <c r="C400" s="145">
        <f>C399*1000</f>
        <v>137000</v>
      </c>
      <c r="D400" s="4" t="s">
        <v>13</v>
      </c>
    </row>
    <row r="401" spans="1:6" ht="12.75" customHeight="1" x14ac:dyDescent="0.25">
      <c r="B401" s="23" t="s">
        <v>174</v>
      </c>
      <c r="C401" s="145">
        <f>C400/2</f>
        <v>68500</v>
      </c>
      <c r="D401" s="4" t="s">
        <v>13</v>
      </c>
    </row>
    <row r="402" spans="1:6" ht="12.75" customHeight="1" x14ac:dyDescent="0.25"/>
    <row r="403" spans="1:6" ht="12.75" customHeight="1" x14ac:dyDescent="0.25">
      <c r="A403" s="23"/>
      <c r="B403" s="23" t="s">
        <v>59</v>
      </c>
      <c r="C403" s="144">
        <f>D159</f>
        <v>142.48000000000002</v>
      </c>
      <c r="D403" s="4" t="s">
        <v>39</v>
      </c>
    </row>
    <row r="404" spans="1:6" ht="12.75" customHeight="1" x14ac:dyDescent="0.25">
      <c r="B404" s="26" t="s">
        <v>162</v>
      </c>
      <c r="C404" s="145">
        <f>C403*1000</f>
        <v>142480.00000000003</v>
      </c>
      <c r="D404" s="4" t="s">
        <v>13</v>
      </c>
    </row>
    <row r="405" spans="1:6" ht="12.75" customHeight="1" x14ac:dyDescent="0.25">
      <c r="B405" s="14"/>
      <c r="F405" s="24"/>
    </row>
    <row r="406" spans="1:6" ht="12.75" customHeight="1" x14ac:dyDescent="0.25">
      <c r="B406" s="23" t="s">
        <v>175</v>
      </c>
      <c r="C406" s="146">
        <f>LWL_mm - LPP_mm</f>
        <v>5480.0000000000291</v>
      </c>
      <c r="D406" s="4" t="s">
        <v>13</v>
      </c>
    </row>
    <row r="407" spans="1:6" ht="12.75" customHeight="1" x14ac:dyDescent="0.25">
      <c r="A407" s="23"/>
    </row>
    <row r="408" spans="1:6" ht="12.75" customHeight="1" x14ac:dyDescent="0.25">
      <c r="A408" s="23"/>
      <c r="B408" s="4" t="s">
        <v>176</v>
      </c>
      <c r="C408" s="4">
        <f>D161</f>
        <v>23.7</v>
      </c>
      <c r="D408" s="4" t="s">
        <v>39</v>
      </c>
    </row>
    <row r="409" spans="1:6" ht="12.75" customHeight="1" x14ac:dyDescent="0.25">
      <c r="A409" s="23"/>
      <c r="B409" s="4" t="s">
        <v>176</v>
      </c>
      <c r="C409" s="4">
        <f>C408*1000</f>
        <v>23700</v>
      </c>
      <c r="D409" s="4" t="s">
        <v>13</v>
      </c>
    </row>
    <row r="410" spans="1:6" ht="12.75" customHeight="1" x14ac:dyDescent="0.25">
      <c r="A410" s="23"/>
      <c r="B410" s="4" t="s">
        <v>177</v>
      </c>
      <c r="C410" s="4">
        <f>C409/2</f>
        <v>11850</v>
      </c>
      <c r="D410" s="4" t="s">
        <v>13</v>
      </c>
    </row>
    <row r="411" spans="1:6" ht="12.75" customHeight="1" x14ac:dyDescent="0.25">
      <c r="A411" s="23"/>
    </row>
    <row r="412" spans="1:6" ht="12.75" customHeight="1" x14ac:dyDescent="0.25">
      <c r="A412" s="14" t="s">
        <v>329</v>
      </c>
    </row>
    <row r="413" spans="1:6" s="49" customFormat="1" x14ac:dyDescent="0.25">
      <c r="A413" s="94" t="s">
        <v>79</v>
      </c>
      <c r="B413" s="94" t="s">
        <v>189</v>
      </c>
      <c r="C413" s="94" t="s">
        <v>206</v>
      </c>
      <c r="D413" s="94" t="s">
        <v>316</v>
      </c>
    </row>
    <row r="414" spans="1:6" ht="12.75" customHeight="1" x14ac:dyDescent="0.25">
      <c r="A414" s="92">
        <v>1</v>
      </c>
      <c r="B414" s="50">
        <v>-2</v>
      </c>
      <c r="C414" s="50" t="s">
        <v>178</v>
      </c>
      <c r="D414" s="50">
        <v>-5.12</v>
      </c>
    </row>
    <row r="415" spans="1:6" ht="12.75" customHeight="1" x14ac:dyDescent="0.25">
      <c r="A415" s="92">
        <v>2</v>
      </c>
      <c r="B415" s="50">
        <v>-1</v>
      </c>
      <c r="C415" s="50" t="s">
        <v>178</v>
      </c>
      <c r="D415" s="50">
        <f>D414/2</f>
        <v>-2.56</v>
      </c>
    </row>
    <row r="416" spans="1:6" ht="12.75" customHeight="1" x14ac:dyDescent="0.25">
      <c r="A416" s="92">
        <v>3</v>
      </c>
      <c r="B416" s="50">
        <v>0</v>
      </c>
      <c r="C416" s="50">
        <f>$D$226</f>
        <v>137</v>
      </c>
      <c r="D416" s="50">
        <f>(B416*C416)/10</f>
        <v>0</v>
      </c>
    </row>
    <row r="417" spans="1:12" ht="12.75" customHeight="1" x14ac:dyDescent="0.25">
      <c r="A417" s="95">
        <v>4</v>
      </c>
      <c r="B417" s="50">
        <v>0.25</v>
      </c>
      <c r="C417" s="50">
        <f t="shared" ref="C417:C434" si="2">$D$226</f>
        <v>137</v>
      </c>
      <c r="D417" s="50">
        <f t="shared" ref="D417:D434" si="3">(B417*C417)/10</f>
        <v>3.4249999999999998</v>
      </c>
      <c r="J417" s="17"/>
    </row>
    <row r="418" spans="1:12" ht="12.75" customHeight="1" x14ac:dyDescent="0.25">
      <c r="A418" s="92">
        <v>5</v>
      </c>
      <c r="B418" s="50">
        <v>0.5</v>
      </c>
      <c r="C418" s="50">
        <f t="shared" si="2"/>
        <v>137</v>
      </c>
      <c r="D418" s="50">
        <f t="shared" si="3"/>
        <v>6.85</v>
      </c>
      <c r="J418" s="17"/>
    </row>
    <row r="419" spans="1:12" ht="12.75" customHeight="1" x14ac:dyDescent="0.25">
      <c r="A419" s="92">
        <v>6</v>
      </c>
      <c r="B419" s="50">
        <v>0.75</v>
      </c>
      <c r="C419" s="50">
        <f t="shared" si="2"/>
        <v>137</v>
      </c>
      <c r="D419" s="50">
        <f t="shared" si="3"/>
        <v>10.275</v>
      </c>
      <c r="J419" s="17"/>
    </row>
    <row r="420" spans="1:12" ht="12.75" customHeight="1" x14ac:dyDescent="0.25">
      <c r="A420" s="92">
        <v>7</v>
      </c>
      <c r="B420" s="50">
        <v>1</v>
      </c>
      <c r="C420" s="50">
        <f t="shared" si="2"/>
        <v>137</v>
      </c>
      <c r="D420" s="50">
        <f t="shared" si="3"/>
        <v>13.7</v>
      </c>
      <c r="J420" s="17"/>
    </row>
    <row r="421" spans="1:12" ht="12.75" customHeight="1" x14ac:dyDescent="0.25">
      <c r="A421" s="95">
        <v>8</v>
      </c>
      <c r="B421" s="50">
        <v>1.5</v>
      </c>
      <c r="C421" s="50">
        <f t="shared" si="2"/>
        <v>137</v>
      </c>
      <c r="D421" s="50">
        <f t="shared" si="3"/>
        <v>20.55</v>
      </c>
    </row>
    <row r="422" spans="1:12" ht="12.75" customHeight="1" x14ac:dyDescent="0.25">
      <c r="A422" s="92">
        <v>9</v>
      </c>
      <c r="B422" s="50">
        <v>2</v>
      </c>
      <c r="C422" s="50">
        <f t="shared" si="2"/>
        <v>137</v>
      </c>
      <c r="D422" s="50">
        <f t="shared" si="3"/>
        <v>27.4</v>
      </c>
    </row>
    <row r="423" spans="1:12" ht="12.75" customHeight="1" x14ac:dyDescent="0.25">
      <c r="A423" s="92">
        <v>10</v>
      </c>
      <c r="B423" s="50">
        <v>3</v>
      </c>
      <c r="C423" s="50">
        <f t="shared" si="2"/>
        <v>137</v>
      </c>
      <c r="D423" s="50">
        <f t="shared" si="3"/>
        <v>41.1</v>
      </c>
    </row>
    <row r="424" spans="1:12" ht="12.75" customHeight="1" x14ac:dyDescent="0.25">
      <c r="A424" s="92">
        <v>11</v>
      </c>
      <c r="B424" s="50">
        <v>4</v>
      </c>
      <c r="C424" s="50">
        <f t="shared" si="2"/>
        <v>137</v>
      </c>
      <c r="D424" s="50">
        <f t="shared" si="3"/>
        <v>54.8</v>
      </c>
    </row>
    <row r="425" spans="1:12" ht="12.75" customHeight="1" x14ac:dyDescent="0.25">
      <c r="A425" s="95">
        <v>12</v>
      </c>
      <c r="B425" s="50">
        <v>5</v>
      </c>
      <c r="C425" s="50">
        <f t="shared" si="2"/>
        <v>137</v>
      </c>
      <c r="D425" s="50">
        <f t="shared" si="3"/>
        <v>68.5</v>
      </c>
    </row>
    <row r="426" spans="1:12" x14ac:dyDescent="0.25">
      <c r="A426" s="92">
        <v>13</v>
      </c>
      <c r="B426" s="50">
        <v>6</v>
      </c>
      <c r="C426" s="50">
        <f t="shared" si="2"/>
        <v>137</v>
      </c>
      <c r="D426" s="50">
        <f t="shared" si="3"/>
        <v>82.2</v>
      </c>
    </row>
    <row r="427" spans="1:12" ht="12.75" customHeight="1" x14ac:dyDescent="0.25">
      <c r="A427" s="92">
        <v>14</v>
      </c>
      <c r="B427" s="50">
        <v>7</v>
      </c>
      <c r="C427" s="50">
        <f t="shared" si="2"/>
        <v>137</v>
      </c>
      <c r="D427" s="50">
        <f t="shared" si="3"/>
        <v>95.9</v>
      </c>
      <c r="J427" s="21"/>
      <c r="K427" s="21"/>
      <c r="L427" s="21"/>
    </row>
    <row r="428" spans="1:12" x14ac:dyDescent="0.25">
      <c r="A428" s="92">
        <v>15</v>
      </c>
      <c r="B428" s="50">
        <v>8</v>
      </c>
      <c r="C428" s="50">
        <f t="shared" si="2"/>
        <v>137</v>
      </c>
      <c r="D428" s="50">
        <f t="shared" si="3"/>
        <v>109.6</v>
      </c>
      <c r="J428" s="21"/>
      <c r="K428" s="21"/>
      <c r="L428" s="21"/>
    </row>
    <row r="429" spans="1:12" x14ac:dyDescent="0.25">
      <c r="A429" s="95">
        <v>16</v>
      </c>
      <c r="B429" s="50">
        <v>8.5</v>
      </c>
      <c r="C429" s="50">
        <f t="shared" si="2"/>
        <v>137</v>
      </c>
      <c r="D429" s="50">
        <f t="shared" si="3"/>
        <v>116.45</v>
      </c>
      <c r="J429" s="21"/>
      <c r="K429" s="21"/>
      <c r="L429" s="21"/>
    </row>
    <row r="430" spans="1:12" x14ac:dyDescent="0.25">
      <c r="A430" s="92">
        <v>17</v>
      </c>
      <c r="B430" s="50">
        <v>9</v>
      </c>
      <c r="C430" s="50">
        <f t="shared" si="2"/>
        <v>137</v>
      </c>
      <c r="D430" s="50">
        <f t="shared" si="3"/>
        <v>123.3</v>
      </c>
      <c r="J430" s="21"/>
      <c r="K430" s="21"/>
      <c r="L430" s="21"/>
    </row>
    <row r="431" spans="1:12" x14ac:dyDescent="0.25">
      <c r="A431" s="92">
        <v>18</v>
      </c>
      <c r="B431" s="50">
        <v>9.25</v>
      </c>
      <c r="C431" s="50">
        <f t="shared" si="2"/>
        <v>137</v>
      </c>
      <c r="D431" s="50">
        <f t="shared" si="3"/>
        <v>126.72499999999999</v>
      </c>
    </row>
    <row r="432" spans="1:12" x14ac:dyDescent="0.25">
      <c r="A432" s="92">
        <v>19</v>
      </c>
      <c r="B432" s="50">
        <v>9.5</v>
      </c>
      <c r="C432" s="50">
        <f t="shared" si="2"/>
        <v>137</v>
      </c>
      <c r="D432" s="50">
        <f t="shared" si="3"/>
        <v>130.15</v>
      </c>
    </row>
    <row r="433" spans="1:4" x14ac:dyDescent="0.25">
      <c r="A433" s="95">
        <v>20</v>
      </c>
      <c r="B433" s="50">
        <v>9.75</v>
      </c>
      <c r="C433" s="50">
        <f t="shared" si="2"/>
        <v>137</v>
      </c>
      <c r="D433" s="50">
        <f t="shared" si="3"/>
        <v>133.57499999999999</v>
      </c>
    </row>
    <row r="434" spans="1:4" x14ac:dyDescent="0.25">
      <c r="A434" s="92">
        <v>21</v>
      </c>
      <c r="B434" s="50">
        <v>10</v>
      </c>
      <c r="C434" s="50">
        <f t="shared" si="2"/>
        <v>137</v>
      </c>
      <c r="D434" s="50">
        <f t="shared" si="3"/>
        <v>137</v>
      </c>
    </row>
  </sheetData>
  <mergeCells count="72">
    <mergeCell ref="B180:I181"/>
    <mergeCell ref="B173:C173"/>
    <mergeCell ref="B167:C167"/>
    <mergeCell ref="B168:C168"/>
    <mergeCell ref="B169:C169"/>
    <mergeCell ref="B170:C170"/>
    <mergeCell ref="B171:C171"/>
    <mergeCell ref="B172:C172"/>
    <mergeCell ref="B100:I101"/>
    <mergeCell ref="B98:C98"/>
    <mergeCell ref="B105:C105"/>
    <mergeCell ref="B166:C166"/>
    <mergeCell ref="B156:C156"/>
    <mergeCell ref="B157:C157"/>
    <mergeCell ref="B158:C158"/>
    <mergeCell ref="B160:C160"/>
    <mergeCell ref="B161:C161"/>
    <mergeCell ref="B162:C162"/>
    <mergeCell ref="B163:C163"/>
    <mergeCell ref="B164:C164"/>
    <mergeCell ref="B165:C165"/>
    <mergeCell ref="B153:C153"/>
    <mergeCell ref="B159:C159"/>
    <mergeCell ref="B154:C154"/>
    <mergeCell ref="G83:H83"/>
    <mergeCell ref="G84:H84"/>
    <mergeCell ref="I84:K84"/>
    <mergeCell ref="I83:K83"/>
    <mergeCell ref="I85:K85"/>
    <mergeCell ref="G85:H85"/>
    <mergeCell ref="B155:C155"/>
    <mergeCell ref="B119:I120"/>
    <mergeCell ref="B114:I114"/>
    <mergeCell ref="B125:I126"/>
    <mergeCell ref="D129:I130"/>
    <mergeCell ref="H1:I1"/>
    <mergeCell ref="C2:G2"/>
    <mergeCell ref="C3:G3"/>
    <mergeCell ref="B64:B65"/>
    <mergeCell ref="B145:I147"/>
    <mergeCell ref="G78:H78"/>
    <mergeCell ref="G79:H79"/>
    <mergeCell ref="I78:K78"/>
    <mergeCell ref="I79:K79"/>
    <mergeCell ref="G80:H80"/>
    <mergeCell ref="I80:K80"/>
    <mergeCell ref="B108:I109"/>
    <mergeCell ref="G81:H81"/>
    <mergeCell ref="G82:H82"/>
    <mergeCell ref="I81:K81"/>
    <mergeCell ref="I82:K82"/>
    <mergeCell ref="B227:C227"/>
    <mergeCell ref="B201:C201"/>
    <mergeCell ref="B202:C202"/>
    <mergeCell ref="B203:C203"/>
    <mergeCell ref="B204:C204"/>
    <mergeCell ref="A34:I35"/>
    <mergeCell ref="B299:D299"/>
    <mergeCell ref="B370:C370"/>
    <mergeCell ref="B371:C371"/>
    <mergeCell ref="B300:D300"/>
    <mergeCell ref="B301:D301"/>
    <mergeCell ref="B302:D302"/>
    <mergeCell ref="B303:D303"/>
    <mergeCell ref="B309:H309"/>
    <mergeCell ref="B312:H312"/>
    <mergeCell ref="B310:H311"/>
    <mergeCell ref="B226:C226"/>
    <mergeCell ref="B228:C228"/>
    <mergeCell ref="B229:C229"/>
    <mergeCell ref="B230:C230"/>
    <mergeCell ref="B231:C231"/>
  </mergeCells>
  <phoneticPr fontId="22" type="noConversion"/>
  <conditionalFormatting sqref="D79:D85">
    <cfRule type="containsText" dxfId="1" priority="5" stopIfTrue="1" operator="containsText" text="Error">
      <formula>NOT(ISERROR(SEARCH("Error",D79)))</formula>
    </cfRule>
  </conditionalFormatting>
  <dataValidations disablePrompts="1" count="1">
    <dataValidation type="list" allowBlank="1" showInputMessage="1" showErrorMessage="1" sqref="C76" xr:uid="{CD7CC5D5-1E3A-4D68-ACB6-F2FA38C2E731}">
      <formula1>ShipType_ref</formula1>
    </dataValidation>
  </dataValidations>
  <printOptions horizontalCentered="1"/>
  <pageMargins left="0.59055118110236227" right="0.59055118110236227" top="0.78740157480314965" bottom="0.78740157480314965" header="0" footer="0"/>
  <pageSetup paperSize="9" fitToHeight="0" orientation="portrait" horizontalDpi="4294967293"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W113"/>
  <sheetViews>
    <sheetView topLeftCell="A100" zoomScale="115" zoomScaleNormal="115" workbookViewId="0">
      <selection activeCell="I111" sqref="I111"/>
    </sheetView>
  </sheetViews>
  <sheetFormatPr defaultRowHeight="13.2" x14ac:dyDescent="0.25"/>
  <cols>
    <col min="1" max="1" width="21.6640625" customWidth="1"/>
  </cols>
  <sheetData>
    <row r="2" spans="1:13" x14ac:dyDescent="0.25">
      <c r="A2" s="42" t="s">
        <v>81</v>
      </c>
      <c r="B2" s="43"/>
      <c r="C2" s="43"/>
      <c r="D2" s="43"/>
      <c r="E2" s="43"/>
      <c r="F2" s="43"/>
      <c r="G2" s="43"/>
      <c r="H2" s="43"/>
      <c r="I2" s="43"/>
      <c r="J2" s="43"/>
      <c r="K2" s="43"/>
      <c r="L2" s="43"/>
      <c r="M2" s="43"/>
    </row>
    <row r="48" spans="1:1" x14ac:dyDescent="0.25">
      <c r="A48" s="13" t="s">
        <v>82</v>
      </c>
    </row>
    <row r="49" spans="1:14" x14ac:dyDescent="0.25">
      <c r="A49" s="4" t="s">
        <v>86</v>
      </c>
    </row>
    <row r="50" spans="1:14" x14ac:dyDescent="0.25">
      <c r="A50" s="160" t="s">
        <v>96</v>
      </c>
      <c r="B50" s="160"/>
      <c r="C50" s="160"/>
      <c r="D50" s="160"/>
      <c r="E50" s="160"/>
      <c r="F50" s="160"/>
      <c r="G50" s="160"/>
      <c r="H50" s="160"/>
      <c r="I50" s="160"/>
      <c r="J50" s="160"/>
      <c r="K50" s="160"/>
      <c r="L50" s="160"/>
      <c r="M50" s="160"/>
      <c r="N50" s="160"/>
    </row>
    <row r="51" spans="1:14" x14ac:dyDescent="0.25">
      <c r="A51" s="160" t="s">
        <v>97</v>
      </c>
      <c r="B51" s="160"/>
      <c r="C51" s="160"/>
      <c r="D51" s="160"/>
      <c r="E51" s="160"/>
      <c r="F51" s="160"/>
      <c r="G51" s="160"/>
      <c r="H51" s="160"/>
      <c r="I51" s="160"/>
      <c r="J51" s="160"/>
      <c r="K51" s="160"/>
      <c r="L51" s="160"/>
      <c r="M51" s="160"/>
      <c r="N51" s="160"/>
    </row>
    <row r="52" spans="1:14" x14ac:dyDescent="0.25">
      <c r="A52" s="161" t="s">
        <v>98</v>
      </c>
      <c r="B52" s="161"/>
      <c r="C52" s="161"/>
      <c r="D52" s="161"/>
      <c r="E52" s="161"/>
      <c r="F52" s="161"/>
      <c r="G52" s="161"/>
      <c r="H52" s="161"/>
      <c r="I52" s="161"/>
      <c r="J52" s="161"/>
      <c r="K52" s="161"/>
      <c r="L52" s="161"/>
      <c r="M52" s="161"/>
      <c r="N52" s="161"/>
    </row>
    <row r="53" spans="1:14" x14ac:dyDescent="0.25">
      <c r="A53" s="161"/>
      <c r="B53" s="161"/>
      <c r="C53" s="161"/>
      <c r="D53" s="161"/>
      <c r="E53" s="161"/>
      <c r="F53" s="161"/>
      <c r="G53" s="161"/>
      <c r="H53" s="161"/>
      <c r="I53" s="161"/>
      <c r="J53" s="161"/>
      <c r="K53" s="161"/>
      <c r="L53" s="161"/>
      <c r="M53" s="161"/>
      <c r="N53" s="161"/>
    </row>
    <row r="54" spans="1:14" x14ac:dyDescent="0.25">
      <c r="A54" s="4"/>
    </row>
    <row r="55" spans="1:14" x14ac:dyDescent="0.25">
      <c r="A55" s="4"/>
    </row>
    <row r="56" spans="1:14" x14ac:dyDescent="0.25">
      <c r="A56" s="42" t="s">
        <v>158</v>
      </c>
      <c r="B56" s="43"/>
      <c r="C56" s="43"/>
      <c r="D56" s="43"/>
      <c r="E56" s="43"/>
      <c r="F56" s="43"/>
      <c r="G56" s="43"/>
      <c r="H56" s="43"/>
      <c r="I56" s="43"/>
      <c r="J56" s="43"/>
      <c r="K56" s="43"/>
      <c r="L56" s="43"/>
      <c r="M56" s="43"/>
    </row>
    <row r="58" spans="1:14" x14ac:dyDescent="0.25">
      <c r="A58" s="18" t="s">
        <v>159</v>
      </c>
    </row>
    <row r="82" spans="1:1" x14ac:dyDescent="0.25">
      <c r="A82" s="18" t="s">
        <v>160</v>
      </c>
    </row>
    <row r="105" spans="1:23" x14ac:dyDescent="0.25">
      <c r="B105" s="177" t="s">
        <v>338</v>
      </c>
      <c r="C105" s="177"/>
      <c r="D105" s="177" t="s">
        <v>339</v>
      </c>
      <c r="E105" s="177"/>
      <c r="F105" s="177" t="s">
        <v>340</v>
      </c>
      <c r="G105" s="177"/>
      <c r="H105" s="177" t="s">
        <v>341</v>
      </c>
      <c r="I105" s="177"/>
      <c r="J105" s="177" t="s">
        <v>342</v>
      </c>
      <c r="K105" s="177"/>
      <c r="L105" s="177" t="s">
        <v>69</v>
      </c>
      <c r="M105" s="177"/>
      <c r="N105" s="177" t="s">
        <v>343</v>
      </c>
      <c r="O105" s="177"/>
      <c r="P105" s="4" t="s">
        <v>75</v>
      </c>
      <c r="R105" s="4" t="s">
        <v>74</v>
      </c>
      <c r="T105" s="4" t="s">
        <v>76</v>
      </c>
      <c r="V105" s="4" t="s">
        <v>77</v>
      </c>
    </row>
    <row r="106" spans="1:23" x14ac:dyDescent="0.25">
      <c r="A106" s="4" t="s">
        <v>347</v>
      </c>
      <c r="B106" s="4" t="s">
        <v>198</v>
      </c>
      <c r="C106" s="4" t="s">
        <v>199</v>
      </c>
      <c r="D106" s="4" t="s">
        <v>198</v>
      </c>
      <c r="E106" s="4" t="s">
        <v>199</v>
      </c>
      <c r="F106" s="4" t="s">
        <v>198</v>
      </c>
      <c r="G106" s="4" t="s">
        <v>199</v>
      </c>
      <c r="H106" s="4" t="s">
        <v>198</v>
      </c>
      <c r="I106" s="4" t="s">
        <v>199</v>
      </c>
      <c r="J106" s="4" t="s">
        <v>198</v>
      </c>
      <c r="K106" s="4" t="s">
        <v>199</v>
      </c>
      <c r="L106" s="4" t="s">
        <v>198</v>
      </c>
      <c r="M106" s="4" t="s">
        <v>199</v>
      </c>
      <c r="N106" s="4" t="s">
        <v>198</v>
      </c>
      <c r="O106" s="4" t="s">
        <v>199</v>
      </c>
      <c r="P106" s="4" t="s">
        <v>198</v>
      </c>
      <c r="Q106" s="4" t="s">
        <v>199</v>
      </c>
      <c r="R106" s="4" t="s">
        <v>198</v>
      </c>
      <c r="S106" s="4" t="s">
        <v>199</v>
      </c>
      <c r="T106" s="4" t="s">
        <v>198</v>
      </c>
      <c r="U106" s="4" t="s">
        <v>199</v>
      </c>
      <c r="V106" s="4" t="s">
        <v>198</v>
      </c>
      <c r="W106" s="4" t="s">
        <v>199</v>
      </c>
    </row>
    <row r="107" spans="1:23" x14ac:dyDescent="0.25">
      <c r="A107" s="147" t="s">
        <v>344</v>
      </c>
      <c r="J107">
        <v>5.0999999999999996</v>
      </c>
      <c r="K107">
        <v>6.8</v>
      </c>
      <c r="L107">
        <v>2.4</v>
      </c>
      <c r="M107">
        <v>3.2</v>
      </c>
      <c r="P107">
        <v>12</v>
      </c>
      <c r="Q107">
        <v>14</v>
      </c>
      <c r="V107">
        <v>0.78</v>
      </c>
    </row>
    <row r="108" spans="1:23" x14ac:dyDescent="0.25">
      <c r="A108" s="147" t="s">
        <v>345</v>
      </c>
      <c r="J108" s="4">
        <v>5</v>
      </c>
      <c r="K108">
        <v>6.5</v>
      </c>
      <c r="L108">
        <v>2.2000000000000002</v>
      </c>
      <c r="M108">
        <v>2.9</v>
      </c>
      <c r="P108">
        <v>10.5</v>
      </c>
      <c r="Q108">
        <v>12.8</v>
      </c>
      <c r="V108">
        <v>0.78</v>
      </c>
    </row>
    <row r="109" spans="1:23" x14ac:dyDescent="0.25">
      <c r="A109" s="147" t="s">
        <v>346</v>
      </c>
      <c r="B109">
        <v>0.59</v>
      </c>
      <c r="C109">
        <v>0.62</v>
      </c>
      <c r="D109">
        <v>0.96</v>
      </c>
      <c r="E109">
        <v>0.98499999999999999</v>
      </c>
      <c r="F109">
        <v>0.56999999999999995</v>
      </c>
      <c r="G109">
        <v>0.59</v>
      </c>
      <c r="H109">
        <v>0.68</v>
      </c>
      <c r="I109">
        <v>0.77200000000000002</v>
      </c>
      <c r="J109">
        <v>6.7</v>
      </c>
      <c r="K109">
        <v>7.2</v>
      </c>
      <c r="L109">
        <v>2.8</v>
      </c>
      <c r="M109">
        <v>3</v>
      </c>
      <c r="N109">
        <v>6.1</v>
      </c>
      <c r="O109">
        <v>6.5</v>
      </c>
      <c r="P109">
        <v>0</v>
      </c>
      <c r="Q109">
        <v>11</v>
      </c>
      <c r="V109">
        <v>0.46</v>
      </c>
    </row>
    <row r="110" spans="1:23" x14ac:dyDescent="0.25">
      <c r="A110" s="147"/>
    </row>
    <row r="113" spans="1:1" x14ac:dyDescent="0.25">
      <c r="A113" s="148"/>
    </row>
  </sheetData>
  <mergeCells count="10">
    <mergeCell ref="L105:M105"/>
    <mergeCell ref="N105:O105"/>
    <mergeCell ref="A50:N50"/>
    <mergeCell ref="A51:N51"/>
    <mergeCell ref="A52:N53"/>
    <mergeCell ref="B105:C105"/>
    <mergeCell ref="D105:E105"/>
    <mergeCell ref="F105:G105"/>
    <mergeCell ref="H105:I105"/>
    <mergeCell ref="J105:K10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6"/>
  <sheetViews>
    <sheetView zoomScale="115" zoomScaleNormal="115" workbookViewId="0">
      <selection activeCell="I18" sqref="I18"/>
    </sheetView>
  </sheetViews>
  <sheetFormatPr defaultRowHeight="13.2" x14ac:dyDescent="0.25"/>
  <cols>
    <col min="1" max="1" width="3.44140625" style="25" bestFit="1" customWidth="1"/>
    <col min="2" max="2" width="25.5546875" style="4" bestFit="1" customWidth="1"/>
    <col min="3" max="3" width="10" style="4" bestFit="1" customWidth="1"/>
    <col min="4" max="4" width="25.109375" style="4" bestFit="1" customWidth="1"/>
    <col min="5" max="5" width="24.44140625" style="4" bestFit="1" customWidth="1"/>
    <col min="6" max="6" width="8.5546875" style="4" bestFit="1" customWidth="1"/>
    <col min="7" max="7" width="6.44140625" style="4" bestFit="1" customWidth="1"/>
    <col min="8" max="8" width="10.44140625" style="96" bestFit="1" customWidth="1"/>
    <col min="9" max="9" width="6.21875" style="4" bestFit="1" customWidth="1"/>
    <col min="10" max="10" width="15.88671875" style="25" customWidth="1"/>
    <col min="11" max="16384" width="8.88671875" style="4"/>
  </cols>
  <sheetData>
    <row r="1" spans="1:10" x14ac:dyDescent="0.25">
      <c r="B1" s="178" t="s">
        <v>326</v>
      </c>
      <c r="C1" s="178"/>
      <c r="D1" s="178"/>
      <c r="E1" s="178"/>
      <c r="F1" s="178"/>
      <c r="G1" s="178"/>
      <c r="H1" s="178"/>
    </row>
    <row r="2" spans="1:10" ht="13.8" thickBot="1" x14ac:dyDescent="0.3"/>
    <row r="3" spans="1:10" x14ac:dyDescent="0.25">
      <c r="A3" s="183" t="s">
        <v>79</v>
      </c>
      <c r="B3" s="107" t="s">
        <v>317</v>
      </c>
      <c r="C3" s="107" t="s">
        <v>318</v>
      </c>
      <c r="D3" s="108" t="s">
        <v>319</v>
      </c>
      <c r="E3" s="116" t="s">
        <v>317</v>
      </c>
      <c r="F3" s="107" t="s">
        <v>318</v>
      </c>
      <c r="G3" s="107" t="s">
        <v>319</v>
      </c>
      <c r="H3" s="117" t="s">
        <v>320</v>
      </c>
      <c r="I3" s="185" t="s">
        <v>333</v>
      </c>
      <c r="J3" s="185" t="s">
        <v>71</v>
      </c>
    </row>
    <row r="4" spans="1:10" x14ac:dyDescent="0.25">
      <c r="A4" s="184"/>
      <c r="B4" s="179" t="s">
        <v>324</v>
      </c>
      <c r="C4" s="179"/>
      <c r="D4" s="180"/>
      <c r="E4" s="181" t="s">
        <v>325</v>
      </c>
      <c r="F4" s="179"/>
      <c r="G4" s="179"/>
      <c r="H4" s="180"/>
      <c r="I4" s="186"/>
      <c r="J4" s="186"/>
    </row>
    <row r="5" spans="1:10" ht="13.2" customHeight="1" x14ac:dyDescent="0.25">
      <c r="A5" s="109">
        <v>1</v>
      </c>
      <c r="B5" s="89" t="s">
        <v>273</v>
      </c>
      <c r="C5" s="89">
        <v>17896</v>
      </c>
      <c r="D5" s="110" t="s">
        <v>274</v>
      </c>
      <c r="E5" s="118" t="str">
        <f>'Calculation (Preliminery)'!B171</f>
        <v>Δ (Displacement)</v>
      </c>
      <c r="F5" s="91">
        <f>Disp_ton</f>
        <v>24168.015123868292</v>
      </c>
      <c r="G5" s="89" t="str">
        <f>'Calculation (Preliminery)'!E171</f>
        <v>ton</v>
      </c>
      <c r="H5" s="119">
        <f>(F5-C5)/F5</f>
        <v>0.25951717969896748</v>
      </c>
      <c r="I5" s="126">
        <v>5.0000000000000001E-3</v>
      </c>
      <c r="J5" s="129" t="str">
        <f>IF(ABS(H5)&lt;I5,"Terpenuhi","Belum Terpenuhi")</f>
        <v>Belum Terpenuhi</v>
      </c>
    </row>
    <row r="6" spans="1:10" ht="13.2" customHeight="1" x14ac:dyDescent="0.25">
      <c r="A6" s="109">
        <v>2</v>
      </c>
      <c r="B6" s="89" t="s">
        <v>275</v>
      </c>
      <c r="C6" s="89">
        <v>17459.921999999999</v>
      </c>
      <c r="D6" s="110" t="s">
        <v>276</v>
      </c>
      <c r="E6" s="118" t="str">
        <f>'Calculation (Preliminery)'!B172</f>
        <v>Volume Displacement</v>
      </c>
      <c r="F6" s="91">
        <f>'Calculation (Preliminery)'!D172</f>
        <v>23578.55134035931</v>
      </c>
      <c r="G6" s="89" t="str">
        <f>'Calculation (Preliminery)'!E172</f>
        <v>m3</v>
      </c>
      <c r="H6" s="119">
        <f>(F6-C6)/F6</f>
        <v>0.25949979928945333</v>
      </c>
      <c r="I6" s="126">
        <v>5.0000000000000001E-3</v>
      </c>
      <c r="J6" s="129" t="str">
        <f>IF(ABS(H6)&lt;I6,"Terpenuhi","Belum Terpenuhi")</f>
        <v>Belum Terpenuhi</v>
      </c>
    </row>
    <row r="7" spans="1:10" x14ac:dyDescent="0.25">
      <c r="A7" s="111">
        <v>3</v>
      </c>
      <c r="B7" s="55" t="s">
        <v>277</v>
      </c>
      <c r="C7" s="55">
        <v>8</v>
      </c>
      <c r="D7" s="112" t="s">
        <v>169</v>
      </c>
      <c r="E7" s="120" t="str">
        <f>'Calculation (Preliminery)'!B162</f>
        <v>T (Draught)</v>
      </c>
      <c r="F7" s="55">
        <f>T_m</f>
        <v>9.9469999999999992</v>
      </c>
      <c r="G7" s="55" t="str">
        <f>'Calculation (Preliminery)'!E162</f>
        <v>meter</v>
      </c>
      <c r="H7" s="121"/>
      <c r="I7" s="127"/>
      <c r="J7" s="130"/>
    </row>
    <row r="8" spans="1:10" x14ac:dyDescent="0.25">
      <c r="A8" s="111">
        <v>4</v>
      </c>
      <c r="B8" s="55" t="s">
        <v>278</v>
      </c>
      <c r="C8" s="55">
        <v>8</v>
      </c>
      <c r="D8" s="112" t="s">
        <v>169</v>
      </c>
      <c r="E8" s="120"/>
      <c r="F8" s="55"/>
      <c r="G8" s="55"/>
      <c r="H8" s="122"/>
      <c r="I8" s="127"/>
      <c r="J8" s="130"/>
    </row>
    <row r="9" spans="1:10" x14ac:dyDescent="0.25">
      <c r="A9" s="111">
        <v>5</v>
      </c>
      <c r="B9" s="55" t="s">
        <v>279</v>
      </c>
      <c r="C9" s="55">
        <v>133.154</v>
      </c>
      <c r="D9" s="112" t="s">
        <v>169</v>
      </c>
      <c r="E9" s="120" t="str">
        <f>'Calculation (Preliminery)'!B159</f>
        <v>Lwl (length of Waterline)</v>
      </c>
      <c r="F9" s="55">
        <f>LWL_m</f>
        <v>142.48000000000002</v>
      </c>
      <c r="G9" s="55" t="str">
        <f>'Calculation (Preliminery)'!E159</f>
        <v>meter</v>
      </c>
      <c r="H9" s="121"/>
      <c r="I9" s="127"/>
      <c r="J9" s="130"/>
    </row>
    <row r="10" spans="1:10" x14ac:dyDescent="0.25">
      <c r="A10" s="111">
        <v>6</v>
      </c>
      <c r="B10" s="55" t="s">
        <v>280</v>
      </c>
      <c r="C10" s="55">
        <v>21.2</v>
      </c>
      <c r="D10" s="112" t="s">
        <v>169</v>
      </c>
      <c r="E10" s="120" t="str">
        <f>'Calculation (Preliminery)'!B161</f>
        <v>B (Breadth)</v>
      </c>
      <c r="F10" s="55">
        <f>B_m</f>
        <v>23.7</v>
      </c>
      <c r="G10" s="55" t="str">
        <f>'Calculation (Preliminery)'!E161</f>
        <v>meter</v>
      </c>
      <c r="H10" s="121"/>
      <c r="I10" s="127"/>
      <c r="J10" s="130"/>
    </row>
    <row r="11" spans="1:10" x14ac:dyDescent="0.25">
      <c r="A11" s="111">
        <v>7</v>
      </c>
      <c r="B11" s="55" t="s">
        <v>281</v>
      </c>
      <c r="C11" s="55">
        <v>4041.848</v>
      </c>
      <c r="D11" s="112" t="s">
        <v>282</v>
      </c>
      <c r="E11" s="120"/>
      <c r="F11" s="55"/>
      <c r="G11" s="55"/>
      <c r="H11" s="122"/>
      <c r="I11" s="127"/>
      <c r="J11" s="130"/>
    </row>
    <row r="12" spans="1:10" x14ac:dyDescent="0.25">
      <c r="A12" s="111">
        <v>8</v>
      </c>
      <c r="B12" s="55" t="s">
        <v>283</v>
      </c>
      <c r="C12" s="55">
        <v>167.631</v>
      </c>
      <c r="D12" s="112" t="s">
        <v>282</v>
      </c>
      <c r="E12" s="120"/>
      <c r="F12" s="55"/>
      <c r="G12" s="55"/>
      <c r="H12" s="122"/>
      <c r="I12" s="127"/>
      <c r="J12" s="130"/>
    </row>
    <row r="13" spans="1:10" x14ac:dyDescent="0.25">
      <c r="A13" s="111">
        <v>9</v>
      </c>
      <c r="B13" s="55" t="s">
        <v>284</v>
      </c>
      <c r="C13" s="55">
        <v>2349.924</v>
      </c>
      <c r="D13" s="112" t="s">
        <v>282</v>
      </c>
      <c r="E13" s="120" t="s">
        <v>315</v>
      </c>
      <c r="F13" s="93">
        <f>AWL_m2</f>
        <v>2610.6957146439386</v>
      </c>
      <c r="G13" s="55"/>
      <c r="H13" s="123"/>
      <c r="I13" s="127"/>
      <c r="J13" s="130"/>
    </row>
    <row r="14" spans="1:10" x14ac:dyDescent="0.25">
      <c r="A14" s="109">
        <v>10</v>
      </c>
      <c r="B14" s="89" t="s">
        <v>285</v>
      </c>
      <c r="C14" s="89">
        <v>0.78200000000000003</v>
      </c>
      <c r="D14" s="110"/>
      <c r="E14" s="118" t="str">
        <f>'Calculation (Preliminery)'!B168</f>
        <v>Cp (Prismatic Coefficient)</v>
      </c>
      <c r="F14" s="90">
        <f>Cp</f>
        <v>0.71218378146134076</v>
      </c>
      <c r="G14" s="89"/>
      <c r="H14" s="119">
        <f t="shared" ref="H14:H18" si="0">(F14-C14)/F14</f>
        <v>-9.8031182899731728E-2</v>
      </c>
      <c r="I14" s="126">
        <v>5.0000000000000001E-3</v>
      </c>
      <c r="J14" s="129" t="str">
        <f>IF(ABS(H14)&lt;I14,"Terpenuhi","Belum Terpenuhi")</f>
        <v>Belum Terpenuhi</v>
      </c>
    </row>
    <row r="15" spans="1:10" x14ac:dyDescent="0.25">
      <c r="A15" s="109">
        <v>11</v>
      </c>
      <c r="B15" s="89" t="s">
        <v>286</v>
      </c>
      <c r="C15" s="89">
        <v>0.77300000000000002</v>
      </c>
      <c r="D15" s="110"/>
      <c r="E15" s="118" t="str">
        <f>'Calculation (Preliminery)'!B166</f>
        <v>Cb (Block Coefficient)</v>
      </c>
      <c r="F15" s="90">
        <f>Cb</f>
        <v>0.70197678237994154</v>
      </c>
      <c r="G15" s="89"/>
      <c r="H15" s="119">
        <f t="shared" si="0"/>
        <v>-0.10117602092089921</v>
      </c>
      <c r="I15" s="126">
        <v>5.0000000000000001E-3</v>
      </c>
      <c r="J15" s="129" t="str">
        <f>IF(ABS(H15)&lt;I15,"Terpenuhi","Belum Terpenuhi")</f>
        <v>Belum Terpenuhi</v>
      </c>
    </row>
    <row r="16" spans="1:10" x14ac:dyDescent="0.25">
      <c r="A16" s="109">
        <v>12</v>
      </c>
      <c r="B16" s="89" t="s">
        <v>287</v>
      </c>
      <c r="C16" s="89">
        <v>0.98799999999999999</v>
      </c>
      <c r="D16" s="110"/>
      <c r="E16" s="118" t="str">
        <f>'Calculation (Preliminery)'!B167</f>
        <v>Cm (Midship Coefficient)</v>
      </c>
      <c r="F16" s="90">
        <f>Cm</f>
        <v>0.98566802650229501</v>
      </c>
      <c r="G16" s="89"/>
      <c r="H16" s="119">
        <f t="shared" si="0"/>
        <v>-2.365881245007135E-3</v>
      </c>
      <c r="I16" s="126">
        <v>5.0000000000000001E-3</v>
      </c>
      <c r="J16" s="129" t="str">
        <f>IF(ABS(H16)&lt;I16,"Terpenuhi","Belum Terpenuhi")</f>
        <v>Terpenuhi</v>
      </c>
    </row>
    <row r="17" spans="1:18" ht="13.2" customHeight="1" x14ac:dyDescent="0.25">
      <c r="A17" s="111">
        <v>13</v>
      </c>
      <c r="B17" s="55" t="s">
        <v>288</v>
      </c>
      <c r="C17" s="55">
        <v>0.83199999999999996</v>
      </c>
      <c r="D17" s="112"/>
      <c r="E17" s="120" t="str">
        <f>'Calculation (Preliminery)'!B169</f>
        <v>Cwp (Waterplan Coefficient)</v>
      </c>
      <c r="F17" s="88">
        <f>Cwp</f>
        <v>0.79247805205675315</v>
      </c>
      <c r="G17" s="55"/>
      <c r="H17" s="123"/>
      <c r="I17" s="127"/>
      <c r="J17" s="130"/>
    </row>
    <row r="18" spans="1:18" x14ac:dyDescent="0.25">
      <c r="A18" s="109">
        <v>14</v>
      </c>
      <c r="B18" s="89" t="s">
        <v>289</v>
      </c>
      <c r="C18" s="89">
        <v>63.164000000000001</v>
      </c>
      <c r="D18" s="110" t="s">
        <v>290</v>
      </c>
      <c r="E18" s="118" t="s">
        <v>314</v>
      </c>
      <c r="F18" s="90">
        <f>'Calculation (Preliminery)'!C131</f>
        <v>68.933420543679517</v>
      </c>
      <c r="G18" s="89"/>
      <c r="H18" s="119">
        <f t="shared" si="0"/>
        <v>8.3695549969462699E-2</v>
      </c>
      <c r="I18" s="126">
        <v>1E-3</v>
      </c>
      <c r="J18" s="129" t="str">
        <f>IF(ABS(H18)&lt;I18,"Terpenuhi","Belum Terpenuhi")</f>
        <v>Belum Terpenuhi</v>
      </c>
      <c r="K18" s="4" t="s">
        <v>330</v>
      </c>
    </row>
    <row r="19" spans="1:18" x14ac:dyDescent="0.25">
      <c r="A19" s="111">
        <v>15</v>
      </c>
      <c r="B19" s="55" t="s">
        <v>291</v>
      </c>
      <c r="C19" s="55">
        <v>61.634</v>
      </c>
      <c r="D19" s="112" t="s">
        <v>290</v>
      </c>
      <c r="E19" s="120"/>
      <c r="F19" s="88">
        <f>'Calculation (Preliminery)'!C131</f>
        <v>68.933420543679517</v>
      </c>
      <c r="G19" s="55"/>
      <c r="H19" s="122"/>
      <c r="I19" s="127"/>
      <c r="J19" s="130"/>
      <c r="K19" s="4" t="s">
        <v>331</v>
      </c>
    </row>
    <row r="20" spans="1:18" x14ac:dyDescent="0.25">
      <c r="A20" s="111">
        <v>16</v>
      </c>
      <c r="B20" s="55" t="s">
        <v>292</v>
      </c>
      <c r="C20" s="55">
        <v>47.436999999999998</v>
      </c>
      <c r="D20" s="112" t="s">
        <v>293</v>
      </c>
      <c r="E20" s="120"/>
      <c r="F20" s="88"/>
      <c r="G20" s="55"/>
      <c r="H20" s="122"/>
      <c r="I20" s="127"/>
      <c r="J20" s="130"/>
    </row>
    <row r="21" spans="1:18" x14ac:dyDescent="0.25">
      <c r="A21" s="111">
        <v>17</v>
      </c>
      <c r="B21" s="55" t="s">
        <v>294</v>
      </c>
      <c r="C21" s="55">
        <v>46.287999999999997</v>
      </c>
      <c r="D21" s="112" t="s">
        <v>293</v>
      </c>
      <c r="E21" s="120"/>
      <c r="F21" s="88"/>
      <c r="G21" s="55"/>
      <c r="H21" s="122"/>
      <c r="I21" s="127"/>
      <c r="J21" s="130"/>
    </row>
    <row r="22" spans="1:18" x14ac:dyDescent="0.25">
      <c r="A22" s="111">
        <v>18</v>
      </c>
      <c r="B22" s="55" t="s">
        <v>295</v>
      </c>
      <c r="C22" s="55">
        <v>4.1379999999999999</v>
      </c>
      <c r="D22" s="112" t="s">
        <v>169</v>
      </c>
      <c r="E22" s="120"/>
      <c r="F22" s="88"/>
      <c r="G22" s="55"/>
      <c r="H22" s="122"/>
      <c r="I22" s="127"/>
      <c r="J22" s="130"/>
      <c r="K22" s="182" t="s">
        <v>332</v>
      </c>
      <c r="L22" s="182"/>
      <c r="M22" s="182"/>
      <c r="N22" s="182"/>
      <c r="O22" s="182"/>
      <c r="P22" s="182"/>
      <c r="Q22" s="182"/>
      <c r="R22" s="182"/>
    </row>
    <row r="23" spans="1:18" x14ac:dyDescent="0.25">
      <c r="A23" s="111">
        <v>19</v>
      </c>
      <c r="B23" s="55" t="s">
        <v>296</v>
      </c>
      <c r="C23" s="55">
        <v>0</v>
      </c>
      <c r="D23" s="112" t="s">
        <v>169</v>
      </c>
      <c r="E23" s="120"/>
      <c r="F23" s="88"/>
      <c r="G23" s="55"/>
      <c r="H23" s="122"/>
      <c r="I23" s="127"/>
      <c r="J23" s="130"/>
      <c r="K23" s="182"/>
      <c r="L23" s="182"/>
      <c r="M23" s="182"/>
      <c r="N23" s="182"/>
      <c r="O23" s="182"/>
      <c r="P23" s="182"/>
      <c r="Q23" s="182"/>
      <c r="R23" s="182"/>
    </row>
    <row r="24" spans="1:18" x14ac:dyDescent="0.25">
      <c r="A24" s="111">
        <v>20</v>
      </c>
      <c r="B24" s="55" t="s">
        <v>297</v>
      </c>
      <c r="C24" s="55">
        <v>4.2750000000000004</v>
      </c>
      <c r="D24" s="112" t="s">
        <v>169</v>
      </c>
      <c r="E24" s="120"/>
      <c r="F24" s="88"/>
      <c r="G24" s="55"/>
      <c r="H24" s="122"/>
      <c r="I24" s="127"/>
      <c r="J24" s="130"/>
      <c r="K24" s="182"/>
      <c r="L24" s="182"/>
      <c r="M24" s="182"/>
      <c r="N24" s="182"/>
      <c r="O24" s="182"/>
      <c r="P24" s="182"/>
      <c r="Q24" s="182"/>
      <c r="R24" s="182"/>
    </row>
    <row r="25" spans="1:18" x14ac:dyDescent="0.25">
      <c r="A25" s="111">
        <v>21</v>
      </c>
      <c r="B25" s="55" t="s">
        <v>298</v>
      </c>
      <c r="C25" s="55">
        <v>149.536</v>
      </c>
      <c r="D25" s="112" t="s">
        <v>169</v>
      </c>
      <c r="E25" s="120"/>
      <c r="F25" s="88"/>
      <c r="G25" s="55"/>
      <c r="H25" s="122"/>
      <c r="I25" s="127"/>
      <c r="J25" s="130"/>
      <c r="K25" s="182"/>
      <c r="L25" s="182"/>
      <c r="M25" s="182"/>
      <c r="N25" s="182"/>
      <c r="O25" s="182"/>
      <c r="P25" s="182"/>
      <c r="Q25" s="182"/>
      <c r="R25" s="182"/>
    </row>
    <row r="26" spans="1:18" x14ac:dyDescent="0.25">
      <c r="A26" s="111">
        <v>22</v>
      </c>
      <c r="B26" s="55" t="s">
        <v>299</v>
      </c>
      <c r="C26" s="55">
        <v>8.4130000000000003</v>
      </c>
      <c r="D26" s="112" t="s">
        <v>169</v>
      </c>
      <c r="E26" s="120"/>
      <c r="F26" s="88"/>
      <c r="G26" s="55"/>
      <c r="H26" s="122"/>
      <c r="I26" s="127"/>
      <c r="J26" s="130"/>
      <c r="K26" s="182"/>
      <c r="L26" s="182"/>
      <c r="M26" s="182"/>
      <c r="N26" s="182"/>
      <c r="O26" s="182"/>
      <c r="P26" s="182"/>
      <c r="Q26" s="182"/>
      <c r="R26" s="182"/>
    </row>
    <row r="27" spans="1:18" x14ac:dyDescent="0.25">
      <c r="A27" s="111">
        <v>23</v>
      </c>
      <c r="B27" s="55" t="s">
        <v>300</v>
      </c>
      <c r="C27" s="55">
        <v>153.67400000000001</v>
      </c>
      <c r="D27" s="112" t="s">
        <v>169</v>
      </c>
      <c r="E27" s="120"/>
      <c r="F27" s="88"/>
      <c r="G27" s="55"/>
      <c r="H27" s="122"/>
      <c r="I27" s="127"/>
      <c r="J27" s="130"/>
      <c r="K27" s="182"/>
      <c r="L27" s="182"/>
      <c r="M27" s="182"/>
      <c r="N27" s="182"/>
      <c r="O27" s="182"/>
      <c r="P27" s="182"/>
      <c r="Q27" s="182"/>
      <c r="R27" s="182"/>
    </row>
    <row r="28" spans="1:18" x14ac:dyDescent="0.25">
      <c r="A28" s="111">
        <v>24</v>
      </c>
      <c r="B28" s="55" t="s">
        <v>301</v>
      </c>
      <c r="C28" s="55">
        <v>8.4130000000000003</v>
      </c>
      <c r="D28" s="112" t="s">
        <v>169</v>
      </c>
      <c r="E28" s="120"/>
      <c r="F28" s="88"/>
      <c r="G28" s="55"/>
      <c r="H28" s="122"/>
      <c r="I28" s="127"/>
      <c r="J28" s="130"/>
      <c r="K28" s="182"/>
      <c r="L28" s="182"/>
      <c r="M28" s="182"/>
      <c r="N28" s="182"/>
      <c r="O28" s="182"/>
      <c r="P28" s="182"/>
      <c r="Q28" s="182"/>
      <c r="R28" s="182"/>
    </row>
    <row r="29" spans="1:18" x14ac:dyDescent="0.25">
      <c r="A29" s="111">
        <v>25</v>
      </c>
      <c r="B29" s="55" t="s">
        <v>302</v>
      </c>
      <c r="C29" s="55">
        <v>153.67400000000001</v>
      </c>
      <c r="D29" s="112" t="s">
        <v>169</v>
      </c>
      <c r="E29" s="120"/>
      <c r="F29" s="55"/>
      <c r="G29" s="55"/>
      <c r="H29" s="122"/>
      <c r="I29" s="127"/>
      <c r="J29" s="130"/>
      <c r="K29" s="182"/>
      <c r="L29" s="182"/>
      <c r="M29" s="182"/>
      <c r="N29" s="182"/>
      <c r="O29" s="182"/>
      <c r="P29" s="182"/>
      <c r="Q29" s="182"/>
      <c r="R29" s="182"/>
    </row>
    <row r="30" spans="1:18" x14ac:dyDescent="0.25">
      <c r="A30" s="111">
        <v>26</v>
      </c>
      <c r="B30" s="55" t="s">
        <v>303</v>
      </c>
      <c r="C30" s="55">
        <v>24.087</v>
      </c>
      <c r="D30" s="112" t="s">
        <v>304</v>
      </c>
      <c r="E30" s="120"/>
      <c r="F30" s="55"/>
      <c r="G30" s="55"/>
      <c r="H30" s="122"/>
      <c r="I30" s="127"/>
      <c r="J30" s="130"/>
    </row>
    <row r="31" spans="1:18" x14ac:dyDescent="0.25">
      <c r="A31" s="111">
        <v>27</v>
      </c>
      <c r="B31" s="55" t="s">
        <v>305</v>
      </c>
      <c r="C31" s="55">
        <v>214.86</v>
      </c>
      <c r="D31" s="112" t="s">
        <v>306</v>
      </c>
      <c r="E31" s="120"/>
      <c r="F31" s="55"/>
      <c r="G31" s="55"/>
      <c r="H31" s="122"/>
      <c r="I31" s="127"/>
      <c r="J31" s="130"/>
    </row>
    <row r="32" spans="1:18" x14ac:dyDescent="0.25">
      <c r="A32" s="111">
        <v>28</v>
      </c>
      <c r="B32" s="55" t="s">
        <v>307</v>
      </c>
      <c r="C32" s="55">
        <v>2627.806</v>
      </c>
      <c r="D32" s="112" t="s">
        <v>306</v>
      </c>
      <c r="E32" s="120"/>
      <c r="F32" s="55"/>
      <c r="G32" s="55"/>
      <c r="H32" s="122"/>
      <c r="I32" s="127"/>
      <c r="J32" s="130"/>
    </row>
    <row r="33" spans="1:10" x14ac:dyDescent="0.25">
      <c r="A33" s="111">
        <v>29</v>
      </c>
      <c r="B33" s="55" t="s">
        <v>308</v>
      </c>
      <c r="C33" s="55">
        <v>6.2809999999999997</v>
      </c>
      <c r="D33" s="112"/>
      <c r="E33" s="120"/>
      <c r="F33" s="55"/>
      <c r="G33" s="55"/>
      <c r="H33" s="122"/>
      <c r="I33" s="127"/>
      <c r="J33" s="130"/>
    </row>
    <row r="34" spans="1:10" x14ac:dyDescent="0.25">
      <c r="A34" s="111">
        <v>30</v>
      </c>
      <c r="B34" s="55" t="s">
        <v>309</v>
      </c>
      <c r="C34" s="55">
        <v>2.65</v>
      </c>
      <c r="D34" s="112"/>
      <c r="E34" s="120"/>
      <c r="F34" s="55"/>
      <c r="G34" s="55"/>
      <c r="H34" s="122"/>
      <c r="I34" s="127"/>
      <c r="J34" s="130"/>
    </row>
    <row r="35" spans="1:10" x14ac:dyDescent="0.25">
      <c r="A35" s="111">
        <v>31</v>
      </c>
      <c r="B35" s="55" t="s">
        <v>310</v>
      </c>
      <c r="C35" s="55">
        <v>5.133</v>
      </c>
      <c r="D35" s="112"/>
      <c r="E35" s="120"/>
      <c r="F35" s="55"/>
      <c r="G35" s="55"/>
      <c r="H35" s="122"/>
      <c r="I35" s="127"/>
      <c r="J35" s="130"/>
    </row>
    <row r="36" spans="1:10" ht="13.8" thickBot="1" x14ac:dyDescent="0.3">
      <c r="A36" s="113">
        <v>32</v>
      </c>
      <c r="B36" s="114" t="s">
        <v>311</v>
      </c>
      <c r="C36" s="114" t="s">
        <v>312</v>
      </c>
      <c r="D36" s="115" t="s">
        <v>313</v>
      </c>
      <c r="E36" s="124"/>
      <c r="F36" s="114"/>
      <c r="G36" s="114"/>
      <c r="H36" s="125"/>
      <c r="I36" s="128"/>
      <c r="J36" s="131"/>
    </row>
  </sheetData>
  <mergeCells count="7">
    <mergeCell ref="B1:H1"/>
    <mergeCell ref="B4:D4"/>
    <mergeCell ref="E4:H4"/>
    <mergeCell ref="K22:R29"/>
    <mergeCell ref="A3:A4"/>
    <mergeCell ref="I3:I4"/>
    <mergeCell ref="J3:J4"/>
  </mergeCells>
  <conditionalFormatting sqref="J1:J1048576">
    <cfRule type="containsText" dxfId="0" priority="1" operator="containsText" text="Belum Terpenuhi">
      <formula>NOT(ISERROR(SEARCH("Belum Terpenuhi",J1)))</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vt:i4>
      </vt:variant>
    </vt:vector>
  </HeadingPairs>
  <TitlesOfParts>
    <vt:vector size="36" baseType="lpstr">
      <vt:lpstr>Calculation (Preliminery)</vt:lpstr>
      <vt:lpstr>Referensi</vt:lpstr>
      <vt:lpstr>Design Data</vt:lpstr>
      <vt:lpstr>A1_m2</vt:lpstr>
      <vt:lpstr>A2_m2</vt:lpstr>
      <vt:lpstr>Am_m2</vt:lpstr>
      <vt:lpstr>AWL_m2</vt:lpstr>
      <vt:lpstr>B_m</vt:lpstr>
      <vt:lpstr>BpT_max_ref</vt:lpstr>
      <vt:lpstr>BpT_min_ref</vt:lpstr>
      <vt:lpstr>Cb</vt:lpstr>
      <vt:lpstr>Cm</vt:lpstr>
      <vt:lpstr>Cp</vt:lpstr>
      <vt:lpstr>Cwp</vt:lpstr>
      <vt:lpstr>Disp_ton</vt:lpstr>
      <vt:lpstr>Fn</vt:lpstr>
      <vt:lpstr>gravitasi_mps</vt:lpstr>
      <vt:lpstr>H_m</vt:lpstr>
      <vt:lpstr>LOA_m</vt:lpstr>
      <vt:lpstr>LpB_max_ref</vt:lpstr>
      <vt:lpstr>LpB_min_ref</vt:lpstr>
      <vt:lpstr>LpH_max_ref</vt:lpstr>
      <vt:lpstr>LpH_min_ref</vt:lpstr>
      <vt:lpstr>LPP_m</vt:lpstr>
      <vt:lpstr>LPP_mm</vt:lpstr>
      <vt:lpstr>LWL_m</vt:lpstr>
      <vt:lpstr>LWL_mm</vt:lpstr>
      <vt:lpstr>MassaJenisAirLaut</vt:lpstr>
      <vt:lpstr>'Calculation (Preliminery)'!Print_Area</vt:lpstr>
      <vt:lpstr>RB_m</vt:lpstr>
      <vt:lpstr>ShipType_ref</vt:lpstr>
      <vt:lpstr>T_m</vt:lpstr>
      <vt:lpstr>TpH_min_ref</vt:lpstr>
      <vt:lpstr>Vdisp_m3</vt:lpstr>
      <vt:lpstr>Vs_knot</vt:lpstr>
      <vt:lpstr>Vs_mps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halli bagaffad</cp:lastModifiedBy>
  <cp:lastPrinted>2020-02-05T11:37:20Z</cp:lastPrinted>
  <dcterms:created xsi:type="dcterms:W3CDTF">2020-02-05T07:59:31Z</dcterms:created>
  <dcterms:modified xsi:type="dcterms:W3CDTF">2024-08-03T03:02:16Z</dcterms:modified>
</cp:coreProperties>
</file>