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11gabillah\12gabillah\Rangkuman Engineering\Projek Ship Oil Tanker 20704 DWT - (main branch)\"/>
    </mc:Choice>
  </mc:AlternateContent>
  <xr:revisionPtr revIDLastSave="0" documentId="13_ncr:1_{CF422D0E-1153-4A3D-8F5E-10646B5665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nes Plan" sheetId="1" r:id="rId1"/>
    <sheet name="Hidden Backend (Input)" sheetId="2" r:id="rId2"/>
  </sheets>
  <definedNames>
    <definedName name="B_m">'Hidden Backend (Input)'!$D$10</definedName>
    <definedName name="H_m">'Hidden Backend (Input)'!$D$11</definedName>
    <definedName name="LOA_m">'Hidden Backend (Input)'!$D$8</definedName>
    <definedName name="LPP_m">'Hidden Backend (Input)'!$D$9</definedName>
    <definedName name="m_to_ft">'Hidden Backend (Input)'!$C$23</definedName>
    <definedName name="m_to_in">'Hidden Backend (Input)'!$C$24</definedName>
    <definedName name="m_to_m">'Hidden Backend (Input)'!$C$22</definedName>
    <definedName name="m_to_yard">'Hidden Backend (Input)'!$C$25</definedName>
    <definedName name="Nominal_satuan_panjang_dari_meter">'Hidden Backend (Input)'!$C$22:$C$25</definedName>
    <definedName name="Satuan_panjang_data_kapal">'Hidden Backend (Input)'!$D$7:$G$7</definedName>
    <definedName name="SatuanPanjang">'Hidden Backend (Input)'!$B$22:$B$25</definedName>
    <definedName name="T_m">'Hidden Backend (Input)'!$D$12</definedName>
    <definedName name="Vs_m">'Hidden Backend (Input)'!$D$13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17" i="1"/>
  <c r="D16" i="1"/>
  <c r="F16" i="1" s="1"/>
  <c r="D15" i="1"/>
  <c r="F15" i="1" s="1"/>
  <c r="D14" i="1"/>
  <c r="D13" i="1"/>
  <c r="D12" i="1"/>
  <c r="F12" i="1" s="1"/>
  <c r="F14" i="1" l="1"/>
  <c r="F13" i="1"/>
  <c r="G12" i="1"/>
  <c r="G16" i="1"/>
  <c r="G15" i="1"/>
  <c r="G14" i="1"/>
  <c r="G13" i="1"/>
  <c r="E582" i="1" l="1"/>
  <c r="H724" i="1" l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E652" i="1"/>
  <c r="H749" i="1" l="1"/>
  <c r="H750" i="1"/>
  <c r="H751" i="1"/>
  <c r="H752" i="1"/>
  <c r="H753" i="1"/>
  <c r="H754" i="1"/>
  <c r="H755" i="1"/>
  <c r="H756" i="1"/>
  <c r="H757" i="1"/>
  <c r="H741" i="1"/>
  <c r="H742" i="1"/>
  <c r="H743" i="1"/>
  <c r="H744" i="1"/>
  <c r="H745" i="1"/>
  <c r="H746" i="1"/>
  <c r="H747" i="1"/>
  <c r="H748" i="1"/>
  <c r="H738" i="1"/>
  <c r="H739" i="1"/>
  <c r="H740" i="1"/>
  <c r="D695" i="1"/>
  <c r="D694" i="1"/>
  <c r="D697" i="1"/>
  <c r="E697" i="1" s="1"/>
  <c r="D684" i="1"/>
  <c r="D688" i="1" s="1"/>
  <c r="E688" i="1" s="1"/>
  <c r="D686" i="1" l="1"/>
  <c r="D685" i="1"/>
  <c r="D673" i="1" l="1"/>
  <c r="D592" i="1"/>
  <c r="E572" i="1"/>
  <c r="D679" i="1" l="1"/>
  <c r="E679" i="1" s="1"/>
  <c r="D677" i="1"/>
  <c r="D676" i="1"/>
  <c r="D583" i="1"/>
  <c r="E630" i="1"/>
  <c r="E625" i="1"/>
  <c r="E626" i="1" s="1"/>
  <c r="E627" i="1" s="1"/>
  <c r="E345" i="1"/>
  <c r="D591" i="1" l="1"/>
  <c r="E594" i="1"/>
  <c r="E595" i="1" s="1"/>
  <c r="E596" i="1" s="1"/>
  <c r="E597" i="1" s="1"/>
  <c r="E598" i="1" s="1"/>
  <c r="F435" i="1"/>
  <c r="F436" i="1"/>
  <c r="F437" i="1"/>
  <c r="G407" i="1" l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H406" i="1"/>
  <c r="I406" i="1"/>
  <c r="G406" i="1"/>
  <c r="I242" i="1" l="1"/>
  <c r="H241" i="1"/>
  <c r="I241" i="1" s="1"/>
  <c r="J241" i="1" s="1"/>
  <c r="H228" i="1"/>
  <c r="I228" i="1" s="1"/>
  <c r="J228" i="1" s="1"/>
  <c r="H229" i="1"/>
  <c r="I229" i="1" s="1"/>
  <c r="J229" i="1" s="1"/>
  <c r="H230" i="1"/>
  <c r="I230" i="1" s="1"/>
  <c r="J230" i="1" s="1"/>
  <c r="H231" i="1"/>
  <c r="I231" i="1" s="1"/>
  <c r="J231" i="1" s="1"/>
  <c r="H232" i="1"/>
  <c r="I232" i="1" s="1"/>
  <c r="J232" i="1" s="1"/>
  <c r="H233" i="1"/>
  <c r="I233" i="1" s="1"/>
  <c r="J233" i="1" s="1"/>
  <c r="H234" i="1"/>
  <c r="I234" i="1" s="1"/>
  <c r="J234" i="1" s="1"/>
  <c r="H235" i="1"/>
  <c r="I235" i="1" s="1"/>
  <c r="J235" i="1" s="1"/>
  <c r="H236" i="1"/>
  <c r="I236" i="1" s="1"/>
  <c r="J236" i="1" s="1"/>
  <c r="H237" i="1"/>
  <c r="I237" i="1" s="1"/>
  <c r="J237" i="1" s="1"/>
  <c r="H238" i="1"/>
  <c r="I238" i="1" s="1"/>
  <c r="J238" i="1" s="1"/>
  <c r="H239" i="1"/>
  <c r="I239" i="1" s="1"/>
  <c r="J239" i="1" s="1"/>
  <c r="H240" i="1"/>
  <c r="I240" i="1" s="1"/>
  <c r="J240" i="1" s="1"/>
  <c r="H227" i="1"/>
  <c r="I227" i="1" s="1"/>
  <c r="J227" i="1" s="1"/>
  <c r="F224" i="1"/>
  <c r="H224" i="1"/>
  <c r="I224" i="1" s="1"/>
  <c r="J224" i="1" s="1"/>
  <c r="H225" i="1"/>
  <c r="I225" i="1" s="1"/>
  <c r="J225" i="1" s="1"/>
  <c r="H226" i="1"/>
  <c r="I226" i="1" s="1"/>
  <c r="J226" i="1" s="1"/>
  <c r="F221" i="1"/>
  <c r="F222" i="1"/>
  <c r="F223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20" i="1"/>
  <c r="H223" i="1"/>
  <c r="I223" i="1" l="1"/>
  <c r="J223" i="1" s="1"/>
  <c r="D322" i="1"/>
  <c r="F268" i="1" l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46" i="1"/>
  <c r="E49" i="1" l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G280" i="1" l="1"/>
  <c r="E238" i="1"/>
  <c r="E613" i="1" l="1"/>
  <c r="D613" i="1"/>
  <c r="E612" i="1"/>
  <c r="G611" i="1"/>
  <c r="E611" i="1"/>
  <c r="G610" i="1"/>
  <c r="E610" i="1"/>
  <c r="E590" i="1"/>
  <c r="D588" i="1"/>
  <c r="D570" i="1"/>
  <c r="D611" i="1" s="1"/>
  <c r="E563" i="1"/>
  <c r="D544" i="1"/>
  <c r="D559" i="1" s="1"/>
  <c r="D543" i="1"/>
  <c r="D542" i="1"/>
  <c r="E649" i="1" s="1"/>
  <c r="D541" i="1"/>
  <c r="D576" i="1" l="1"/>
  <c r="D612" i="1" s="1"/>
  <c r="D606" i="1"/>
  <c r="D607" i="1" s="1"/>
  <c r="G613" i="1"/>
  <c r="G603" i="1"/>
  <c r="E614" i="1" s="1"/>
  <c r="D610" i="1"/>
  <c r="D561" i="1"/>
  <c r="E602" i="1"/>
  <c r="E549" i="1"/>
  <c r="G612" i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G458" i="1" l="1"/>
  <c r="D614" i="1"/>
  <c r="D605" i="1"/>
  <c r="D578" i="1"/>
  <c r="D580" i="1" s="1"/>
  <c r="D323" i="1"/>
  <c r="E344" i="1" s="1"/>
  <c r="D321" i="1"/>
  <c r="D320" i="1"/>
  <c r="E378" i="1" s="1"/>
  <c r="E342" i="1" l="1"/>
  <c r="E346" i="1"/>
  <c r="E377" i="1"/>
  <c r="K377" i="1" s="1"/>
  <c r="E376" i="1"/>
  <c r="K376" i="1" s="1"/>
  <c r="E343" i="1"/>
  <c r="D296" i="1" l="1"/>
  <c r="E242" i="1" l="1"/>
  <c r="E241" i="1"/>
  <c r="E240" i="1"/>
  <c r="E239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D193" i="1"/>
  <c r="F178" i="1"/>
  <c r="H178" i="1" s="1"/>
  <c r="F177" i="1"/>
  <c r="H177" i="1" s="1"/>
  <c r="F176" i="1"/>
  <c r="H176" i="1" s="1"/>
  <c r="F175" i="1"/>
  <c r="H175" i="1" s="1"/>
  <c r="F174" i="1"/>
  <c r="H174" i="1" s="1"/>
  <c r="F173" i="1"/>
  <c r="H173" i="1" s="1"/>
  <c r="F172" i="1"/>
  <c r="H172" i="1" s="1"/>
  <c r="F171" i="1"/>
  <c r="H171" i="1" s="1"/>
  <c r="F170" i="1"/>
  <c r="H170" i="1" s="1"/>
  <c r="F169" i="1"/>
  <c r="H169" i="1" s="1"/>
  <c r="F168" i="1"/>
  <c r="H168" i="1" s="1"/>
  <c r="F167" i="1"/>
  <c r="H167" i="1" s="1"/>
  <c r="F166" i="1"/>
  <c r="H166" i="1" s="1"/>
  <c r="F165" i="1"/>
  <c r="H165" i="1" s="1"/>
  <c r="F164" i="1"/>
  <c r="H164" i="1" s="1"/>
  <c r="F163" i="1"/>
  <c r="H163" i="1" s="1"/>
  <c r="F162" i="1"/>
  <c r="H162" i="1" s="1"/>
  <c r="F161" i="1"/>
  <c r="H161" i="1" s="1"/>
  <c r="F160" i="1"/>
  <c r="H160" i="1" s="1"/>
  <c r="F159" i="1"/>
  <c r="H159" i="1" s="1"/>
  <c r="F158" i="1"/>
  <c r="H158" i="1" s="1"/>
  <c r="F157" i="1"/>
  <c r="H157" i="1" s="1"/>
  <c r="F156" i="1"/>
  <c r="F179" i="1" l="1"/>
  <c r="D195" i="1" s="1"/>
  <c r="H156" i="1"/>
  <c r="H179" i="1" s="1"/>
  <c r="F269" i="1" l="1"/>
  <c r="D299" i="1" s="1"/>
  <c r="D209" i="1"/>
  <c r="F107" i="1" l="1"/>
  <c r="H107" i="1" s="1"/>
  <c r="F108" i="1"/>
  <c r="H108" i="1" s="1"/>
  <c r="F110" i="1"/>
  <c r="H110" i="1" s="1"/>
  <c r="F111" i="1"/>
  <c r="H111" i="1" s="1"/>
  <c r="F112" i="1"/>
  <c r="H112" i="1" s="1"/>
  <c r="F115" i="1"/>
  <c r="H115" i="1" s="1"/>
  <c r="F116" i="1"/>
  <c r="H116" i="1" s="1"/>
  <c r="F122" i="1"/>
  <c r="H122" i="1" s="1"/>
  <c r="F124" i="1"/>
  <c r="H124" i="1" s="1"/>
  <c r="F120" i="1"/>
  <c r="H120" i="1" s="1"/>
  <c r="F119" i="1"/>
  <c r="H119" i="1" s="1"/>
  <c r="F123" i="1"/>
  <c r="H123" i="1" s="1"/>
  <c r="F105" i="1"/>
  <c r="H105" i="1" s="1"/>
  <c r="F106" i="1"/>
  <c r="H106" i="1" s="1"/>
  <c r="F109" i="1"/>
  <c r="H109" i="1" s="1"/>
  <c r="F113" i="1"/>
  <c r="H113" i="1" s="1"/>
  <c r="F114" i="1"/>
  <c r="H114" i="1" s="1"/>
  <c r="F117" i="1"/>
  <c r="H117" i="1" s="1"/>
  <c r="F118" i="1"/>
  <c r="H118" i="1" s="1"/>
  <c r="F121" i="1"/>
  <c r="H121" i="1" s="1"/>
  <c r="F125" i="1"/>
  <c r="H125" i="1" s="1"/>
  <c r="H126" i="1" l="1"/>
  <c r="F126" i="1"/>
  <c r="D545" i="1" l="1"/>
  <c r="E619" i="1" s="1"/>
  <c r="D324" i="1" l="1"/>
  <c r="D285" i="1"/>
  <c r="D288" i="1" s="1"/>
  <c r="D291" i="1" s="1"/>
  <c r="D304" i="1" s="1"/>
  <c r="F304" i="1" s="1"/>
  <c r="G49" i="1"/>
  <c r="I49" i="1" s="1"/>
  <c r="G50" i="1"/>
  <c r="I50" i="1" s="1"/>
  <c r="G51" i="1"/>
  <c r="I51" i="1" s="1"/>
  <c r="G52" i="1"/>
  <c r="I52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4" i="1"/>
  <c r="I64" i="1" s="1"/>
  <c r="G65" i="1"/>
  <c r="I65" i="1" s="1"/>
  <c r="G66" i="1"/>
  <c r="I66" i="1" s="1"/>
  <c r="G67" i="1"/>
  <c r="I67" i="1" s="1"/>
  <c r="G68" i="1"/>
  <c r="I68" i="1" s="1"/>
  <c r="G53" i="1"/>
  <c r="I53" i="1" s="1"/>
  <c r="G63" i="1"/>
  <c r="I63" i="1" s="1"/>
  <c r="G69" i="1"/>
  <c r="I69" i="1" s="1"/>
  <c r="D74" i="1"/>
  <c r="D546" i="1" s="1"/>
  <c r="D325" i="1" l="1"/>
  <c r="D400" i="1"/>
  <c r="I70" i="1"/>
  <c r="G70" i="1"/>
  <c r="D26" i="1"/>
  <c r="D28" i="1" s="1"/>
  <c r="D401" i="1" l="1"/>
  <c r="D402" i="1" s="1"/>
  <c r="D277" i="1"/>
  <c r="D278" i="1" s="1"/>
  <c r="M138" i="1"/>
  <c r="E187" i="1"/>
  <c r="D189" i="1" s="1"/>
  <c r="D200" i="1" s="1"/>
  <c r="F200" i="1" s="1"/>
  <c r="M130" i="1"/>
  <c r="D205" i="1"/>
  <c r="D213" i="1" s="1"/>
  <c r="F213" i="1" s="1"/>
  <c r="D138" i="1"/>
  <c r="D36" i="1"/>
  <c r="D93" i="1"/>
  <c r="D82" i="1"/>
  <c r="D90" i="1" l="1"/>
  <c r="D99" i="1" s="1"/>
  <c r="M132" i="1"/>
  <c r="D132" i="1" s="1"/>
  <c r="D142" i="1"/>
  <c r="M139" i="1"/>
  <c r="M140" i="1" s="1"/>
  <c r="D151" i="1" s="1"/>
  <c r="D150" i="1" l="1"/>
  <c r="F99" i="1"/>
  <c r="E150" i="1"/>
  <c r="F132" i="1"/>
  <c r="D146" i="1"/>
  <c r="F146" i="1" s="1"/>
  <c r="E151" i="1" l="1"/>
</calcChain>
</file>

<file path=xl/sharedStrings.xml><?xml version="1.0" encoding="utf-8"?>
<sst xmlns="http://schemas.openxmlformats.org/spreadsheetml/2006/main" count="641" uniqueCount="373">
  <si>
    <t>TUGAS RENCANA GARIS</t>
  </si>
  <si>
    <t>DATA KAPAL</t>
  </si>
  <si>
    <t>Tipe  Kapal</t>
  </si>
  <si>
    <t>Panjang ( LPP )</t>
  </si>
  <si>
    <t xml:space="preserve">Lebar ( B ) </t>
  </si>
  <si>
    <t>Tinggi Geladak ( H )</t>
  </si>
  <si>
    <t>Sarat Air ( T )</t>
  </si>
  <si>
    <t>Kecepatan Dinas ( Vs )</t>
  </si>
  <si>
    <t>m</t>
  </si>
  <si>
    <t>knots</t>
  </si>
  <si>
    <t>=</t>
  </si>
  <si>
    <t>PERHITUNGAN</t>
  </si>
  <si>
    <t>1. Perhitungan Lwl</t>
  </si>
  <si>
    <t>Lwl =</t>
  </si>
  <si>
    <t>2. Perhitungan L Dispalcement</t>
  </si>
  <si>
    <t>L dsplc =</t>
  </si>
  <si>
    <t>1/2 * ( Lwl + Lpp )</t>
  </si>
  <si>
    <t>1 meter =</t>
  </si>
  <si>
    <t>feet</t>
  </si>
  <si>
    <t>Dimana =</t>
  </si>
  <si>
    <t>Kecepatan kapal dalam knots</t>
  </si>
  <si>
    <t>L =</t>
  </si>
  <si>
    <t>L Displacement dalam feet</t>
  </si>
  <si>
    <t>Sehingga =</t>
  </si>
  <si>
    <t>3. Perhitungan Speed Constan ( Vs /√L )</t>
  </si>
  <si>
    <t xml:space="preserve">Vs /√L = </t>
  </si>
  <si>
    <t>a. ) Nilai Koefisien dan nilai LCB</t>
  </si>
  <si>
    <t>di depan midship</t>
  </si>
  <si>
    <t>4. Membaca Diagram NSP</t>
  </si>
  <si>
    <t>Langkah awal membaca diagram NSP adalah menggunakan nilai speed constan</t>
  </si>
  <si>
    <t>Nomor Station</t>
  </si>
  <si>
    <t>% Luas NSP ( A )</t>
  </si>
  <si>
    <t>Am</t>
  </si>
  <si>
    <t>LCB ( e% ) =</t>
  </si>
  <si>
    <t>Fs</t>
  </si>
  <si>
    <t>A*s</t>
  </si>
  <si>
    <t>A*Am</t>
  </si>
  <si>
    <t>N</t>
  </si>
  <si>
    <t>As*N</t>
  </si>
  <si>
    <t>Cm (β) =</t>
  </si>
  <si>
    <t>Cb (δ) =</t>
  </si>
  <si>
    <t>Cp (φ) =</t>
  </si>
  <si>
    <t>c.) Perhitungan Luas bidang tengah kapal ( A midship )</t>
  </si>
  <si>
    <t>Am =</t>
  </si>
  <si>
    <t>Cm*B*T</t>
  </si>
  <si>
    <t>Dimana</t>
  </si>
  <si>
    <t>B =</t>
  </si>
  <si>
    <t>T =</t>
  </si>
  <si>
    <t>Cm =</t>
  </si>
  <si>
    <t>Panjang Displacement (m)</t>
  </si>
  <si>
    <t>Sarat Air (m)</t>
  </si>
  <si>
    <t>Koefisien Blok ( dari data NSP )</t>
  </si>
  <si>
    <t>Vs =</t>
  </si>
  <si>
    <t>∑A*s</t>
  </si>
  <si>
    <t>∑As*N</t>
  </si>
  <si>
    <t>d.) Perhitungan Vrumus dan Vsimson (sebelum koreksi)</t>
  </si>
  <si>
    <t>Vrumus =</t>
  </si>
  <si>
    <t>Ldispc*B*T*δ</t>
  </si>
  <si>
    <t>Ldispc =</t>
  </si>
  <si>
    <t xml:space="preserve"> δ =</t>
  </si>
  <si>
    <t>Lebar Kapal ( m )</t>
  </si>
  <si>
    <t>Sarat Air ( m )</t>
  </si>
  <si>
    <t>Vsimson =</t>
  </si>
  <si>
    <t>1/3*Hdispc*∑A*s</t>
  </si>
  <si>
    <t>Hdispc =</t>
  </si>
  <si>
    <t>Ldispc/20</t>
  </si>
  <si>
    <t>KOREKSI</t>
  </si>
  <si>
    <t>Koreksi volume displacement ( dilakukan sebelum edit CSA )</t>
  </si>
  <si>
    <t>Koreksi Vdispc =</t>
  </si>
  <si>
    <t>Syarat Koreksi Vdispc =</t>
  </si>
  <si>
    <t>±0.5 %</t>
  </si>
  <si>
    <t>5. Menggambar diagram CSA ( Curve of Sectional Area ) displacement dan koreksi ulang displacement</t>
  </si>
  <si>
    <t>Koreksi volume displacement (dilakukan sebelum edit CSA)</t>
  </si>
  <si>
    <t>Koreksi Vol. displc =</t>
  </si>
  <si>
    <t>Koreksi vol. displc =</t>
  </si>
  <si>
    <t>%</t>
  </si>
  <si>
    <t>Syarat koreksi Vdisplc =</t>
  </si>
  <si>
    <t>b. Menghitung LCB dan loreksi LCB</t>
  </si>
  <si>
    <t>e% * Ldispl.</t>
  </si>
  <si>
    <t>Koreksi LCB =</t>
  </si>
  <si>
    <t>Syarat koreksi LCB =</t>
  </si>
  <si>
    <t>coefisien midship</t>
  </si>
  <si>
    <t>coefisien block</t>
  </si>
  <si>
    <t>coefisien prismatic</t>
  </si>
  <si>
    <t>Sebelum Diedit</t>
  </si>
  <si>
    <t>Sesudah Diedit</t>
  </si>
  <si>
    <t>Koreksi Vdispl</t>
  </si>
  <si>
    <t>Syarat Koreksi ±0.5 %</t>
  </si>
  <si>
    <t>Koreksi LCB</t>
  </si>
  <si>
    <t>Syarat Koreksi ±0.1 %</t>
  </si>
  <si>
    <t>Luas Station A (m2)</t>
  </si>
  <si>
    <t>S</t>
  </si>
  <si>
    <t>A*S</t>
  </si>
  <si>
    <t>a. Koreksi Volume Waterline</t>
  </si>
  <si>
    <t>Vrumus = Vwl =</t>
  </si>
  <si>
    <t>Lwl * B * T * δwl</t>
  </si>
  <si>
    <t>Dimana :</t>
  </si>
  <si>
    <t>δwl =</t>
  </si>
  <si>
    <t>Koefisien blok waterline</t>
  </si>
  <si>
    <t>δdispl = Koefisien blok pada diagram NSP</t>
  </si>
  <si>
    <t>m3</t>
  </si>
  <si>
    <t>1/3 * H.Lpp * ∑A*s</t>
  </si>
  <si>
    <t>H.Lpp =</t>
  </si>
  <si>
    <t>Lpp / 20</t>
  </si>
  <si>
    <t>Koreksi Volume Waterline</t>
  </si>
  <si>
    <t>Koreksi V.waterline =</t>
  </si>
  <si>
    <t>Syarat Koreksi =</t>
  </si>
  <si>
    <t>b. Perhitungan LCB waterline</t>
  </si>
  <si>
    <t>Lcb NSP =</t>
  </si>
  <si>
    <t>e% * Ldispl</t>
  </si>
  <si>
    <t>LCB.wl = LCB.simson =</t>
  </si>
  <si>
    <t>Koreksi LCB.wl =</t>
  </si>
  <si>
    <t>Syarat Koreksi LCB =</t>
  </si>
  <si>
    <t>±0.1 %</t>
  </si>
  <si>
    <t>7. Pembuatan A/2T dan B/2</t>
  </si>
  <si>
    <t>a. Pembuatan A/2T</t>
  </si>
  <si>
    <t>A/2T</t>
  </si>
  <si>
    <t>b. Pembuatan B/2 (waterline)</t>
  </si>
  <si>
    <t>B/2</t>
  </si>
  <si>
    <t>(B/2)*s</t>
  </si>
  <si>
    <t>∑(B/2)*s</t>
  </si>
  <si>
    <t>Menentukan Sudut Masuk</t>
  </si>
  <si>
    <t>ϕf =</t>
  </si>
  <si>
    <t>ϕLpp + (1.40 - ϕLpp) * e</t>
  </si>
  <si>
    <t>ϕLpp =</t>
  </si>
  <si>
    <t>(Ldispl / Lpp) * ϕnsp</t>
  </si>
  <si>
    <t>ϕnsp =</t>
  </si>
  <si>
    <t>Koefisien Prismatik dari NSP</t>
  </si>
  <si>
    <t>Sehingga :</t>
  </si>
  <si>
    <t>Sebelum</t>
  </si>
  <si>
    <t>Koreksi LCB=</t>
  </si>
  <si>
    <t xml:space="preserve">sehingga didapatkan nilai sudut masuk sebebesar: </t>
  </si>
  <si>
    <t>Koreksi Luas Bidang Garis Air ( Awl )</t>
  </si>
  <si>
    <t>Awl =</t>
  </si>
  <si>
    <t>Lwl x B x Cwl</t>
  </si>
  <si>
    <t>Cbwl =</t>
  </si>
  <si>
    <t>Cb x ( Lpp/Lwl )</t>
  </si>
  <si>
    <t>Cb =</t>
  </si>
  <si>
    <t>Koefisien blok pada diagram NSP</t>
  </si>
  <si>
    <t>Cwl =</t>
  </si>
  <si>
    <t>0.248 + ( 0.778 Cbwl )</t>
  </si>
  <si>
    <t>m2</t>
  </si>
  <si>
    <t>Awl.simson =</t>
  </si>
  <si>
    <t>(2/3) x h.lpp x ∑(B/2)*s</t>
  </si>
  <si>
    <t>h = hLpp =</t>
  </si>
  <si>
    <t>Koreksi Awl =</t>
  </si>
  <si>
    <t>8. Membuat Linggi Haluan dan Buritan</t>
  </si>
  <si>
    <t>a. Bentuk Linggu Haluan</t>
  </si>
  <si>
    <t>Panjang Garis Air (Lwl)</t>
  </si>
  <si>
    <t>Luas Midship ( Am )</t>
  </si>
  <si>
    <t>b. Bentuk Linggi Buritan</t>
  </si>
  <si>
    <t>D =</t>
  </si>
  <si>
    <t>0.65T =</t>
  </si>
  <si>
    <t>a =</t>
  </si>
  <si>
    <t>0.33T =</t>
  </si>
  <si>
    <t>b =</t>
  </si>
  <si>
    <t>0.35T =</t>
  </si>
  <si>
    <t>e =</t>
  </si>
  <si>
    <t>0.12T =</t>
  </si>
  <si>
    <t>L.geladak =</t>
  </si>
  <si>
    <t>meter</t>
  </si>
  <si>
    <t>9. Membuat Bdeck/2</t>
  </si>
  <si>
    <t>Bwl/2</t>
  </si>
  <si>
    <t>Bdeck/2</t>
  </si>
  <si>
    <t>AP :  0.8-0.9B =</t>
  </si>
  <si>
    <t>0.8 x B =</t>
  </si>
  <si>
    <t>FP : 0.5-0.6 =</t>
  </si>
  <si>
    <t>0.5 x B =</t>
  </si>
  <si>
    <t>0.05 Lpp =</t>
  </si>
  <si>
    <t>10. Menggambar Bodyplan</t>
  </si>
  <si>
    <t>a. Menghitung Jari - jari Bilga</t>
  </si>
  <si>
    <t>A1 =</t>
  </si>
  <si>
    <t>A2 =</t>
  </si>
  <si>
    <t>Maka :</t>
  </si>
  <si>
    <t>R =</t>
  </si>
  <si>
    <t>b. Menggambar Body Plan</t>
  </si>
  <si>
    <t>Station -2, -1 dan 0 tanpa acuan luas A1 dan A2</t>
  </si>
  <si>
    <t>Station 1 - 20 menggunakan acuan luas A1 dan A2</t>
  </si>
  <si>
    <t>Luas A1</t>
  </si>
  <si>
    <t>Luas A2</t>
  </si>
  <si>
    <t>Selisih</t>
  </si>
  <si>
    <t>% Selisih</t>
  </si>
  <si>
    <t>11. Menggambar Sentline</t>
  </si>
  <si>
    <t>Masukkan Jika Ada</t>
  </si>
  <si>
    <t>12. Menggambar Waterline</t>
  </si>
  <si>
    <t>Bagi WL menjadi beberapa bagian, misalnya</t>
  </si>
  <si>
    <t>WL 0 m</t>
  </si>
  <si>
    <t>WL 0.5 m</t>
  </si>
  <si>
    <t>WL 1 m</t>
  </si>
  <si>
    <t>WL 2 m</t>
  </si>
  <si>
    <t>WL 3 m</t>
  </si>
  <si>
    <t>WL 4 m</t>
  </si>
  <si>
    <t>WL 5 m</t>
  </si>
  <si>
    <t>WL 5.6 m ( Draft / Sarat Air )</t>
  </si>
  <si>
    <t>13. Poop Deck, Forecastle Deck dan Bulwark</t>
  </si>
  <si>
    <t>Sebelum menggambar poop deck, forecastel dan bulwark perlu diperlakukan perhitungan :</t>
  </si>
  <si>
    <t>1. Jarak Gading ( Frame Spacing )</t>
  </si>
  <si>
    <t>2. Sekat - sekat ( Bulkhead</t>
  </si>
  <si>
    <t>3. Double Bottom</t>
  </si>
  <si>
    <t>Jarak Gading ( Frame Spacing )</t>
  </si>
  <si>
    <t>A0 =</t>
  </si>
  <si>
    <t>mm</t>
  </si>
  <si>
    <t>Harga jarak gading diambil sebagai berikut :</t>
  </si>
  <si>
    <t>a. Pada sekat ceruk buritan</t>
  </si>
  <si>
    <t>b. Pada kamar mesin</t>
  </si>
  <si>
    <t>c. Pada ruang muat</t>
  </si>
  <si>
    <t>d. Pada sekat ceruk haluan</t>
  </si>
  <si>
    <t>1. AP ke 0.35T</t>
  </si>
  <si>
    <t>Panjang Awal 0.35 T =</t>
  </si>
  <si>
    <t>Jarak gading =</t>
  </si>
  <si>
    <t>Jumlah jarak gading =</t>
  </si>
  <si>
    <t>Pembulatan =</t>
  </si>
  <si>
    <t xml:space="preserve">Jarak gading </t>
  </si>
  <si>
    <t>Sehingga, panjang sebenarnya menjadi =</t>
  </si>
  <si>
    <t>Nomor gading =</t>
  </si>
  <si>
    <t>Minimal 3 jarak gading dari 0.35T, sehingga panjang Sterntube bulkhead dari</t>
  </si>
  <si>
    <t>Jarak dari 0.35 T =</t>
  </si>
  <si>
    <t>Nomor jarak gading =</t>
  </si>
  <si>
    <t>Total panjang sterntube bulkhead dari AP =</t>
  </si>
  <si>
    <t>3. Sekat Kamaar Mesin ( Engine room Bulkhead )</t>
  </si>
  <si>
    <t>Panjang sekat kamar mesin (engine room bulkhead ), 17 - 20% Lpp dari AP</t>
  </si>
  <si>
    <t>Diambil 18% =</t>
  </si>
  <si>
    <t>mm dari AP</t>
  </si>
  <si>
    <t>Panjang sekat kamar mesin (engine room bulkhead ), dari sekat Sterntube Bulkhead</t>
  </si>
  <si>
    <t>Panjang awal =</t>
  </si>
  <si>
    <t>mm dari dari sekat Sterntube Bulkhead</t>
  </si>
  <si>
    <t>Jarak gading</t>
  </si>
  <si>
    <t>Sehingga panjang sebenarnya menjadi =</t>
  </si>
  <si>
    <t>mm dari sekat Sterntube Bulkhead</t>
  </si>
  <si>
    <t>4. Sekat Ruang Muat ( Cargo Hold )</t>
  </si>
  <si>
    <t>Sekat panjang ruang muat ( awal ) =</t>
  </si>
  <si>
    <t>mm dari sekat Sterntube</t>
  </si>
  <si>
    <t xml:space="preserve">Nomor jarak gading = </t>
  </si>
  <si>
    <t>5. Sekat Ceruk Haluan ( Collision Bulkhead )</t>
  </si>
  <si>
    <t>Panjang sekat ceruk haluan ( Cullision Bukhead ), 5 - 8% Lpp dari FP</t>
  </si>
  <si>
    <t>Panjang awal, diambil sebesar 8% =</t>
  </si>
  <si>
    <t>Sekat Caruk Haluan ( Cullision Bulkhead ) dimulai dari gading no. =</t>
  </si>
  <si>
    <t>Gading Pada Sekat</t>
  </si>
  <si>
    <t>Panjang (mm)</t>
  </si>
  <si>
    <t>Jumlah Gading</t>
  </si>
  <si>
    <t>No. Jarak Gading</t>
  </si>
  <si>
    <t>AP ke 0.35T</t>
  </si>
  <si>
    <t>Sekat ceruk Buritan (Sterntube Bulkhead) min. 3 fs dari 0.35T</t>
  </si>
  <si>
    <t>Sekat kamar mesin (Engine room Bukhead ) 17 - 20% Lpp dari AP, diambil 18%</t>
  </si>
  <si>
    <t>Sekat ruang muat (Cargo Hold)</t>
  </si>
  <si>
    <t>Sekat Ceruk Haluan (Consilision Bulkhead), 5 - 8% Lpp</t>
  </si>
  <si>
    <t>Nama Kapal</t>
  </si>
  <si>
    <t>MTM Antwerp</t>
  </si>
  <si>
    <t>Oil tanker/chemical tanker</t>
  </si>
  <si>
    <t>Panjang Keseluruhan (LOA)</t>
  </si>
  <si>
    <t>Nama:</t>
  </si>
  <si>
    <t>Daffa Gabillah Maulana Gapur</t>
  </si>
  <si>
    <t>NRP:</t>
  </si>
  <si>
    <t>Kelas:</t>
  </si>
  <si>
    <t>D4ME2C</t>
  </si>
  <si>
    <t>A*S*N</t>
  </si>
  <si>
    <t>b.) Prosentase  ( % ) luas kapal pada Setiap Station Ldsplc</t>
  </si>
  <si>
    <t>Sudut 15 derajat dimaskkan ke AutoCAD</t>
  </si>
  <si>
    <t>Hetch</t>
  </si>
  <si>
    <t>Luas Area</t>
  </si>
  <si>
    <t>A*2</t>
  </si>
  <si>
    <t>%selisih</t>
  </si>
  <si>
    <t>A/2</t>
  </si>
  <si>
    <t>WL 6 m</t>
  </si>
  <si>
    <t>WL 8 m</t>
  </si>
  <si>
    <t>WL 9 m</t>
  </si>
  <si>
    <t>WL 9.947 m</t>
  </si>
  <si>
    <t>WL 6.4656 m</t>
  </si>
  <si>
    <t>WL 7.3246 m</t>
  </si>
  <si>
    <t>MD</t>
  </si>
  <si>
    <t>WL 7 m</t>
  </si>
  <si>
    <t>Jarak Gading AO</t>
  </si>
  <si>
    <t>AO = L / 500 + 0.48</t>
  </si>
  <si>
    <t>After peak bulkhead</t>
  </si>
  <si>
    <t>B = 0.35 * T</t>
  </si>
  <si>
    <t>Frame</t>
  </si>
  <si>
    <t>Colision bulkhead</t>
  </si>
  <si>
    <t>8% * LPP (m)</t>
  </si>
  <si>
    <t>LPP - 5400 mm - 16800 mm - CB</t>
  </si>
  <si>
    <t>Double bottom</t>
  </si>
  <si>
    <t>Balkhead = + 4 Frame</t>
  </si>
  <si>
    <t>Jadi jarak bulkhad dari AP adalah 9 frame dengan jarak setiap frame 9 mm</t>
  </si>
  <si>
    <t>Ukuran konstruksi</t>
  </si>
  <si>
    <t>Tinggi penumpu tengah tidak boleh kurang dari:</t>
  </si>
  <si>
    <t>B</t>
  </si>
  <si>
    <t>BKI volume II bab 9,gading-gading melintang 1.1 jarak gading-gading. Didepan sekat tubrukan dan dibelakang sekat ceruk buritan, jarak gading pada umumnya tidak boleh lebih dari 600 mm.</t>
  </si>
  <si>
    <t>Cargo 3</t>
  </si>
  <si>
    <t>Cargo 2</t>
  </si>
  <si>
    <t>Cargo 1</t>
  </si>
  <si>
    <t>Cargo 5</t>
  </si>
  <si>
    <t>Cargo 4</t>
  </si>
  <si>
    <t>Panjang cargo (Frame)</t>
  </si>
  <si>
    <t>h_min</t>
  </si>
  <si>
    <t>h_max = 350 + 45 * B</t>
  </si>
  <si>
    <t>Double Bottom; 1.41 m WL</t>
  </si>
  <si>
    <t>Double bottom 2.302 m</t>
  </si>
  <si>
    <t>b = 0.04L =</t>
  </si>
  <si>
    <t>Ship Design for Efficiency and Economy (Volker Bertram) (Z-Library).pdf</t>
  </si>
  <si>
    <t>m^2</t>
  </si>
  <si>
    <t>Panjang Displacement</t>
  </si>
  <si>
    <t>Bulbous bows</t>
  </si>
  <si>
    <r>
      <t>Luas Station (A) m</t>
    </r>
    <r>
      <rPr>
        <vertAlign val="superscript"/>
        <sz val="11"/>
        <color theme="1"/>
        <rFont val="Consolas"/>
        <family val="3"/>
      </rPr>
      <t>2</t>
    </r>
  </si>
  <si>
    <r>
      <t>LCB</t>
    </r>
    <r>
      <rPr>
        <vertAlign val="subscript"/>
        <sz val="11"/>
        <color theme="1"/>
        <rFont val="Consolas"/>
        <family val="3"/>
      </rPr>
      <t xml:space="preserve"> NSP </t>
    </r>
    <r>
      <rPr>
        <sz val="11"/>
        <color theme="1"/>
        <rFont val="Consolas"/>
        <family val="3"/>
      </rPr>
      <t>=</t>
    </r>
  </si>
  <si>
    <r>
      <t>LCB</t>
    </r>
    <r>
      <rPr>
        <b/>
        <vertAlign val="subscript"/>
        <sz val="11"/>
        <color theme="1"/>
        <rFont val="Consolas"/>
        <family val="3"/>
      </rPr>
      <t xml:space="preserve"> NSP </t>
    </r>
    <r>
      <rPr>
        <b/>
        <sz val="11"/>
        <color theme="1"/>
        <rFont val="Consolas"/>
        <family val="3"/>
      </rPr>
      <t>=</t>
    </r>
  </si>
  <si>
    <r>
      <t>LCB</t>
    </r>
    <r>
      <rPr>
        <b/>
        <vertAlign val="subscript"/>
        <sz val="11"/>
        <color theme="1"/>
        <rFont val="Consolas"/>
        <family val="3"/>
      </rPr>
      <t xml:space="preserve"> displ </t>
    </r>
    <r>
      <rPr>
        <b/>
        <sz val="11"/>
        <color theme="1"/>
        <rFont val="Consolas"/>
        <family val="3"/>
      </rPr>
      <t>=</t>
    </r>
  </si>
  <si>
    <r>
      <t>LCB</t>
    </r>
    <r>
      <rPr>
        <vertAlign val="subscript"/>
        <sz val="11"/>
        <color theme="1"/>
        <rFont val="Consolas"/>
        <family val="3"/>
      </rPr>
      <t xml:space="preserve"> displ </t>
    </r>
    <r>
      <rPr>
        <sz val="11"/>
        <color theme="1"/>
        <rFont val="Consolas"/>
        <family val="3"/>
      </rPr>
      <t>=</t>
    </r>
  </si>
  <si>
    <r>
      <t xml:space="preserve">6. Transformasi ( Merubah )Diagram CSA </t>
    </r>
    <r>
      <rPr>
        <b/>
        <i/>
        <sz val="11"/>
        <color theme="1"/>
        <rFont val="Consolas"/>
        <family val="3"/>
      </rPr>
      <t>(Curve of Sectional Area )</t>
    </r>
    <r>
      <rPr>
        <b/>
        <sz val="11"/>
        <color theme="1"/>
        <rFont val="Consolas"/>
        <family val="3"/>
      </rPr>
      <t>menjadi CSA Lwl dan Lpp</t>
    </r>
  </si>
  <si>
    <r>
      <t>1/4 x π</t>
    </r>
    <r>
      <rPr>
        <sz val="9.9"/>
        <color theme="1"/>
        <rFont val="Consolas"/>
        <family val="3"/>
      </rPr>
      <t xml:space="preserve"> x R</t>
    </r>
    <r>
      <rPr>
        <vertAlign val="superscript"/>
        <sz val="9.9"/>
        <color theme="1"/>
        <rFont val="Consolas"/>
        <family val="3"/>
      </rPr>
      <t>2</t>
    </r>
  </si>
  <si>
    <r>
      <t>1/2 [(BxT) - Am] dan A2 = R</t>
    </r>
    <r>
      <rPr>
        <vertAlign val="superscript"/>
        <sz val="11"/>
        <color theme="1"/>
        <rFont val="Consolas"/>
        <family val="3"/>
      </rPr>
      <t>2</t>
    </r>
    <r>
      <rPr>
        <sz val="11"/>
        <color theme="1"/>
        <rFont val="Consolas"/>
        <family val="3"/>
      </rPr>
      <t>- A1</t>
    </r>
  </si>
  <si>
    <r>
      <t xml:space="preserve">Syarat % Selisih = </t>
    </r>
    <r>
      <rPr>
        <sz val="11"/>
        <color rgb="FFFF0000"/>
        <rFont val="Consolas"/>
        <family val="3"/>
      </rPr>
      <t>±</t>
    </r>
    <r>
      <rPr>
        <sz val="9.9"/>
        <color rgb="FFFF0000"/>
        <rFont val="Consolas"/>
        <family val="3"/>
      </rPr>
      <t xml:space="preserve"> 0.1%</t>
    </r>
  </si>
  <si>
    <r>
      <t>: ≤</t>
    </r>
    <r>
      <rPr>
        <sz val="9.9"/>
        <color theme="1"/>
        <rFont val="Consolas"/>
        <family val="3"/>
      </rPr>
      <t xml:space="preserve"> 600 mm</t>
    </r>
  </si>
  <si>
    <r>
      <t>: ≤</t>
    </r>
    <r>
      <rPr>
        <sz val="9.9"/>
        <color theme="1"/>
        <rFont val="Consolas"/>
        <family val="3"/>
      </rPr>
      <t xml:space="preserve"> 1000 mm</t>
    </r>
  </si>
  <si>
    <t>B_B / B_MS</t>
  </si>
  <si>
    <t>[dimensionless]</t>
  </si>
  <si>
    <t>C_BB</t>
  </si>
  <si>
    <t>1. The breadth parameter</t>
  </si>
  <si>
    <t>B_B</t>
  </si>
  <si>
    <t>B_MS</t>
  </si>
  <si>
    <t>0.15 * B</t>
  </si>
  <si>
    <t>0.1 * B</t>
  </si>
  <si>
    <t>2. The length parameter</t>
  </si>
  <si>
    <t>LPR</t>
  </si>
  <si>
    <t>LPP</t>
  </si>
  <si>
    <t>0.18 &lt;= CBB &lt;= 0.2</t>
  </si>
  <si>
    <t>0.03 * LPP</t>
  </si>
  <si>
    <t>0.04 * LPP</t>
  </si>
  <si>
    <t>CZB</t>
  </si>
  <si>
    <t>ZB</t>
  </si>
  <si>
    <t>CLPR</t>
  </si>
  <si>
    <t>LPR / LPP</t>
  </si>
  <si>
    <t>TFP</t>
  </si>
  <si>
    <t>ZB / TFP</t>
  </si>
  <si>
    <t>0.4 * T</t>
  </si>
  <si>
    <t>0.5 * T</t>
  </si>
  <si>
    <t>3. The depth parameter</t>
  </si>
  <si>
    <t>0.26 &lt;= CZB &lt;= 0.55</t>
  </si>
  <si>
    <t>frame</t>
  </si>
  <si>
    <t>B/15</t>
  </si>
  <si>
    <t>WL 0.705 m</t>
  </si>
  <si>
    <t>Wing Tank</t>
  </si>
  <si>
    <t>marpoltraining - Annex I - Chapter 4 - Part A</t>
  </si>
  <si>
    <t>2. Sekat Ceruk Buritan (Sterntube Bulkhead)</t>
  </si>
  <si>
    <t>Jumlah gading =</t>
  </si>
  <si>
    <t>diambil</t>
  </si>
  <si>
    <t>0322040051</t>
  </si>
  <si>
    <t>SatuanPanjang</t>
  </si>
  <si>
    <t>ft</t>
  </si>
  <si>
    <t>in</t>
  </si>
  <si>
    <t>yard</t>
  </si>
  <si>
    <t>Nominal_satuan_panjang_dari_meter</t>
  </si>
  <si>
    <t>Nominal_satuan_panjang_dari_ft</t>
  </si>
  <si>
    <t>Nominal_satuan_panjang_dari_in</t>
  </si>
  <si>
    <t>Nominal_satuan_panjang_dari_yard</t>
  </si>
  <si>
    <t>SatuanKecepatan</t>
  </si>
  <si>
    <t>m/s</t>
  </si>
  <si>
    <t>m/min</t>
  </si>
  <si>
    <t>km/s</t>
  </si>
  <si>
    <t>km/hr</t>
  </si>
  <si>
    <t>m/hr</t>
  </si>
  <si>
    <t>INPUT DATA KAPAL</t>
  </si>
  <si>
    <t>LPP + (4% * LPP)</t>
  </si>
  <si>
    <t>*B_B == maximum breadth of bulb area A_BT</t>
  </si>
  <si>
    <t>*B_MS == breadth of the midship</t>
  </si>
  <si>
    <t>Syarat CLPR=</t>
  </si>
  <si>
    <t>0.03 &lt;= CLPR &lt;= 0.04</t>
  </si>
  <si>
    <t>Syarat CZB</t>
  </si>
  <si>
    <t>Syarat CBB</t>
  </si>
  <si>
    <t>Referensi:</t>
  </si>
  <si>
    <t>1. Design of Bulbous Bow (Kracht Alfred M.) (Z-Library).pdf</t>
  </si>
  <si>
    <t>2. Optimal design method of bulbous bow for fishing vessels.pdf https://doi.org/10.1016/j.ijnaoe.2021.10.006</t>
  </si>
  <si>
    <t>SUM:</t>
  </si>
  <si>
    <t>m^3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</si>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</sst>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"/>
    <numFmt numFmtId="166" formatCode="0.0000"/>
    <numFmt numFmtId="167" formatCode="0.0"/>
    <numFmt numFmtId="168" formatCode="0E+00"/>
    <numFmt numFmtId="171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2"/>
      <color theme="1"/>
      <name val="Consolas"/>
      <family val="3"/>
    </font>
    <font>
      <b/>
      <sz val="12"/>
      <color theme="1"/>
      <name val="Consolas"/>
      <family val="3"/>
    </font>
    <font>
      <b/>
      <sz val="14"/>
      <color theme="1"/>
      <name val="Consolas"/>
      <family val="3"/>
    </font>
    <font>
      <b/>
      <sz val="11"/>
      <color theme="1"/>
      <name val="Consolas"/>
      <family val="3"/>
    </font>
    <font>
      <vertAlign val="superscript"/>
      <sz val="11"/>
      <color theme="1"/>
      <name val="Consolas"/>
      <family val="3"/>
    </font>
    <font>
      <b/>
      <sz val="11"/>
      <color rgb="FFFF0000"/>
      <name val="Consolas"/>
      <family val="3"/>
    </font>
    <font>
      <vertAlign val="subscript"/>
      <sz val="11"/>
      <color theme="1"/>
      <name val="Consolas"/>
      <family val="3"/>
    </font>
    <font>
      <b/>
      <vertAlign val="subscript"/>
      <sz val="11"/>
      <color theme="1"/>
      <name val="Consolas"/>
      <family val="3"/>
    </font>
    <font>
      <b/>
      <i/>
      <sz val="11"/>
      <color theme="1"/>
      <name val="Consolas"/>
      <family val="3"/>
    </font>
    <font>
      <sz val="9.9"/>
      <color theme="1"/>
      <name val="Consolas"/>
      <family val="3"/>
    </font>
    <font>
      <vertAlign val="superscript"/>
      <sz val="9.9"/>
      <color theme="1"/>
      <name val="Consolas"/>
      <family val="3"/>
    </font>
    <font>
      <sz val="11"/>
      <color rgb="FFFF0000"/>
      <name val="Consolas"/>
      <family val="3"/>
    </font>
    <font>
      <sz val="9.9"/>
      <color rgb="FFFF0000"/>
      <name val="Consolas"/>
      <family val="3"/>
    </font>
    <font>
      <b/>
      <sz val="11"/>
      <color rgb="FF000000"/>
      <name val="Consolas"/>
      <family val="3"/>
    </font>
    <font>
      <sz val="11"/>
      <color rgb="FF000000"/>
      <name val="Consolas"/>
      <family val="3"/>
    </font>
    <font>
      <sz val="1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2" fontId="1" fillId="2" borderId="0" xfId="0" applyNumberFormat="1" applyFont="1" applyFill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10" fontId="1" fillId="2" borderId="0" xfId="0" applyNumberFormat="1" applyFont="1" applyFill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9" fontId="1" fillId="0" borderId="1" xfId="0" applyNumberFormat="1" applyFont="1" applyBorder="1" applyAlignment="1">
      <alignment horizontal="left" vertical="top"/>
    </xf>
    <xf numFmtId="10" fontId="1" fillId="0" borderId="1" xfId="0" applyNumberFormat="1" applyFont="1" applyBorder="1" applyAlignment="1">
      <alignment horizontal="left" vertical="top"/>
    </xf>
    <xf numFmtId="164" fontId="1" fillId="2" borderId="0" xfId="0" applyNumberFormat="1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165" fontId="1" fillId="2" borderId="0" xfId="0" applyNumberFormat="1" applyFont="1" applyFill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66" fontId="1" fillId="0" borderId="0" xfId="0" applyNumberFormat="1" applyFont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166" fontId="1" fillId="2" borderId="0" xfId="0" applyNumberFormat="1" applyFont="1" applyFill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167" fontId="1" fillId="0" borderId="1" xfId="0" applyNumberFormat="1" applyFont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1" fontId="16" fillId="0" borderId="1" xfId="0" applyNumberFormat="1" applyFont="1" applyBorder="1" applyAlignment="1">
      <alignment horizontal="left" vertical="top"/>
    </xf>
    <xf numFmtId="166" fontId="16" fillId="0" borderId="1" xfId="0" applyNumberFormat="1" applyFont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1" fontId="1" fillId="0" borderId="2" xfId="0" applyNumberFormat="1" applyFont="1" applyBorder="1" applyAlignment="1">
      <alignment horizontal="left" vertical="top"/>
    </xf>
    <xf numFmtId="166" fontId="1" fillId="0" borderId="2" xfId="0" applyNumberFormat="1" applyFont="1" applyBorder="1" applyAlignment="1">
      <alignment horizontal="left" vertical="top"/>
    </xf>
    <xf numFmtId="1" fontId="1" fillId="0" borderId="0" xfId="0" applyNumberFormat="1" applyFont="1" applyAlignment="1">
      <alignment horizontal="left" vertical="top"/>
    </xf>
    <xf numFmtId="166" fontId="1" fillId="0" borderId="3" xfId="0" applyNumberFormat="1" applyFont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1" fillId="0" borderId="0" xfId="0" applyFont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6" borderId="10" xfId="0" applyFont="1" applyFill="1" applyBorder="1" applyAlignment="1">
      <alignment horizontal="left" vertical="top" wrapText="1"/>
    </xf>
    <xf numFmtId="0" fontId="1" fillId="6" borderId="11" xfId="0" applyFont="1" applyFill="1" applyBorder="1" applyAlignment="1">
      <alignment horizontal="left" vertical="top"/>
    </xf>
    <xf numFmtId="0" fontId="1" fillId="6" borderId="11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6" borderId="14" xfId="0" applyFont="1" applyFill="1" applyBorder="1" applyAlignment="1">
      <alignment horizontal="left" vertical="top"/>
    </xf>
    <xf numFmtId="0" fontId="2" fillId="2" borderId="15" xfId="0" applyFont="1" applyFill="1" applyBorder="1" applyAlignment="1">
      <alignment horizontal="left" vertical="top"/>
    </xf>
    <xf numFmtId="0" fontId="1" fillId="2" borderId="16" xfId="0" applyFont="1" applyFill="1" applyBorder="1" applyAlignment="1">
      <alignment horizontal="left" vertical="top"/>
    </xf>
    <xf numFmtId="0" fontId="1" fillId="2" borderId="17" xfId="0" applyFont="1" applyFill="1" applyBorder="1" applyAlignment="1">
      <alignment horizontal="left" vertical="top"/>
    </xf>
    <xf numFmtId="0" fontId="1" fillId="4" borderId="15" xfId="0" applyFont="1" applyFill="1" applyBorder="1" applyAlignment="1">
      <alignment horizontal="left" vertical="top"/>
    </xf>
    <xf numFmtId="0" fontId="1" fillId="4" borderId="16" xfId="0" applyFont="1" applyFill="1" applyBorder="1" applyAlignment="1">
      <alignment horizontal="left" vertical="top"/>
    </xf>
    <xf numFmtId="0" fontId="1" fillId="4" borderId="17" xfId="0" applyFont="1" applyFill="1" applyBorder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6" borderId="0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left" vertical="top"/>
    </xf>
    <xf numFmtId="171" fontId="1" fillId="0" borderId="0" xfId="0" applyNumberFormat="1" applyFont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</cellXfs>
  <cellStyles count="1">
    <cellStyle name="Normal" xfId="0" builtinId="0"/>
  </cellStyles>
  <dxfs count="9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1466851</xdr:colOff>
      <xdr:row>96</xdr:row>
      <xdr:rowOff>14287</xdr:rowOff>
    </xdr:from>
    <xdr:ext cx="1895474" cy="32143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66851" y="17206912"/>
          <a:ext cx="1895474" cy="321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US" sz="1100" i="0" u="none">
              <a:latin typeface="Cambria Math" panose="02040503050406030204" pitchFamily="18" charset="0"/>
            </a:rPr>
            <a:t>|(</a:t>
          </a:r>
          <a:r>
            <a:rPr lang="en-US" sz="1100" b="0" i="0" u="none">
              <a:latin typeface="Cambria Math" panose="02040503050406030204" pitchFamily="18" charset="0"/>
            </a:rPr>
            <a:t>𝑉𝑟𝑢𝑚𝑢𝑠−𝑉𝑠𝑖𝑚𝑠𝑜𝑛)/𝑉𝑟𝑢𝑚𝑢𝑠  |𝑥100</a:t>
          </a:r>
          <a:endParaRPr lang="en-US" sz="1100" u="none"/>
        </a:p>
      </xdr:txBody>
    </xdr:sp>
    <xdr:clientData/>
  </xdr:oneCellAnchor>
  <xdr:oneCellAnchor>
    <xdr:from>
      <xdr:col>3</xdr:col>
      <xdr:colOff>38100</xdr:colOff>
      <xdr:row>129</xdr:row>
      <xdr:rowOff>38100</xdr:rowOff>
    </xdr:from>
    <xdr:ext cx="1778179" cy="32143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577340" y="22410420"/>
          <a:ext cx="1778179" cy="321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i="0">
              <a:latin typeface="Cambria Math" panose="02040503050406030204" pitchFamily="18" charset="0"/>
            </a:rPr>
            <a:t>|(</a:t>
          </a:r>
          <a:r>
            <a:rPr lang="en-US" sz="1100" b="0" i="0">
              <a:latin typeface="Cambria Math" panose="02040503050406030204" pitchFamily="18" charset="0"/>
            </a:rPr>
            <a:t>𝑉𝑟𝑢𝑚𝑢𝑠−𝑉𝑠𝑖𝑚𝑝𝑠𝑜𝑛)/𝑉𝑟𝑢𝑚𝑢𝑠|∗100</a:t>
          </a:r>
          <a:endParaRPr lang="en-US" sz="1100"/>
        </a:p>
      </xdr:txBody>
    </xdr:sp>
    <xdr:clientData/>
  </xdr:oneCellAnchor>
  <xdr:oneCellAnchor>
    <xdr:from>
      <xdr:col>3</xdr:col>
      <xdr:colOff>47625</xdr:colOff>
      <xdr:row>139</xdr:row>
      <xdr:rowOff>47625</xdr:rowOff>
    </xdr:from>
    <xdr:ext cx="943656" cy="30918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589768" y="24123196"/>
          <a:ext cx="943656" cy="309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l-GR" sz="1100" i="0">
              <a:latin typeface="Cambria Math" panose="02040503050406030204" pitchFamily="18" charset="0"/>
              <a:ea typeface="Cambria Math" panose="02040503050406030204" pitchFamily="18" charset="0"/>
            </a:rPr>
            <a:t>Σ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𝐴𝑠𝑁/</a:t>
          </a:r>
          <a:r>
            <a:rPr lang="el-GR" sz="1100" i="0">
              <a:latin typeface="Cambria Math" panose="02040503050406030204" pitchFamily="18" charset="0"/>
              <a:ea typeface="Cambria Math" panose="02040503050406030204" pitchFamily="18" charset="0"/>
            </a:rPr>
            <a:t>Σ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𝐴𝑠</a:t>
          </a:r>
          <a:r>
            <a:rPr lang="en-US" sz="1100" b="0" i="0">
              <a:latin typeface="Cambria Math" panose="02040503050406030204" pitchFamily="18" charset="0"/>
            </a:rPr>
            <a:t>∗𝐻𝑑𝑖𝑠𝑝𝑙</a:t>
          </a:r>
          <a:endParaRPr lang="en-US" sz="1100" b="0"/>
        </a:p>
        <a:p>
          <a:endParaRPr lang="en-US" sz="1100"/>
        </a:p>
      </xdr:txBody>
    </xdr:sp>
    <xdr:clientData/>
  </xdr:oneCellAnchor>
  <xdr:oneCellAnchor>
    <xdr:from>
      <xdr:col>3</xdr:col>
      <xdr:colOff>28575</xdr:colOff>
      <xdr:row>143</xdr:row>
      <xdr:rowOff>0</xdr:rowOff>
    </xdr:from>
    <xdr:ext cx="1835246" cy="24204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3865469" y="25827318"/>
          <a:ext cx="1835246" cy="242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n-US" sz="1100" i="0">
              <a:latin typeface="Cambria Math" panose="02040503050406030204" pitchFamily="18" charset="0"/>
            </a:rPr>
            <a:t>|(</a:t>
          </a:r>
          <a:r>
            <a:rPr lang="en-US" sz="1100" b="0" i="0">
              <a:latin typeface="Cambria Math" panose="02040503050406030204" pitchFamily="18" charset="0"/>
            </a:rPr>
            <a:t>𝐿𝐶𝐵 𝑁𝑆𝑃−𝐿𝐶𝐵 𝐷𝑖𝑠𝑝𝑙)/𝐿𝑑𝑖𝑠𝑝𝑙|∗100</a:t>
          </a:r>
          <a:endParaRPr lang="en-US" sz="1100"/>
        </a:p>
      </xdr:txBody>
    </xdr:sp>
    <xdr:clientData/>
  </xdr:oneCellAnchor>
  <xdr:oneCellAnchor>
    <xdr:from>
      <xdr:col>4</xdr:col>
      <xdr:colOff>0</xdr:colOff>
      <xdr:row>184</xdr:row>
      <xdr:rowOff>1</xdr:rowOff>
    </xdr:from>
    <xdr:ext cx="1279966" cy="3810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613660" y="32598361"/>
          <a:ext cx="1279966" cy="381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n-US" sz="1100" i="0">
              <a:latin typeface="Cambria Math" panose="02040503050406030204" pitchFamily="18" charset="0"/>
            </a:rPr>
            <a:t>(</a:t>
          </a:r>
          <a:r>
            <a:rPr lang="en-US" sz="1100" b="0" i="0">
              <a:latin typeface="Cambria Math" panose="02040503050406030204" pitchFamily="18" charset="0"/>
            </a:rPr>
            <a:t>(𝐿𝑑𝑖𝑠𝑝𝑙 ∗ </a:t>
          </a:r>
          <a:r>
            <a:rPr lang="el-GR" sz="1100" b="0" i="0">
              <a:latin typeface="Cambria Math" panose="02040503050406030204" pitchFamily="18" charset="0"/>
            </a:rPr>
            <a:t>𝛿</a:t>
          </a:r>
          <a:r>
            <a:rPr lang="en-US" sz="1100" b="0" i="0">
              <a:latin typeface="Cambria Math" panose="02040503050406030204" pitchFamily="18" charset="0"/>
            </a:rPr>
            <a:t>𝑑𝑖𝑠𝑝𝑙))/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𝐿𝑤𝑙</a:t>
          </a:r>
          <a:endParaRPr lang="en-US" sz="1100" b="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197</xdr:row>
      <xdr:rowOff>0</xdr:rowOff>
    </xdr:from>
    <xdr:ext cx="1778179" cy="32143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348740" y="34975800"/>
          <a:ext cx="1778179" cy="321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i="0">
              <a:latin typeface="Cambria Math" panose="02040503050406030204" pitchFamily="18" charset="0"/>
            </a:rPr>
            <a:t>|(</a:t>
          </a:r>
          <a:r>
            <a:rPr lang="en-US" sz="1100" b="0" i="0">
              <a:latin typeface="Cambria Math" panose="02040503050406030204" pitchFamily="18" charset="0"/>
            </a:rPr>
            <a:t>𝑉𝑟𝑢𝑚𝑢𝑠−𝑉𝑠𝑖𝑚𝑝𝑠𝑜𝑛)/𝑉𝑟𝑢𝑚𝑢𝑠|∗100</a:t>
          </a:r>
          <a:endParaRPr lang="en-US" sz="1100"/>
        </a:p>
      </xdr:txBody>
    </xdr:sp>
    <xdr:clientData/>
  </xdr:oneCellAnchor>
  <xdr:oneCellAnchor>
    <xdr:from>
      <xdr:col>3</xdr:col>
      <xdr:colOff>0</xdr:colOff>
      <xdr:row>206</xdr:row>
      <xdr:rowOff>0</xdr:rowOff>
    </xdr:from>
    <xdr:ext cx="943656" cy="37147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348740" y="36621720"/>
          <a:ext cx="943656" cy="371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l-GR" sz="1100" i="0">
              <a:latin typeface="Cambria Math" panose="02040503050406030204" pitchFamily="18" charset="0"/>
              <a:ea typeface="Cambria Math" panose="02040503050406030204" pitchFamily="18" charset="0"/>
            </a:rPr>
            <a:t>Σ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𝐴𝑠𝑁/</a:t>
          </a:r>
          <a:r>
            <a:rPr lang="el-GR" sz="1100" i="0">
              <a:latin typeface="Cambria Math" panose="02040503050406030204" pitchFamily="18" charset="0"/>
              <a:ea typeface="Cambria Math" panose="02040503050406030204" pitchFamily="18" charset="0"/>
            </a:rPr>
            <a:t>Σ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𝐴𝑠</a:t>
          </a:r>
          <a:r>
            <a:rPr lang="en-US" sz="1100" b="0" i="0">
              <a:latin typeface="Cambria Math" panose="02040503050406030204" pitchFamily="18" charset="0"/>
            </a:rPr>
            <a:t>∗𝐻𝑙𝑝𝑝</a:t>
          </a:r>
          <a:endParaRPr lang="en-US" sz="1100" b="0"/>
        </a:p>
        <a:p>
          <a:endParaRPr lang="en-US" sz="1100" b="0"/>
        </a:p>
        <a:p>
          <a:endParaRPr lang="en-US" sz="1100"/>
        </a:p>
      </xdr:txBody>
    </xdr:sp>
    <xdr:clientData/>
  </xdr:oneCellAnchor>
  <xdr:oneCellAnchor>
    <xdr:from>
      <xdr:col>3</xdr:col>
      <xdr:colOff>0</xdr:colOff>
      <xdr:row>210</xdr:row>
      <xdr:rowOff>0</xdr:rowOff>
    </xdr:from>
    <xdr:ext cx="2438681" cy="376642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48740" y="37353240"/>
          <a:ext cx="2438681" cy="3766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i="0">
              <a:latin typeface="Cambria Math" panose="02040503050406030204" pitchFamily="18" charset="0"/>
            </a:rPr>
            <a:t>|(</a:t>
          </a:r>
          <a:r>
            <a:rPr lang="en-US" sz="1100" b="0" i="0">
              <a:latin typeface="Cambria Math" panose="02040503050406030204" pitchFamily="18" charset="0"/>
            </a:rPr>
            <a:t>(𝐿𝐶𝐵.𝑛𝑠𝑝 −𝐿𝐶𝐵.𝑤𝑙)−2% 𝐿𝑝𝑝)/𝐿𝑝𝑝|∗100</a:t>
          </a:r>
          <a:endParaRPr lang="en-US" sz="1100"/>
        </a:p>
      </xdr:txBody>
    </xdr:sp>
    <xdr:clientData/>
  </xdr:oneCellAnchor>
  <xdr:oneCellAnchor>
    <xdr:from>
      <xdr:col>3</xdr:col>
      <xdr:colOff>0</xdr:colOff>
      <xdr:row>301</xdr:row>
      <xdr:rowOff>0</xdr:rowOff>
    </xdr:from>
    <xdr:ext cx="1778179" cy="37041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356360" y="53995320"/>
          <a:ext cx="1778179" cy="370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n-US" sz="1100" i="0">
              <a:latin typeface="Cambria Math" panose="02040503050406030204" pitchFamily="18" charset="0"/>
            </a:rPr>
            <a:t>|(</a:t>
          </a:r>
          <a:r>
            <a:rPr lang="en-US" sz="1100" b="0" i="0">
              <a:latin typeface="Cambria Math" panose="02040503050406030204" pitchFamily="18" charset="0"/>
            </a:rPr>
            <a:t>𝐴𝑤𝑙.𝑠𝑖𝑚𝑠𝑜𝑛−𝐴𝑤𝑙)/𝐴𝑤𝑙|∗100</a:t>
          </a:r>
          <a:endParaRPr lang="en-US" sz="1100"/>
        </a:p>
      </xdr:txBody>
    </xdr:sp>
    <xdr:clientData/>
  </xdr:oneCellAnchor>
  <xdr:twoCellAnchor editAs="oneCell">
    <xdr:from>
      <xdr:col>1</xdr:col>
      <xdr:colOff>437445</xdr:colOff>
      <xdr:row>308</xdr:row>
      <xdr:rowOff>148167</xdr:rowOff>
    </xdr:from>
    <xdr:to>
      <xdr:col>3</xdr:col>
      <xdr:colOff>133300</xdr:colOff>
      <xdr:row>318</xdr:row>
      <xdr:rowOff>14111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445" y="55423647"/>
          <a:ext cx="2923353" cy="1694744"/>
        </a:xfrm>
        <a:prstGeom prst="rect">
          <a:avLst/>
        </a:prstGeom>
      </xdr:spPr>
    </xdr:pic>
    <xdr:clientData/>
  </xdr:twoCellAnchor>
  <xdr:twoCellAnchor editAs="oneCell">
    <xdr:from>
      <xdr:col>1</xdr:col>
      <xdr:colOff>183445</xdr:colOff>
      <xdr:row>329</xdr:row>
      <xdr:rowOff>119944</xdr:rowOff>
    </xdr:from>
    <xdr:to>
      <xdr:col>2</xdr:col>
      <xdr:colOff>380024</xdr:colOff>
      <xdr:row>338</xdr:row>
      <xdr:rowOff>155223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445" y="59235904"/>
          <a:ext cx="2626218" cy="1681198"/>
        </a:xfrm>
        <a:prstGeom prst="rect">
          <a:avLst/>
        </a:prstGeom>
      </xdr:spPr>
    </xdr:pic>
    <xdr:clientData/>
  </xdr:twoCellAnchor>
  <xdr:oneCellAnchor>
    <xdr:from>
      <xdr:col>1</xdr:col>
      <xdr:colOff>1105221</xdr:colOff>
      <xdr:row>395</xdr:row>
      <xdr:rowOff>93077</xdr:rowOff>
    </xdr:from>
    <xdr:ext cx="2034501" cy="37964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105221" y="74188052"/>
          <a:ext cx="2034501" cy="3796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n-US" sz="1100"/>
            <a:t>R </a:t>
          </a:r>
          <a:r>
            <a:rPr lang="en-US" sz="1100" i="0">
              <a:latin typeface="Cambria Math" panose="02040503050406030204" pitchFamily="18" charset="0"/>
            </a:rPr>
            <a:t>=√(</a:t>
          </a:r>
          <a:r>
            <a:rPr lang="en-US" sz="1100" b="0" i="0">
              <a:latin typeface="Cambria Math" panose="02040503050406030204" pitchFamily="18" charset="0"/>
            </a:rPr>
            <a:t>1/2[ (𝐵 𝑥 𝑇)−𝐴𝑚]/(1−1/4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 𝜋))</a:t>
          </a:r>
          <a:endParaRPr lang="en-US" sz="1100"/>
        </a:p>
      </xdr:txBody>
    </xdr:sp>
    <xdr:clientData/>
  </xdr:oneCellAnchor>
  <xdr:twoCellAnchor editAs="oneCell">
    <xdr:from>
      <xdr:col>1</xdr:col>
      <xdr:colOff>232834</xdr:colOff>
      <xdr:row>381</xdr:row>
      <xdr:rowOff>21170</xdr:rowOff>
    </xdr:from>
    <xdr:to>
      <xdr:col>2</xdr:col>
      <xdr:colOff>277360</xdr:colOff>
      <xdr:row>390</xdr:row>
      <xdr:rowOff>119944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834" y="71411045"/>
          <a:ext cx="2313870" cy="1813274"/>
        </a:xfrm>
        <a:prstGeom prst="rect">
          <a:avLst/>
        </a:prstGeom>
      </xdr:spPr>
    </xdr:pic>
    <xdr:clientData/>
  </xdr:twoCellAnchor>
  <xdr:oneCellAnchor>
    <xdr:from>
      <xdr:col>3</xdr:col>
      <xdr:colOff>25722</xdr:colOff>
      <xdr:row>392</xdr:row>
      <xdr:rowOff>198913</xdr:rowOff>
    </xdr:from>
    <xdr:ext cx="2009653" cy="41864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340172" y="73693813"/>
          <a:ext cx="2009653" cy="4186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1/2</a:t>
          </a:r>
          <a:r>
            <a:rPr lang="en-US" sz="1100" baseline="0"/>
            <a:t> [(B x T) - Am] = </a:t>
          </a:r>
          <a:r>
            <a:rPr lang="en-US" sz="1100" b="0" i="0" baseline="0">
              <a:latin typeface="Cambria Math" panose="02040503050406030204" pitchFamily="18" charset="0"/>
            </a:rPr>
            <a:t>R^</a:t>
          </a:r>
          <a:r>
            <a:rPr lang="en-US" sz="1100" i="0" baseline="0">
              <a:latin typeface="Cambria Math" panose="02040503050406030204" pitchFamily="18" charset="0"/>
            </a:rPr>
            <a:t>2</a:t>
          </a:r>
          <a:r>
            <a:rPr lang="en-US" sz="1100" b="0" i="0" baseline="0">
              <a:latin typeface="Cambria Math" panose="02040503050406030204" pitchFamily="18" charset="0"/>
            </a:rPr>
            <a:t>−1/4 x </a:t>
          </a:r>
          <a:r>
            <a:rPr lang="el-GR" sz="1100" b="0" i="0" baseline="0">
              <a:latin typeface="Cambria Math" panose="02040503050406030204" pitchFamily="18" charset="0"/>
            </a:rPr>
            <a:t>π</a:t>
          </a:r>
          <a:r>
            <a:rPr lang="en-US" sz="1100" b="0" i="0" baseline="0">
              <a:latin typeface="Cambria Math" panose="02040503050406030204" pitchFamily="18" charset="0"/>
            </a:rPr>
            <a:t> x R^2  </a:t>
          </a:r>
          <a:endParaRPr lang="en-US" sz="1100" b="0" baseline="0"/>
        </a:p>
        <a:p>
          <a:r>
            <a:rPr lang="en-US" sz="1100" baseline="0"/>
            <a:t>=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R^</a:t>
          </a:r>
          <a:r>
            <a:rPr lang="en-US" sz="11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/>
            <a:t> ( 1 - 1/4 </a:t>
          </a:r>
          <a:r>
            <a:rPr lang="el-GR" sz="1100"/>
            <a:t>π</a:t>
          </a:r>
          <a:r>
            <a:rPr lang="en-US" sz="1100"/>
            <a:t> )</a:t>
          </a:r>
        </a:p>
      </xdr:txBody>
    </xdr:sp>
    <xdr:clientData/>
  </xdr:oneCellAnchor>
  <xdr:twoCellAnchor editAs="oneCell">
    <xdr:from>
      <xdr:col>4</xdr:col>
      <xdr:colOff>677334</xdr:colOff>
      <xdr:row>526</xdr:row>
      <xdr:rowOff>7056</xdr:rowOff>
    </xdr:from>
    <xdr:to>
      <xdr:col>7</xdr:col>
      <xdr:colOff>355169</xdr:colOff>
      <xdr:row>537</xdr:row>
      <xdr:rowOff>17992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C85FDA1-8FE2-49BD-96E7-D7C30BBCE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8614" y="94997976"/>
          <a:ext cx="2987604" cy="202261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225779</xdr:colOff>
      <xdr:row>526</xdr:row>
      <xdr:rowOff>7056</xdr:rowOff>
    </xdr:from>
    <xdr:to>
      <xdr:col>3</xdr:col>
      <xdr:colOff>561</xdr:colOff>
      <xdr:row>537</xdr:row>
      <xdr:rowOff>7056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E140ED1-BD74-4239-A4B7-D324CAD47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79" y="94997976"/>
          <a:ext cx="3002280" cy="201168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</xdr:col>
      <xdr:colOff>126999</xdr:colOff>
      <xdr:row>547</xdr:row>
      <xdr:rowOff>141111</xdr:rowOff>
    </xdr:from>
    <xdr:ext cx="1545167" cy="5291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EDFF0655-6A42-4C41-9136-858E48E0721E}"/>
                </a:ext>
              </a:extLst>
            </xdr:cNvPr>
            <xdr:cNvSpPr txBox="1"/>
          </xdr:nvSpPr>
          <xdr:spPr>
            <a:xfrm>
              <a:off x="126999" y="98972511"/>
              <a:ext cx="1545167" cy="5291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/>
                <a:t>A0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𝐿𝑝𝑝</m:t>
                      </m:r>
                    </m:num>
                    <m:den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500</m:t>
                      </m:r>
                    </m:den>
                  </m:f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+0.480 [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400" b="0"/>
            </a:p>
            <a:p>
              <a:endParaRPr lang="en-US" sz="14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EDFF0655-6A42-4C41-9136-858E48E0721E}"/>
                </a:ext>
              </a:extLst>
            </xdr:cNvPr>
            <xdr:cNvSpPr txBox="1"/>
          </xdr:nvSpPr>
          <xdr:spPr>
            <a:xfrm>
              <a:off x="126999" y="98972511"/>
              <a:ext cx="1545167" cy="5291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/>
                <a:t>A0 = </a:t>
              </a:r>
              <a:r>
                <a:rPr lang="en-US" sz="1400" b="0" i="0">
                  <a:latin typeface="Cambria Math" panose="02040503050406030204" pitchFamily="18" charset="0"/>
                </a:rPr>
                <a:t>𝐿𝑝𝑝/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500+0.480 [𝑚]</a:t>
              </a:r>
              <a:endParaRPr lang="en-US" sz="1400" b="0"/>
            </a:p>
            <a:p>
              <a:endParaRPr lang="en-US" sz="1400" b="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864"/>
  <sheetViews>
    <sheetView tabSelected="1" topLeftCell="A408" zoomScale="85" zoomScaleNormal="85" workbookViewId="0">
      <selection activeCell="F408" sqref="F408"/>
    </sheetView>
  </sheetViews>
  <sheetFormatPr defaultRowHeight="14.4" x14ac:dyDescent="0.3"/>
  <cols>
    <col min="1" max="1" width="8.88671875" style="3"/>
    <col min="2" max="2" width="35.44140625" style="3" customWidth="1"/>
    <col min="3" max="3" width="11.6640625" style="3" customWidth="1"/>
    <col min="4" max="4" width="18.109375" style="3" customWidth="1"/>
    <col min="5" max="10" width="16.109375" style="3" customWidth="1"/>
    <col min="11" max="11" width="17.5546875" style="3" customWidth="1"/>
    <col min="12" max="12" width="11.33203125" style="3" customWidth="1"/>
    <col min="13" max="13" width="16.109375" style="3" customWidth="1"/>
    <col min="14" max="14" width="11.33203125" style="3" customWidth="1"/>
    <col min="15" max="15" width="16.109375" style="3" customWidth="1"/>
    <col min="16" max="16" width="12.33203125" style="3" customWidth="1"/>
    <col min="17" max="17" width="13.21875" style="3" customWidth="1"/>
    <col min="18" max="18" width="8.88671875" style="3"/>
    <col min="19" max="19" width="16.109375" style="3" customWidth="1"/>
    <col min="20" max="20" width="16.5546875" style="3" customWidth="1"/>
    <col min="21" max="21" width="11.88671875" style="3" customWidth="1"/>
    <col min="22" max="22" width="15.33203125" style="3" customWidth="1"/>
    <col min="23" max="16384" width="8.88671875" style="3"/>
  </cols>
  <sheetData>
    <row r="1" spans="2:8" ht="18" x14ac:dyDescent="0.3">
      <c r="B1" s="84" t="s">
        <v>0</v>
      </c>
      <c r="C1" s="84"/>
      <c r="D1" s="84"/>
      <c r="E1" s="84"/>
      <c r="F1" s="4"/>
    </row>
    <row r="3" spans="2:8" x14ac:dyDescent="0.3">
      <c r="B3" s="3" t="s">
        <v>250</v>
      </c>
      <c r="D3" s="3" t="s">
        <v>251</v>
      </c>
    </row>
    <row r="4" spans="2:8" x14ac:dyDescent="0.3">
      <c r="B4" s="3" t="s">
        <v>252</v>
      </c>
      <c r="D4" s="49" t="s">
        <v>344</v>
      </c>
    </row>
    <row r="5" spans="2:8" x14ac:dyDescent="0.3">
      <c r="B5" s="3" t="s">
        <v>253</v>
      </c>
      <c r="D5" s="3" t="s">
        <v>254</v>
      </c>
    </row>
    <row r="6" spans="2:8" s="43" customFormat="1" x14ac:dyDescent="0.3"/>
    <row r="7" spans="2:8" x14ac:dyDescent="0.3">
      <c r="B7" s="85" t="s">
        <v>1</v>
      </c>
      <c r="C7" s="85"/>
      <c r="D7" s="85"/>
      <c r="E7" s="85"/>
      <c r="F7" s="5"/>
    </row>
    <row r="8" spans="2:8" x14ac:dyDescent="0.3">
      <c r="B8" s="6" t="s">
        <v>246</v>
      </c>
      <c r="C8" s="6"/>
      <c r="D8" s="87" t="s">
        <v>247</v>
      </c>
      <c r="E8" s="87"/>
    </row>
    <row r="9" spans="2:8" x14ac:dyDescent="0.3">
      <c r="B9" s="6" t="s">
        <v>2</v>
      </c>
      <c r="C9" s="6"/>
      <c r="D9" s="83" t="s">
        <v>248</v>
      </c>
      <c r="E9" s="83"/>
      <c r="F9" s="41"/>
    </row>
    <row r="10" spans="2:8" s="43" customFormat="1" x14ac:dyDescent="0.3">
      <c r="B10" s="42"/>
      <c r="C10" s="42"/>
      <c r="D10" s="44"/>
      <c r="E10" s="44"/>
      <c r="F10" s="41"/>
    </row>
    <row r="11" spans="2:8" s="43" customFormat="1" x14ac:dyDescent="0.3">
      <c r="B11" s="42"/>
      <c r="C11" s="42"/>
      <c r="D11" s="44"/>
      <c r="E11" s="44"/>
      <c r="F11" s="41" t="s">
        <v>346</v>
      </c>
      <c r="G11" s="43" t="s">
        <v>348</v>
      </c>
    </row>
    <row r="12" spans="2:8" x14ac:dyDescent="0.3">
      <c r="B12" s="6" t="s">
        <v>249</v>
      </c>
      <c r="C12" s="6"/>
      <c r="D12" s="7">
        <f>LOA_m</f>
        <v>145.53</v>
      </c>
      <c r="E12" s="7" t="s">
        <v>8</v>
      </c>
      <c r="F12" s="41">
        <f>D12 * m_to_ft</f>
        <v>477.46062991935003</v>
      </c>
      <c r="G12" s="3">
        <f>D12 * m_to_yard</f>
        <v>159.153543301599</v>
      </c>
    </row>
    <row r="13" spans="2:8" x14ac:dyDescent="0.3">
      <c r="B13" s="6" t="s">
        <v>3</v>
      </c>
      <c r="C13" s="6"/>
      <c r="D13" s="6">
        <f>LPP_m</f>
        <v>137</v>
      </c>
      <c r="E13" s="6" t="s">
        <v>8</v>
      </c>
      <c r="F13" s="41">
        <f>D13 * m_to_ft</f>
        <v>449.47506561500001</v>
      </c>
      <c r="G13" s="43">
        <f>D13 * m_to_yard</f>
        <v>149.82502186709999</v>
      </c>
      <c r="H13" s="43"/>
    </row>
    <row r="14" spans="2:8" x14ac:dyDescent="0.3">
      <c r="B14" s="6" t="s">
        <v>4</v>
      </c>
      <c r="C14" s="6"/>
      <c r="D14" s="6">
        <f>B_m</f>
        <v>23.7</v>
      </c>
      <c r="E14" s="6" t="s">
        <v>8</v>
      </c>
      <c r="F14" s="41">
        <f>D14 * m_to_ft</f>
        <v>77.755905511500004</v>
      </c>
      <c r="G14" s="43">
        <f>D14 * m_to_yard</f>
        <v>25.918635169709997</v>
      </c>
      <c r="H14" s="43"/>
    </row>
    <row r="15" spans="2:8" x14ac:dyDescent="0.3">
      <c r="B15" s="6" t="s">
        <v>5</v>
      </c>
      <c r="C15" s="6"/>
      <c r="D15" s="6">
        <f>H_m</f>
        <v>13.34</v>
      </c>
      <c r="E15" s="6" t="s">
        <v>8</v>
      </c>
      <c r="F15" s="41">
        <f>D15 * m_to_ft</f>
        <v>43.766404199299998</v>
      </c>
      <c r="G15" s="43">
        <f>D15 * m_to_yard</f>
        <v>14.588801399322</v>
      </c>
      <c r="H15" s="43"/>
    </row>
    <row r="16" spans="2:8" x14ac:dyDescent="0.3">
      <c r="B16" s="6" t="s">
        <v>6</v>
      </c>
      <c r="C16" s="6"/>
      <c r="D16" s="6">
        <f>T_m</f>
        <v>9.9469999999999992</v>
      </c>
      <c r="E16" s="6" t="s">
        <v>8</v>
      </c>
      <c r="F16" s="41">
        <f>D16 * m_to_ft</f>
        <v>32.634514435565002</v>
      </c>
      <c r="G16" s="43">
        <f>D16 * m_to_yard</f>
        <v>10.878171478190099</v>
      </c>
      <c r="H16" s="43"/>
    </row>
    <row r="17" spans="2:6" x14ac:dyDescent="0.3">
      <c r="B17" s="6" t="s">
        <v>7</v>
      </c>
      <c r="C17" s="6"/>
      <c r="D17" s="6">
        <f>Vs_m</f>
        <v>16.3</v>
      </c>
      <c r="E17" s="6" t="s">
        <v>9</v>
      </c>
    </row>
    <row r="19" spans="2:6" ht="15.6" x14ac:dyDescent="0.3">
      <c r="B19" s="2" t="s">
        <v>11</v>
      </c>
      <c r="C19" s="2"/>
    </row>
    <row r="20" spans="2:6" x14ac:dyDescent="0.3">
      <c r="B20" s="85" t="s">
        <v>12</v>
      </c>
      <c r="C20" s="85"/>
      <c r="D20" s="85"/>
      <c r="E20" s="85"/>
      <c r="F20" s="5"/>
    </row>
    <row r="21" spans="2:6" x14ac:dyDescent="0.3">
      <c r="B21" s="3" t="s">
        <v>13</v>
      </c>
      <c r="D21" s="3" t="s">
        <v>360</v>
      </c>
    </row>
    <row r="22" spans="2:6" x14ac:dyDescent="0.3">
      <c r="B22" s="3" t="s">
        <v>10</v>
      </c>
      <c r="D22" s="8">
        <f>LPP_m+(4%*LPP_m)</f>
        <v>142.47999999999999</v>
      </c>
      <c r="E22" s="3" t="s">
        <v>8</v>
      </c>
    </row>
    <row r="24" spans="2:6" x14ac:dyDescent="0.3">
      <c r="B24" s="5" t="s">
        <v>14</v>
      </c>
      <c r="C24" s="5"/>
    </row>
    <row r="25" spans="2:6" x14ac:dyDescent="0.3">
      <c r="B25" s="3" t="s">
        <v>15</v>
      </c>
      <c r="D25" s="3" t="s">
        <v>16</v>
      </c>
    </row>
    <row r="26" spans="2:6" x14ac:dyDescent="0.3">
      <c r="D26" s="8">
        <f>1/2*(D22+D13)</f>
        <v>139.74</v>
      </c>
    </row>
    <row r="27" spans="2:6" x14ac:dyDescent="0.3">
      <c r="B27" s="3" t="s">
        <v>17</v>
      </c>
      <c r="D27" s="3">
        <v>3.28084</v>
      </c>
      <c r="E27" s="3" t="s">
        <v>18</v>
      </c>
    </row>
    <row r="28" spans="2:6" x14ac:dyDescent="0.3">
      <c r="B28" s="3" t="s">
        <v>15</v>
      </c>
      <c r="D28" s="8">
        <f>D26*D27</f>
        <v>458.46458160000003</v>
      </c>
      <c r="E28" s="3" t="s">
        <v>18</v>
      </c>
    </row>
    <row r="30" spans="2:6" x14ac:dyDescent="0.3">
      <c r="B30" s="5" t="s">
        <v>24</v>
      </c>
      <c r="C30" s="5"/>
    </row>
    <row r="31" spans="2:6" x14ac:dyDescent="0.3">
      <c r="B31" s="3" t="s">
        <v>19</v>
      </c>
    </row>
    <row r="32" spans="2:6" x14ac:dyDescent="0.3">
      <c r="B32" s="3" t="s">
        <v>52</v>
      </c>
      <c r="D32" s="3" t="s">
        <v>20</v>
      </c>
    </row>
    <row r="33" spans="2:12" x14ac:dyDescent="0.3">
      <c r="B33" s="3" t="s">
        <v>21</v>
      </c>
      <c r="D33" s="3" t="s">
        <v>22</v>
      </c>
    </row>
    <row r="35" spans="2:12" x14ac:dyDescent="0.3">
      <c r="B35" s="3" t="s">
        <v>23</v>
      </c>
    </row>
    <row r="36" spans="2:12" x14ac:dyDescent="0.3">
      <c r="B36" s="3" t="s">
        <v>25</v>
      </c>
      <c r="D36" s="9">
        <f>D17/SQRT(D28)</f>
        <v>0.7612629776142148</v>
      </c>
    </row>
    <row r="37" spans="2:12" x14ac:dyDescent="0.3">
      <c r="D37" s="10"/>
    </row>
    <row r="38" spans="2:12" x14ac:dyDescent="0.3">
      <c r="B38" s="5" t="s">
        <v>28</v>
      </c>
      <c r="C38" s="5"/>
      <c r="D38" s="10"/>
    </row>
    <row r="39" spans="2:12" x14ac:dyDescent="0.3">
      <c r="B39" s="3" t="s">
        <v>29</v>
      </c>
    </row>
    <row r="40" spans="2:12" x14ac:dyDescent="0.3">
      <c r="B40" s="5" t="s">
        <v>26</v>
      </c>
      <c r="C40" s="5"/>
    </row>
    <row r="41" spans="2:12" x14ac:dyDescent="0.3">
      <c r="B41" s="3" t="s">
        <v>39</v>
      </c>
      <c r="D41" s="8">
        <v>0.98199999999999998</v>
      </c>
      <c r="G41" s="3" t="s">
        <v>81</v>
      </c>
    </row>
    <row r="42" spans="2:12" x14ac:dyDescent="0.3">
      <c r="B42" s="3" t="s">
        <v>40</v>
      </c>
      <c r="D42" s="8">
        <v>0.68</v>
      </c>
      <c r="G42" s="3" t="s">
        <v>82</v>
      </c>
    </row>
    <row r="43" spans="2:12" x14ac:dyDescent="0.3">
      <c r="B43" s="3" t="s">
        <v>41</v>
      </c>
      <c r="D43" s="8">
        <v>0.69</v>
      </c>
      <c r="G43" s="3" t="s">
        <v>83</v>
      </c>
    </row>
    <row r="44" spans="2:12" x14ac:dyDescent="0.3">
      <c r="B44" s="3" t="s">
        <v>33</v>
      </c>
      <c r="D44" s="11">
        <v>5.0000000000000001E-3</v>
      </c>
      <c r="E44" s="86" t="s">
        <v>27</v>
      </c>
      <c r="F44" s="86"/>
      <c r="G44" s="86"/>
    </row>
    <row r="46" spans="2:12" x14ac:dyDescent="0.3">
      <c r="B46" s="5" t="s">
        <v>256</v>
      </c>
      <c r="C46" s="5"/>
    </row>
    <row r="47" spans="2:12" x14ac:dyDescent="0.3">
      <c r="J47" s="58"/>
      <c r="K47" s="58"/>
      <c r="L47" s="58"/>
    </row>
    <row r="48" spans="2:12" x14ac:dyDescent="0.3">
      <c r="B48" s="12" t="s">
        <v>30</v>
      </c>
      <c r="C48" s="12" t="s">
        <v>31</v>
      </c>
      <c r="D48" s="12" t="s">
        <v>32</v>
      </c>
      <c r="E48" s="12" t="s">
        <v>36</v>
      </c>
      <c r="F48" s="12" t="s">
        <v>34</v>
      </c>
      <c r="G48" s="12" t="s">
        <v>35</v>
      </c>
      <c r="H48" s="12" t="s">
        <v>37</v>
      </c>
      <c r="I48" s="12" t="s">
        <v>38</v>
      </c>
      <c r="J48" s="59"/>
      <c r="K48" s="60"/>
      <c r="L48" s="60"/>
    </row>
    <row r="49" spans="2:12" x14ac:dyDescent="0.3">
      <c r="B49" s="6">
        <v>0</v>
      </c>
      <c r="C49" s="13">
        <v>0</v>
      </c>
      <c r="D49" s="6">
        <v>231.5</v>
      </c>
      <c r="E49" s="6">
        <f t="shared" ref="E49:E69" si="0">C49*D49</f>
        <v>0</v>
      </c>
      <c r="F49" s="6">
        <v>1</v>
      </c>
      <c r="G49" s="6">
        <f t="shared" ref="G49:G69" si="1">E49*F49</f>
        <v>0</v>
      </c>
      <c r="H49" s="6">
        <v>-10</v>
      </c>
      <c r="I49" s="6">
        <f>G49*H49</f>
        <v>0</v>
      </c>
      <c r="J49" s="59"/>
      <c r="K49" s="60"/>
      <c r="L49" s="60"/>
    </row>
    <row r="50" spans="2:12" x14ac:dyDescent="0.3">
      <c r="B50" s="6">
        <v>1</v>
      </c>
      <c r="C50" s="13">
        <v>0.11</v>
      </c>
      <c r="D50" s="6">
        <v>231.5</v>
      </c>
      <c r="E50" s="6">
        <f t="shared" si="0"/>
        <v>25.465</v>
      </c>
      <c r="F50" s="6">
        <v>4</v>
      </c>
      <c r="G50" s="6">
        <f t="shared" si="1"/>
        <v>101.86</v>
      </c>
      <c r="H50" s="6">
        <v>-9</v>
      </c>
      <c r="I50" s="6">
        <f t="shared" ref="I50:I69" si="2">G50*H50</f>
        <v>-916.74</v>
      </c>
      <c r="J50" s="59"/>
      <c r="K50" s="60"/>
      <c r="L50" s="60"/>
    </row>
    <row r="51" spans="2:12" x14ac:dyDescent="0.3">
      <c r="B51" s="6">
        <v>2</v>
      </c>
      <c r="C51" s="13">
        <v>0.28000000000000003</v>
      </c>
      <c r="D51" s="6">
        <v>231.5</v>
      </c>
      <c r="E51" s="6">
        <f t="shared" si="0"/>
        <v>64.820000000000007</v>
      </c>
      <c r="F51" s="6">
        <v>2</v>
      </c>
      <c r="G51" s="6">
        <f t="shared" si="1"/>
        <v>129.64000000000001</v>
      </c>
      <c r="H51" s="6">
        <v>-8</v>
      </c>
      <c r="I51" s="6">
        <f t="shared" si="2"/>
        <v>-1037.1200000000001</v>
      </c>
      <c r="J51" s="59"/>
      <c r="K51" s="60"/>
      <c r="L51" s="60"/>
    </row>
    <row r="52" spans="2:12" x14ac:dyDescent="0.3">
      <c r="B52" s="6">
        <v>3</v>
      </c>
      <c r="C52" s="13">
        <v>0.48</v>
      </c>
      <c r="D52" s="6">
        <v>231.5</v>
      </c>
      <c r="E52" s="6">
        <f t="shared" si="0"/>
        <v>111.11999999999999</v>
      </c>
      <c r="F52" s="6">
        <v>4</v>
      </c>
      <c r="G52" s="6">
        <f t="shared" si="1"/>
        <v>444.47999999999996</v>
      </c>
      <c r="H52" s="6">
        <v>-7</v>
      </c>
      <c r="I52" s="6">
        <f t="shared" si="2"/>
        <v>-3111.3599999999997</v>
      </c>
      <c r="J52" s="59"/>
      <c r="K52" s="60"/>
      <c r="L52" s="60"/>
    </row>
    <row r="53" spans="2:12" x14ac:dyDescent="0.3">
      <c r="B53" s="6">
        <v>4</v>
      </c>
      <c r="C53" s="13">
        <v>0.68</v>
      </c>
      <c r="D53" s="6">
        <v>231.5</v>
      </c>
      <c r="E53" s="6">
        <f t="shared" si="0"/>
        <v>157.42000000000002</v>
      </c>
      <c r="F53" s="6">
        <v>2</v>
      </c>
      <c r="G53" s="6">
        <f t="shared" si="1"/>
        <v>314.84000000000003</v>
      </c>
      <c r="H53" s="6">
        <v>-6</v>
      </c>
      <c r="I53" s="6">
        <f t="shared" si="2"/>
        <v>-1889.0400000000002</v>
      </c>
      <c r="J53" s="59"/>
      <c r="K53" s="60"/>
      <c r="L53" s="60"/>
    </row>
    <row r="54" spans="2:12" x14ac:dyDescent="0.3">
      <c r="B54" s="6">
        <v>5</v>
      </c>
      <c r="C54" s="13">
        <v>0.83</v>
      </c>
      <c r="D54" s="6">
        <v>231.5</v>
      </c>
      <c r="E54" s="6">
        <f t="shared" si="0"/>
        <v>192.14499999999998</v>
      </c>
      <c r="F54" s="6">
        <v>4</v>
      </c>
      <c r="G54" s="6">
        <f t="shared" si="1"/>
        <v>768.57999999999993</v>
      </c>
      <c r="H54" s="6">
        <v>-5</v>
      </c>
      <c r="I54" s="6">
        <f t="shared" si="2"/>
        <v>-3842.8999999999996</v>
      </c>
      <c r="J54" s="59"/>
      <c r="K54" s="60"/>
      <c r="L54" s="60"/>
    </row>
    <row r="55" spans="2:12" x14ac:dyDescent="0.3">
      <c r="B55" s="6">
        <v>6</v>
      </c>
      <c r="C55" s="13">
        <v>0.93</v>
      </c>
      <c r="D55" s="6">
        <v>231.5</v>
      </c>
      <c r="E55" s="6">
        <f t="shared" si="0"/>
        <v>215.29500000000002</v>
      </c>
      <c r="F55" s="6">
        <v>2</v>
      </c>
      <c r="G55" s="6">
        <f t="shared" si="1"/>
        <v>430.59000000000003</v>
      </c>
      <c r="H55" s="6">
        <v>-4</v>
      </c>
      <c r="I55" s="6">
        <f t="shared" si="2"/>
        <v>-1722.3600000000001</v>
      </c>
      <c r="J55" s="59"/>
      <c r="K55" s="60"/>
      <c r="L55" s="60"/>
    </row>
    <row r="56" spans="2:12" x14ac:dyDescent="0.3">
      <c r="B56" s="6">
        <v>7</v>
      </c>
      <c r="C56" s="13">
        <v>0.97</v>
      </c>
      <c r="D56" s="6">
        <v>231.5</v>
      </c>
      <c r="E56" s="6">
        <f t="shared" si="0"/>
        <v>224.55500000000001</v>
      </c>
      <c r="F56" s="6">
        <v>4</v>
      </c>
      <c r="G56" s="6">
        <f t="shared" si="1"/>
        <v>898.22</v>
      </c>
      <c r="H56" s="6">
        <v>-3</v>
      </c>
      <c r="I56" s="6">
        <f t="shared" si="2"/>
        <v>-2694.66</v>
      </c>
      <c r="J56" s="59"/>
      <c r="K56" s="60"/>
      <c r="L56" s="60"/>
    </row>
    <row r="57" spans="2:12" x14ac:dyDescent="0.3">
      <c r="B57" s="6">
        <v>8</v>
      </c>
      <c r="C57" s="13">
        <v>1</v>
      </c>
      <c r="D57" s="6">
        <v>231.5</v>
      </c>
      <c r="E57" s="6">
        <f t="shared" si="0"/>
        <v>231.5</v>
      </c>
      <c r="F57" s="6">
        <v>2</v>
      </c>
      <c r="G57" s="6">
        <f t="shared" si="1"/>
        <v>463</v>
      </c>
      <c r="H57" s="6">
        <v>-2</v>
      </c>
      <c r="I57" s="6">
        <f t="shared" si="2"/>
        <v>-926</v>
      </c>
      <c r="J57" s="59"/>
      <c r="K57" s="60"/>
      <c r="L57" s="60"/>
    </row>
    <row r="58" spans="2:12" x14ac:dyDescent="0.3">
      <c r="B58" s="6">
        <v>9</v>
      </c>
      <c r="C58" s="13">
        <v>1</v>
      </c>
      <c r="D58" s="6">
        <v>231.5</v>
      </c>
      <c r="E58" s="6">
        <f t="shared" si="0"/>
        <v>231.5</v>
      </c>
      <c r="F58" s="6">
        <v>4</v>
      </c>
      <c r="G58" s="6">
        <f t="shared" si="1"/>
        <v>926</v>
      </c>
      <c r="H58" s="6">
        <v>-1</v>
      </c>
      <c r="I58" s="6">
        <f t="shared" si="2"/>
        <v>-926</v>
      </c>
      <c r="J58" s="59"/>
      <c r="K58" s="60"/>
      <c r="L58" s="60"/>
    </row>
    <row r="59" spans="2:12" x14ac:dyDescent="0.3">
      <c r="B59" s="6">
        <v>10</v>
      </c>
      <c r="C59" s="13">
        <v>1</v>
      </c>
      <c r="D59" s="6">
        <v>231.5</v>
      </c>
      <c r="E59" s="6">
        <f t="shared" si="0"/>
        <v>231.5</v>
      </c>
      <c r="F59" s="6">
        <v>2</v>
      </c>
      <c r="G59" s="6">
        <f t="shared" si="1"/>
        <v>463</v>
      </c>
      <c r="H59" s="6">
        <v>0</v>
      </c>
      <c r="I59" s="6">
        <f t="shared" si="2"/>
        <v>0</v>
      </c>
      <c r="J59" s="59"/>
      <c r="K59" s="60"/>
      <c r="L59" s="60"/>
    </row>
    <row r="60" spans="2:12" x14ac:dyDescent="0.3">
      <c r="B60" s="6">
        <v>11</v>
      </c>
      <c r="C60" s="13">
        <v>1</v>
      </c>
      <c r="D60" s="6">
        <v>231.5</v>
      </c>
      <c r="E60" s="6">
        <f t="shared" si="0"/>
        <v>231.5</v>
      </c>
      <c r="F60" s="6">
        <v>4</v>
      </c>
      <c r="G60" s="6">
        <f t="shared" si="1"/>
        <v>926</v>
      </c>
      <c r="H60" s="6">
        <v>1</v>
      </c>
      <c r="I60" s="6">
        <f t="shared" si="2"/>
        <v>926</v>
      </c>
      <c r="J60" s="59"/>
      <c r="K60" s="60"/>
      <c r="L60" s="60"/>
    </row>
    <row r="61" spans="2:12" x14ac:dyDescent="0.3">
      <c r="B61" s="6">
        <v>12</v>
      </c>
      <c r="C61" s="13">
        <v>1</v>
      </c>
      <c r="D61" s="6">
        <v>231.5</v>
      </c>
      <c r="E61" s="6">
        <f t="shared" si="0"/>
        <v>231.5</v>
      </c>
      <c r="F61" s="6">
        <v>2</v>
      </c>
      <c r="G61" s="6">
        <f t="shared" si="1"/>
        <v>463</v>
      </c>
      <c r="H61" s="6">
        <v>2</v>
      </c>
      <c r="I61" s="6">
        <f t="shared" si="2"/>
        <v>926</v>
      </c>
      <c r="J61" s="59"/>
      <c r="K61" s="60"/>
      <c r="L61" s="60"/>
    </row>
    <row r="62" spans="2:12" x14ac:dyDescent="0.3">
      <c r="B62" s="6">
        <v>13</v>
      </c>
      <c r="C62" s="13">
        <v>1</v>
      </c>
      <c r="D62" s="6">
        <v>231.5</v>
      </c>
      <c r="E62" s="6">
        <f t="shared" si="0"/>
        <v>231.5</v>
      </c>
      <c r="F62" s="6">
        <v>4</v>
      </c>
      <c r="G62" s="6">
        <f t="shared" si="1"/>
        <v>926</v>
      </c>
      <c r="H62" s="6">
        <v>3</v>
      </c>
      <c r="I62" s="6">
        <f t="shared" si="2"/>
        <v>2778</v>
      </c>
      <c r="J62" s="59"/>
      <c r="K62" s="60"/>
      <c r="L62" s="60"/>
    </row>
    <row r="63" spans="2:12" x14ac:dyDescent="0.3">
      <c r="B63" s="6">
        <v>14</v>
      </c>
      <c r="C63" s="13">
        <v>0.95</v>
      </c>
      <c r="D63" s="6">
        <v>231.5</v>
      </c>
      <c r="E63" s="6">
        <f t="shared" si="0"/>
        <v>219.92499999999998</v>
      </c>
      <c r="F63" s="6">
        <v>2</v>
      </c>
      <c r="G63" s="6">
        <f t="shared" si="1"/>
        <v>439.84999999999997</v>
      </c>
      <c r="H63" s="6">
        <v>4</v>
      </c>
      <c r="I63" s="6">
        <f t="shared" si="2"/>
        <v>1759.3999999999999</v>
      </c>
      <c r="J63" s="59"/>
      <c r="K63" s="60"/>
      <c r="L63" s="60"/>
    </row>
    <row r="64" spans="2:12" x14ac:dyDescent="0.3">
      <c r="B64" s="6">
        <v>15</v>
      </c>
      <c r="C64" s="13">
        <v>0.87</v>
      </c>
      <c r="D64" s="6">
        <v>231.5</v>
      </c>
      <c r="E64" s="6">
        <f t="shared" si="0"/>
        <v>201.405</v>
      </c>
      <c r="F64" s="6">
        <v>4</v>
      </c>
      <c r="G64" s="6">
        <f t="shared" si="1"/>
        <v>805.62</v>
      </c>
      <c r="H64" s="6">
        <v>5</v>
      </c>
      <c r="I64" s="6">
        <f t="shared" si="2"/>
        <v>4028.1</v>
      </c>
      <c r="J64" s="59"/>
      <c r="K64" s="60"/>
      <c r="L64" s="60"/>
    </row>
    <row r="65" spans="2:12" x14ac:dyDescent="0.3">
      <c r="B65" s="6">
        <v>16</v>
      </c>
      <c r="C65" s="14">
        <v>0.72</v>
      </c>
      <c r="D65" s="6">
        <v>231.5</v>
      </c>
      <c r="E65" s="6">
        <f t="shared" si="0"/>
        <v>166.68</v>
      </c>
      <c r="F65" s="6">
        <v>2</v>
      </c>
      <c r="G65" s="6">
        <f t="shared" si="1"/>
        <v>333.36</v>
      </c>
      <c r="H65" s="6">
        <v>6</v>
      </c>
      <c r="I65" s="6">
        <f t="shared" si="2"/>
        <v>2000.16</v>
      </c>
      <c r="J65" s="59"/>
      <c r="K65" s="60"/>
      <c r="L65" s="60"/>
    </row>
    <row r="66" spans="2:12" x14ac:dyDescent="0.3">
      <c r="B66" s="6">
        <v>17</v>
      </c>
      <c r="C66" s="14">
        <v>0.53</v>
      </c>
      <c r="D66" s="6">
        <v>231.5</v>
      </c>
      <c r="E66" s="6">
        <f t="shared" si="0"/>
        <v>122.69500000000001</v>
      </c>
      <c r="F66" s="6">
        <v>4</v>
      </c>
      <c r="G66" s="6">
        <f t="shared" si="1"/>
        <v>490.78000000000003</v>
      </c>
      <c r="H66" s="6">
        <v>7</v>
      </c>
      <c r="I66" s="6">
        <f t="shared" si="2"/>
        <v>3435.46</v>
      </c>
      <c r="J66" s="59"/>
      <c r="K66" s="60"/>
      <c r="L66" s="60"/>
    </row>
    <row r="67" spans="2:12" x14ac:dyDescent="0.3">
      <c r="B67" s="6">
        <v>18</v>
      </c>
      <c r="C67" s="13">
        <v>0.32</v>
      </c>
      <c r="D67" s="6">
        <v>231.5</v>
      </c>
      <c r="E67" s="6">
        <f t="shared" si="0"/>
        <v>74.08</v>
      </c>
      <c r="F67" s="6">
        <v>2</v>
      </c>
      <c r="G67" s="6">
        <f t="shared" si="1"/>
        <v>148.16</v>
      </c>
      <c r="H67" s="6">
        <v>8</v>
      </c>
      <c r="I67" s="6">
        <f t="shared" si="2"/>
        <v>1185.28</v>
      </c>
      <c r="J67" s="59"/>
      <c r="K67" s="60"/>
      <c r="L67" s="60"/>
    </row>
    <row r="68" spans="2:12" x14ac:dyDescent="0.3">
      <c r="B68" s="6">
        <v>19</v>
      </c>
      <c r="C68" s="13">
        <v>0.12</v>
      </c>
      <c r="D68" s="6">
        <v>231.5</v>
      </c>
      <c r="E68" s="6">
        <f t="shared" si="0"/>
        <v>27.779999999999998</v>
      </c>
      <c r="F68" s="6">
        <v>4</v>
      </c>
      <c r="G68" s="6">
        <f t="shared" si="1"/>
        <v>111.11999999999999</v>
      </c>
      <c r="H68" s="6">
        <v>9</v>
      </c>
      <c r="I68" s="6">
        <f t="shared" si="2"/>
        <v>1000.0799999999999</v>
      </c>
      <c r="J68" s="59"/>
      <c r="K68" s="60"/>
      <c r="L68" s="60"/>
    </row>
    <row r="69" spans="2:12" x14ac:dyDescent="0.3">
      <c r="B69" s="6">
        <v>20</v>
      </c>
      <c r="C69" s="13">
        <v>0</v>
      </c>
      <c r="D69" s="6">
        <v>231.5</v>
      </c>
      <c r="E69" s="6">
        <f t="shared" si="0"/>
        <v>0</v>
      </c>
      <c r="F69" s="6">
        <v>1</v>
      </c>
      <c r="G69" s="6">
        <f t="shared" si="1"/>
        <v>0</v>
      </c>
      <c r="H69" s="6">
        <v>10</v>
      </c>
      <c r="I69" s="6">
        <f t="shared" si="2"/>
        <v>0</v>
      </c>
      <c r="J69" s="59"/>
      <c r="K69" s="60"/>
      <c r="L69" s="60"/>
    </row>
    <row r="70" spans="2:12" x14ac:dyDescent="0.3">
      <c r="F70" s="6" t="s">
        <v>53</v>
      </c>
      <c r="G70" s="12">
        <f>SUM(G49:G69)</f>
        <v>9584.1000000000022</v>
      </c>
      <c r="H70" s="6" t="s">
        <v>54</v>
      </c>
      <c r="I70" s="12">
        <f>SUM(I49:I69)</f>
        <v>972.2999999999995</v>
      </c>
      <c r="J70" s="59"/>
      <c r="K70" s="60"/>
      <c r="L70" s="60"/>
    </row>
    <row r="71" spans="2:12" x14ac:dyDescent="0.3">
      <c r="J71" s="58"/>
      <c r="K71" s="58"/>
      <c r="L71" s="58"/>
    </row>
    <row r="72" spans="2:12" x14ac:dyDescent="0.3">
      <c r="B72" s="5" t="s">
        <v>42</v>
      </c>
      <c r="C72" s="5"/>
      <c r="J72" s="58"/>
      <c r="K72" s="58"/>
      <c r="L72" s="58"/>
    </row>
    <row r="73" spans="2:12" x14ac:dyDescent="0.3">
      <c r="B73" s="3" t="s">
        <v>43</v>
      </c>
      <c r="D73" s="3" t="s">
        <v>44</v>
      </c>
      <c r="J73" s="58"/>
      <c r="K73" s="58"/>
      <c r="L73" s="58"/>
    </row>
    <row r="74" spans="2:12" x14ac:dyDescent="0.3">
      <c r="B74" s="3" t="s">
        <v>10</v>
      </c>
      <c r="D74" s="9">
        <f>D41*D14*D16</f>
        <v>231.50050979999997</v>
      </c>
      <c r="E74" s="3" t="s">
        <v>298</v>
      </c>
      <c r="J74" s="58"/>
      <c r="K74" s="58"/>
      <c r="L74" s="58"/>
    </row>
    <row r="75" spans="2:12" x14ac:dyDescent="0.3">
      <c r="B75" s="3" t="s">
        <v>45</v>
      </c>
    </row>
    <row r="76" spans="2:12" x14ac:dyDescent="0.3">
      <c r="B76" s="3" t="s">
        <v>48</v>
      </c>
      <c r="D76" s="3" t="s">
        <v>299</v>
      </c>
    </row>
    <row r="77" spans="2:12" x14ac:dyDescent="0.3">
      <c r="B77" s="3" t="s">
        <v>46</v>
      </c>
      <c r="D77" s="3" t="s">
        <v>60</v>
      </c>
    </row>
    <row r="78" spans="2:12" x14ac:dyDescent="0.3">
      <c r="B78" s="3" t="s">
        <v>47</v>
      </c>
      <c r="D78" s="3" t="s">
        <v>50</v>
      </c>
    </row>
    <row r="80" spans="2:12" x14ac:dyDescent="0.3">
      <c r="B80" s="5" t="s">
        <v>55</v>
      </c>
      <c r="C80" s="5"/>
    </row>
    <row r="81" spans="2:5" x14ac:dyDescent="0.3">
      <c r="B81" s="5" t="s">
        <v>56</v>
      </c>
      <c r="C81" s="5"/>
      <c r="D81" s="3" t="s">
        <v>57</v>
      </c>
    </row>
    <row r="82" spans="2:5" x14ac:dyDescent="0.3">
      <c r="B82" s="3" t="s">
        <v>10</v>
      </c>
      <c r="D82" s="15">
        <f>D26*D14*D16*D42</f>
        <v>22401.139758480003</v>
      </c>
      <c r="E82" s="3" t="s">
        <v>371</v>
      </c>
    </row>
    <row r="83" spans="2:5" x14ac:dyDescent="0.3">
      <c r="B83" s="3" t="s">
        <v>45</v>
      </c>
    </row>
    <row r="84" spans="2:5" x14ac:dyDescent="0.3">
      <c r="B84" s="3" t="s">
        <v>58</v>
      </c>
      <c r="D84" s="3" t="s">
        <v>49</v>
      </c>
    </row>
    <row r="85" spans="2:5" x14ac:dyDescent="0.3">
      <c r="B85" s="3" t="s">
        <v>46</v>
      </c>
      <c r="D85" s="3" t="s">
        <v>60</v>
      </c>
    </row>
    <row r="86" spans="2:5" x14ac:dyDescent="0.3">
      <c r="B86" s="3" t="s">
        <v>47</v>
      </c>
      <c r="D86" s="3" t="s">
        <v>61</v>
      </c>
    </row>
    <row r="87" spans="2:5" x14ac:dyDescent="0.3">
      <c r="B87" s="3" t="s">
        <v>59</v>
      </c>
      <c r="D87" s="3" t="s">
        <v>51</v>
      </c>
    </row>
    <row r="89" spans="2:5" x14ac:dyDescent="0.3">
      <c r="B89" s="5" t="s">
        <v>62</v>
      </c>
      <c r="C89" s="5"/>
      <c r="D89" s="3" t="s">
        <v>63</v>
      </c>
    </row>
    <row r="90" spans="2:5" x14ac:dyDescent="0.3">
      <c r="B90" s="3" t="s">
        <v>10</v>
      </c>
      <c r="D90" s="8">
        <f>1/3*D93*G70</f>
        <v>22321.368900000001</v>
      </c>
    </row>
    <row r="91" spans="2:5" x14ac:dyDescent="0.3">
      <c r="B91" s="3" t="s">
        <v>45</v>
      </c>
    </row>
    <row r="92" spans="2:5" x14ac:dyDescent="0.3">
      <c r="B92" s="3" t="s">
        <v>64</v>
      </c>
      <c r="D92" s="3" t="s">
        <v>65</v>
      </c>
    </row>
    <row r="93" spans="2:5" x14ac:dyDescent="0.3">
      <c r="B93" s="3" t="s">
        <v>10</v>
      </c>
      <c r="D93" s="8">
        <f>D26/20</f>
        <v>6.9870000000000001</v>
      </c>
    </row>
    <row r="95" spans="2:5" x14ac:dyDescent="0.3">
      <c r="B95" s="5" t="s">
        <v>66</v>
      </c>
      <c r="C95" s="5"/>
    </row>
    <row r="96" spans="2:5" x14ac:dyDescent="0.3">
      <c r="B96" s="3" t="s">
        <v>67</v>
      </c>
    </row>
    <row r="97" spans="2:12" x14ac:dyDescent="0.3">
      <c r="B97" s="3" t="s">
        <v>68</v>
      </c>
    </row>
    <row r="99" spans="2:12" x14ac:dyDescent="0.3">
      <c r="B99" s="3" t="s">
        <v>10</v>
      </c>
      <c r="D99" s="8">
        <f>(D82-D90)/D82*100</f>
        <v>0.35610178473086229</v>
      </c>
      <c r="E99" s="8" t="s">
        <v>75</v>
      </c>
      <c r="F99" s="65" t="str">
        <f>IF(D99&lt;-0.5,"Tidak memenuhi",IF(D99&gt;0.5,"Tidak memenuhi","Memenuhi"))</f>
        <v>Memenuhi</v>
      </c>
    </row>
    <row r="100" spans="2:12" x14ac:dyDescent="0.3">
      <c r="B100" s="3" t="s">
        <v>69</v>
      </c>
      <c r="D100" s="16" t="s">
        <v>70</v>
      </c>
    </row>
    <row r="102" spans="2:12" x14ac:dyDescent="0.3">
      <c r="B102" s="5" t="s">
        <v>71</v>
      </c>
      <c r="C102" s="5"/>
    </row>
    <row r="104" spans="2:12" ht="16.2" x14ac:dyDescent="0.3">
      <c r="B104" s="12" t="s">
        <v>30</v>
      </c>
      <c r="D104" s="12" t="s">
        <v>301</v>
      </c>
      <c r="E104" s="12" t="s">
        <v>34</v>
      </c>
      <c r="F104" s="12" t="s">
        <v>35</v>
      </c>
      <c r="G104" s="12" t="s">
        <v>37</v>
      </c>
      <c r="H104" s="12" t="s">
        <v>38</v>
      </c>
      <c r="I104" s="12"/>
      <c r="J104" s="12"/>
      <c r="L104" s="12"/>
    </row>
    <row r="105" spans="2:12" x14ac:dyDescent="0.3">
      <c r="B105" s="6">
        <v>0</v>
      </c>
      <c r="D105" s="6">
        <v>0</v>
      </c>
      <c r="E105" s="6">
        <v>1</v>
      </c>
      <c r="F105" s="6">
        <f t="shared" ref="F105:F125" si="3">D105*E105</f>
        <v>0</v>
      </c>
      <c r="G105" s="6">
        <v>-10</v>
      </c>
      <c r="H105" s="6">
        <f t="shared" ref="H105:H125" si="4">F105*G105</f>
        <v>0</v>
      </c>
      <c r="I105" s="6"/>
      <c r="J105" s="6"/>
      <c r="L105" s="6"/>
    </row>
    <row r="106" spans="2:12" x14ac:dyDescent="0.3">
      <c r="B106" s="6">
        <v>1</v>
      </c>
      <c r="D106" s="6">
        <v>25.465</v>
      </c>
      <c r="E106" s="6">
        <v>4</v>
      </c>
      <c r="F106" s="6">
        <f t="shared" si="3"/>
        <v>101.86</v>
      </c>
      <c r="G106" s="6">
        <v>-9</v>
      </c>
      <c r="H106" s="6">
        <f t="shared" si="4"/>
        <v>-916.74</v>
      </c>
      <c r="I106" s="6"/>
      <c r="J106" s="6"/>
      <c r="L106" s="6"/>
    </row>
    <row r="107" spans="2:12" x14ac:dyDescent="0.3">
      <c r="B107" s="6">
        <v>2</v>
      </c>
      <c r="D107" s="6">
        <v>64.820000000000007</v>
      </c>
      <c r="E107" s="6">
        <v>2</v>
      </c>
      <c r="F107" s="6">
        <f t="shared" si="3"/>
        <v>129.64000000000001</v>
      </c>
      <c r="G107" s="6">
        <v>-8</v>
      </c>
      <c r="H107" s="6">
        <f t="shared" si="4"/>
        <v>-1037.1200000000001</v>
      </c>
      <c r="I107" s="6"/>
      <c r="J107" s="6"/>
      <c r="L107" s="6"/>
    </row>
    <row r="108" spans="2:12" x14ac:dyDescent="0.3">
      <c r="B108" s="6">
        <v>3</v>
      </c>
      <c r="D108" s="6">
        <v>111.11999999999999</v>
      </c>
      <c r="E108" s="6">
        <v>4</v>
      </c>
      <c r="F108" s="6">
        <f t="shared" si="3"/>
        <v>444.47999999999996</v>
      </c>
      <c r="G108" s="6">
        <v>-7</v>
      </c>
      <c r="H108" s="6">
        <f t="shared" si="4"/>
        <v>-3111.3599999999997</v>
      </c>
      <c r="I108" s="6"/>
      <c r="J108" s="6"/>
      <c r="L108" s="6"/>
    </row>
    <row r="109" spans="2:12" x14ac:dyDescent="0.3">
      <c r="B109" s="6">
        <v>4</v>
      </c>
      <c r="D109" s="6">
        <v>157.42000000000002</v>
      </c>
      <c r="E109" s="6">
        <v>2</v>
      </c>
      <c r="F109" s="6">
        <f t="shared" si="3"/>
        <v>314.84000000000003</v>
      </c>
      <c r="G109" s="6">
        <v>-6</v>
      </c>
      <c r="H109" s="6">
        <f t="shared" si="4"/>
        <v>-1889.0400000000002</v>
      </c>
      <c r="I109" s="6"/>
      <c r="J109" s="6"/>
      <c r="L109" s="6"/>
    </row>
    <row r="110" spans="2:12" x14ac:dyDescent="0.3">
      <c r="B110" s="6">
        <v>5</v>
      </c>
      <c r="D110" s="6">
        <v>192.14499999999998</v>
      </c>
      <c r="E110" s="6">
        <v>4</v>
      </c>
      <c r="F110" s="6">
        <f t="shared" si="3"/>
        <v>768.57999999999993</v>
      </c>
      <c r="G110" s="6">
        <v>-5</v>
      </c>
      <c r="H110" s="6">
        <f t="shared" si="4"/>
        <v>-3842.8999999999996</v>
      </c>
      <c r="I110" s="6"/>
      <c r="J110" s="6"/>
      <c r="L110" s="6"/>
    </row>
    <row r="111" spans="2:12" x14ac:dyDescent="0.3">
      <c r="B111" s="6">
        <v>6</v>
      </c>
      <c r="D111" s="6">
        <v>215.29500000000002</v>
      </c>
      <c r="E111" s="6">
        <v>2</v>
      </c>
      <c r="F111" s="6">
        <f t="shared" si="3"/>
        <v>430.59000000000003</v>
      </c>
      <c r="G111" s="6">
        <v>-4</v>
      </c>
      <c r="H111" s="6">
        <f t="shared" si="4"/>
        <v>-1722.3600000000001</v>
      </c>
      <c r="I111" s="6"/>
      <c r="J111" s="6"/>
      <c r="L111" s="6"/>
    </row>
    <row r="112" spans="2:12" x14ac:dyDescent="0.3">
      <c r="B112" s="6">
        <v>7</v>
      </c>
      <c r="D112" s="6">
        <v>224.55500000000001</v>
      </c>
      <c r="E112" s="6">
        <v>4</v>
      </c>
      <c r="F112" s="6">
        <f t="shared" si="3"/>
        <v>898.22</v>
      </c>
      <c r="G112" s="6">
        <v>-3</v>
      </c>
      <c r="H112" s="6">
        <f t="shared" si="4"/>
        <v>-2694.66</v>
      </c>
      <c r="I112" s="6"/>
      <c r="J112" s="6"/>
      <c r="L112" s="6"/>
    </row>
    <row r="113" spans="2:12" x14ac:dyDescent="0.3">
      <c r="B113" s="6">
        <v>8</v>
      </c>
      <c r="D113" s="6">
        <v>231.5</v>
      </c>
      <c r="E113" s="6">
        <v>2</v>
      </c>
      <c r="F113" s="6">
        <f t="shared" si="3"/>
        <v>463</v>
      </c>
      <c r="G113" s="6">
        <v>-2</v>
      </c>
      <c r="H113" s="6">
        <f t="shared" si="4"/>
        <v>-926</v>
      </c>
      <c r="I113" s="6"/>
      <c r="J113" s="6"/>
      <c r="L113" s="6"/>
    </row>
    <row r="114" spans="2:12" x14ac:dyDescent="0.3">
      <c r="B114" s="6">
        <v>9</v>
      </c>
      <c r="D114" s="6">
        <v>231.5</v>
      </c>
      <c r="E114" s="6">
        <v>4</v>
      </c>
      <c r="F114" s="6">
        <f t="shared" si="3"/>
        <v>926</v>
      </c>
      <c r="G114" s="6">
        <v>-1</v>
      </c>
      <c r="H114" s="6">
        <f t="shared" si="4"/>
        <v>-926</v>
      </c>
      <c r="I114" s="6"/>
      <c r="J114" s="6"/>
      <c r="L114" s="6"/>
    </row>
    <row r="115" spans="2:12" x14ac:dyDescent="0.3">
      <c r="B115" s="6">
        <v>10</v>
      </c>
      <c r="D115" s="6">
        <v>231.5</v>
      </c>
      <c r="E115" s="6">
        <v>2</v>
      </c>
      <c r="F115" s="6">
        <f t="shared" si="3"/>
        <v>463</v>
      </c>
      <c r="G115" s="6">
        <v>0</v>
      </c>
      <c r="H115" s="6">
        <f t="shared" si="4"/>
        <v>0</v>
      </c>
      <c r="I115" s="6"/>
      <c r="J115" s="6"/>
      <c r="L115" s="6"/>
    </row>
    <row r="116" spans="2:12" x14ac:dyDescent="0.3">
      <c r="B116" s="6">
        <v>11</v>
      </c>
      <c r="D116" s="6">
        <v>231.5</v>
      </c>
      <c r="E116" s="6">
        <v>4</v>
      </c>
      <c r="F116" s="6">
        <f t="shared" si="3"/>
        <v>926</v>
      </c>
      <c r="G116" s="6">
        <v>1</v>
      </c>
      <c r="H116" s="6">
        <f t="shared" si="4"/>
        <v>926</v>
      </c>
      <c r="I116" s="6"/>
      <c r="J116" s="6"/>
      <c r="L116" s="6"/>
    </row>
    <row r="117" spans="2:12" x14ac:dyDescent="0.3">
      <c r="B117" s="6">
        <v>12</v>
      </c>
      <c r="D117" s="6">
        <v>231.5</v>
      </c>
      <c r="E117" s="6">
        <v>2</v>
      </c>
      <c r="F117" s="6">
        <f t="shared" si="3"/>
        <v>463</v>
      </c>
      <c r="G117" s="6">
        <v>2</v>
      </c>
      <c r="H117" s="6">
        <f t="shared" si="4"/>
        <v>926</v>
      </c>
      <c r="I117" s="6"/>
      <c r="J117" s="6"/>
      <c r="L117" s="6"/>
    </row>
    <row r="118" spans="2:12" x14ac:dyDescent="0.3">
      <c r="B118" s="6">
        <v>13</v>
      </c>
      <c r="D118" s="6">
        <v>231.5</v>
      </c>
      <c r="E118" s="6">
        <v>4</v>
      </c>
      <c r="F118" s="6">
        <f t="shared" si="3"/>
        <v>926</v>
      </c>
      <c r="G118" s="6">
        <v>3</v>
      </c>
      <c r="H118" s="6">
        <f t="shared" si="4"/>
        <v>2778</v>
      </c>
      <c r="I118" s="6"/>
      <c r="J118" s="6"/>
      <c r="L118" s="6"/>
    </row>
    <row r="119" spans="2:12" x14ac:dyDescent="0.3">
      <c r="B119" s="6">
        <v>14</v>
      </c>
      <c r="D119" s="6">
        <v>219.92499999999998</v>
      </c>
      <c r="E119" s="6">
        <v>2</v>
      </c>
      <c r="F119" s="6">
        <f t="shared" si="3"/>
        <v>439.84999999999997</v>
      </c>
      <c r="G119" s="6">
        <v>4</v>
      </c>
      <c r="H119" s="6">
        <f t="shared" si="4"/>
        <v>1759.3999999999999</v>
      </c>
      <c r="I119" s="6"/>
      <c r="J119" s="6"/>
      <c r="L119" s="6"/>
    </row>
    <row r="120" spans="2:12" x14ac:dyDescent="0.3">
      <c r="B120" s="6">
        <v>15</v>
      </c>
      <c r="D120" s="6">
        <v>201.405</v>
      </c>
      <c r="E120" s="6">
        <v>4</v>
      </c>
      <c r="F120" s="6">
        <f t="shared" si="3"/>
        <v>805.62</v>
      </c>
      <c r="G120" s="6">
        <v>5</v>
      </c>
      <c r="H120" s="6">
        <f t="shared" si="4"/>
        <v>4028.1</v>
      </c>
      <c r="I120" s="6"/>
      <c r="J120" s="6"/>
      <c r="L120" s="6"/>
    </row>
    <row r="121" spans="2:12" x14ac:dyDescent="0.3">
      <c r="B121" s="6">
        <v>16</v>
      </c>
      <c r="D121" s="6">
        <v>166.68</v>
      </c>
      <c r="E121" s="6">
        <v>2</v>
      </c>
      <c r="F121" s="6">
        <f t="shared" si="3"/>
        <v>333.36</v>
      </c>
      <c r="G121" s="6">
        <v>6</v>
      </c>
      <c r="H121" s="6">
        <f t="shared" si="4"/>
        <v>2000.16</v>
      </c>
      <c r="I121" s="6"/>
      <c r="J121" s="6"/>
      <c r="L121" s="6"/>
    </row>
    <row r="122" spans="2:12" x14ac:dyDescent="0.3">
      <c r="B122" s="6">
        <v>17</v>
      </c>
      <c r="D122" s="6">
        <v>122.69500000000001</v>
      </c>
      <c r="E122" s="6">
        <v>4</v>
      </c>
      <c r="F122" s="6">
        <f t="shared" si="3"/>
        <v>490.78000000000003</v>
      </c>
      <c r="G122" s="6">
        <v>7</v>
      </c>
      <c r="H122" s="6">
        <f t="shared" si="4"/>
        <v>3435.46</v>
      </c>
      <c r="I122" s="6"/>
      <c r="J122" s="6"/>
      <c r="L122" s="6"/>
    </row>
    <row r="123" spans="2:12" x14ac:dyDescent="0.3">
      <c r="B123" s="6">
        <v>18</v>
      </c>
      <c r="D123" s="6">
        <v>74.08</v>
      </c>
      <c r="E123" s="6">
        <v>2</v>
      </c>
      <c r="F123" s="6">
        <f t="shared" si="3"/>
        <v>148.16</v>
      </c>
      <c r="G123" s="6">
        <v>8</v>
      </c>
      <c r="H123" s="6">
        <f t="shared" si="4"/>
        <v>1185.28</v>
      </c>
      <c r="I123" s="6"/>
      <c r="J123" s="6"/>
      <c r="L123" s="6"/>
    </row>
    <row r="124" spans="2:12" x14ac:dyDescent="0.3">
      <c r="B124" s="6">
        <v>19</v>
      </c>
      <c r="D124" s="6">
        <v>27.779999999999998</v>
      </c>
      <c r="E124" s="6">
        <v>4</v>
      </c>
      <c r="F124" s="6">
        <f t="shared" si="3"/>
        <v>111.11999999999999</v>
      </c>
      <c r="G124" s="6">
        <v>9</v>
      </c>
      <c r="H124" s="6">
        <f t="shared" si="4"/>
        <v>1000.0799999999999</v>
      </c>
      <c r="I124" s="6"/>
      <c r="J124" s="6"/>
      <c r="L124" s="6"/>
    </row>
    <row r="125" spans="2:12" x14ac:dyDescent="0.3">
      <c r="B125" s="6">
        <v>20</v>
      </c>
      <c r="D125" s="6">
        <v>0</v>
      </c>
      <c r="E125" s="6">
        <v>1</v>
      </c>
      <c r="F125" s="6">
        <f t="shared" si="3"/>
        <v>0</v>
      </c>
      <c r="G125" s="6">
        <v>10</v>
      </c>
      <c r="H125" s="6">
        <f t="shared" si="4"/>
        <v>0</v>
      </c>
      <c r="I125" s="6"/>
      <c r="J125" s="6"/>
      <c r="L125" s="6"/>
    </row>
    <row r="126" spans="2:12" x14ac:dyDescent="0.3">
      <c r="E126" s="12" t="s">
        <v>53</v>
      </c>
      <c r="F126" s="6">
        <f>SUM(F105:F125)</f>
        <v>9584.1000000000022</v>
      </c>
      <c r="G126" s="12" t="s">
        <v>54</v>
      </c>
      <c r="H126" s="6">
        <f>SUM(H105:H125)</f>
        <v>972.2999999999995</v>
      </c>
      <c r="I126" s="6"/>
      <c r="J126" s="6"/>
      <c r="L126" s="12"/>
    </row>
    <row r="128" spans="2:12" x14ac:dyDescent="0.3">
      <c r="B128" s="5" t="s">
        <v>66</v>
      </c>
      <c r="C128" s="5"/>
    </row>
    <row r="129" spans="2:13" x14ac:dyDescent="0.3">
      <c r="B129" s="3" t="s">
        <v>72</v>
      </c>
      <c r="K129" s="5" t="s">
        <v>56</v>
      </c>
      <c r="L129" s="5"/>
      <c r="M129" s="3" t="s">
        <v>57</v>
      </c>
    </row>
    <row r="130" spans="2:13" x14ac:dyDescent="0.3">
      <c r="B130" s="3" t="s">
        <v>73</v>
      </c>
      <c r="K130" s="3" t="s">
        <v>10</v>
      </c>
      <c r="M130" s="15">
        <f>D26*D14*D16*D42</f>
        <v>22401.139758480003</v>
      </c>
    </row>
    <row r="131" spans="2:13" x14ac:dyDescent="0.3">
      <c r="K131" s="5" t="s">
        <v>62</v>
      </c>
      <c r="L131" s="5"/>
      <c r="M131" s="3" t="s">
        <v>63</v>
      </c>
    </row>
    <row r="132" spans="2:13" x14ac:dyDescent="0.3">
      <c r="B132" s="3" t="s">
        <v>74</v>
      </c>
      <c r="D132" s="8">
        <f>(M130-M132)/M130</f>
        <v>3.5610178473086227E-3</v>
      </c>
      <c r="E132" s="8" t="s">
        <v>75</v>
      </c>
      <c r="F132" s="65" t="str">
        <f>IF(D132&lt;-0.5,"Tidak memenuhi",IF(D132&gt;0.5,"Tidak memenuhi","Memenuhi"))</f>
        <v>Memenuhi</v>
      </c>
      <c r="K132" s="3" t="s">
        <v>10</v>
      </c>
      <c r="M132" s="8">
        <f>1/3*D93*F126</f>
        <v>22321.368900000001</v>
      </c>
    </row>
    <row r="133" spans="2:13" x14ac:dyDescent="0.3">
      <c r="B133" s="3" t="s">
        <v>76</v>
      </c>
      <c r="D133" s="16" t="s">
        <v>70</v>
      </c>
    </row>
    <row r="135" spans="2:13" x14ac:dyDescent="0.3">
      <c r="B135" s="3" t="s">
        <v>77</v>
      </c>
    </row>
    <row r="137" spans="2:13" ht="15.6" x14ac:dyDescent="0.3">
      <c r="B137" s="3" t="s">
        <v>302</v>
      </c>
      <c r="D137" s="3" t="s">
        <v>78</v>
      </c>
      <c r="K137" s="8" t="s">
        <v>129</v>
      </c>
      <c r="L137" s="8"/>
    </row>
    <row r="138" spans="2:13" ht="15.6" x14ac:dyDescent="0.3">
      <c r="B138" s="5" t="s">
        <v>303</v>
      </c>
      <c r="C138" s="5"/>
      <c r="D138" s="8">
        <f>D44*D26</f>
        <v>0.6987000000000001</v>
      </c>
      <c r="E138" s="3" t="s">
        <v>8</v>
      </c>
      <c r="K138" s="5" t="s">
        <v>303</v>
      </c>
      <c r="L138" s="5"/>
      <c r="M138" s="3">
        <f>D44*D26</f>
        <v>0.6987000000000001</v>
      </c>
    </row>
    <row r="139" spans="2:13" ht="15.6" x14ac:dyDescent="0.3">
      <c r="K139" s="5" t="s">
        <v>304</v>
      </c>
      <c r="L139" s="5"/>
      <c r="M139" s="3">
        <f>I70/G70*D93</f>
        <v>0.70882608695652116</v>
      </c>
    </row>
    <row r="140" spans="2:13" ht="15.6" x14ac:dyDescent="0.3">
      <c r="B140" s="3" t="s">
        <v>305</v>
      </c>
      <c r="K140" s="3" t="s">
        <v>130</v>
      </c>
      <c r="M140" s="3">
        <f>((M138-M139)*100/D26)</f>
        <v>-7.246376811593719E-3</v>
      </c>
    </row>
    <row r="142" spans="2:13" ht="15.6" x14ac:dyDescent="0.3">
      <c r="B142" s="5" t="s">
        <v>304</v>
      </c>
      <c r="C142" s="5"/>
      <c r="D142" s="17">
        <f>H126/F126*D93</f>
        <v>0.70882608695652116</v>
      </c>
      <c r="E142" s="3" t="s">
        <v>8</v>
      </c>
    </row>
    <row r="144" spans="2:13" x14ac:dyDescent="0.3">
      <c r="B144" s="3" t="s">
        <v>79</v>
      </c>
    </row>
    <row r="146" spans="2:12" x14ac:dyDescent="0.3">
      <c r="B146" s="3" t="s">
        <v>79</v>
      </c>
      <c r="D146" s="8">
        <f>((D138-D142)/D26)*100</f>
        <v>-7.246376811593719E-3</v>
      </c>
      <c r="E146" s="8" t="s">
        <v>75</v>
      </c>
      <c r="F146" s="65" t="str">
        <f>IF(D146&lt;-0.1,"Tidak memenuhi",IF(D146&gt;0.1,"Tidak memenuhi","Memenuhi"))</f>
        <v>Memenuhi</v>
      </c>
      <c r="H146" s="78"/>
      <c r="I146" s="78"/>
      <c r="J146" s="78"/>
    </row>
    <row r="147" spans="2:12" x14ac:dyDescent="0.3">
      <c r="B147" s="3" t="s">
        <v>80</v>
      </c>
      <c r="D147" s="16" t="s">
        <v>113</v>
      </c>
      <c r="H147" s="78"/>
      <c r="I147" s="78"/>
      <c r="J147" s="78"/>
    </row>
    <row r="149" spans="2:12" x14ac:dyDescent="0.3">
      <c r="D149" s="12" t="s">
        <v>84</v>
      </c>
      <c r="E149" s="12" t="s">
        <v>85</v>
      </c>
      <c r="F149" s="8"/>
    </row>
    <row r="150" spans="2:12" x14ac:dyDescent="0.3">
      <c r="B150" s="12" t="s">
        <v>86</v>
      </c>
      <c r="C150" s="12"/>
      <c r="D150" s="6">
        <f>D99</f>
        <v>0.35610178473086229</v>
      </c>
      <c r="E150" s="6">
        <f>D132</f>
        <v>3.5610178473086227E-3</v>
      </c>
      <c r="G150" s="3" t="s">
        <v>87</v>
      </c>
    </row>
    <row r="151" spans="2:12" x14ac:dyDescent="0.3">
      <c r="B151" s="12" t="s">
        <v>88</v>
      </c>
      <c r="C151" s="12"/>
      <c r="D151" s="6">
        <f>M140</f>
        <v>-7.246376811593719E-3</v>
      </c>
      <c r="E151" s="6">
        <f>D146</f>
        <v>-7.246376811593719E-3</v>
      </c>
      <c r="G151" s="3" t="s">
        <v>89</v>
      </c>
    </row>
    <row r="153" spans="2:12" x14ac:dyDescent="0.3">
      <c r="B153" s="5" t="s">
        <v>306</v>
      </c>
      <c r="C153" s="5"/>
    </row>
    <row r="155" spans="2:12" x14ac:dyDescent="0.3">
      <c r="B155" s="12" t="s">
        <v>30</v>
      </c>
      <c r="C155" s="12"/>
      <c r="D155" s="12" t="s">
        <v>90</v>
      </c>
      <c r="E155" s="12" t="s">
        <v>91</v>
      </c>
      <c r="F155" s="12" t="s">
        <v>92</v>
      </c>
      <c r="G155" s="12" t="s">
        <v>37</v>
      </c>
      <c r="H155" s="12" t="s">
        <v>255</v>
      </c>
      <c r="I155" s="12"/>
      <c r="J155" s="12"/>
      <c r="L155" s="12"/>
    </row>
    <row r="156" spans="2:12" x14ac:dyDescent="0.3">
      <c r="B156" s="6">
        <v>-2</v>
      </c>
      <c r="C156" s="6"/>
      <c r="D156" s="12">
        <v>0</v>
      </c>
      <c r="E156" s="6">
        <v>0.4</v>
      </c>
      <c r="F156" s="6">
        <f>D156*E156</f>
        <v>0</v>
      </c>
      <c r="G156" s="6">
        <v>-10.8</v>
      </c>
      <c r="H156" s="6">
        <f>F156*G156</f>
        <v>0</v>
      </c>
      <c r="I156" s="6"/>
      <c r="J156" s="6"/>
      <c r="L156" s="6"/>
    </row>
    <row r="157" spans="2:12" x14ac:dyDescent="0.3">
      <c r="B157" s="6">
        <v>-1</v>
      </c>
      <c r="C157" s="6"/>
      <c r="D157" s="12">
        <v>7.6581999999999999</v>
      </c>
      <c r="E157" s="6">
        <v>1.6</v>
      </c>
      <c r="F157" s="6">
        <f>D157*E157</f>
        <v>12.253120000000001</v>
      </c>
      <c r="G157" s="6">
        <v>-10.4</v>
      </c>
      <c r="H157" s="6">
        <f>F157*G157</f>
        <v>-127.43244800000001</v>
      </c>
      <c r="I157" s="6"/>
      <c r="J157" s="6"/>
      <c r="L157" s="6"/>
    </row>
    <row r="158" spans="2:12" x14ac:dyDescent="0.3">
      <c r="B158" s="6">
        <v>0</v>
      </c>
      <c r="C158" s="6"/>
      <c r="D158" s="12">
        <v>15.7399</v>
      </c>
      <c r="E158" s="6">
        <v>1.4</v>
      </c>
      <c r="F158" s="6">
        <f>D158*E158</f>
        <v>22.03586</v>
      </c>
      <c r="G158" s="6">
        <v>-10</v>
      </c>
      <c r="H158" s="6">
        <f>F158*G158</f>
        <v>-220.3586</v>
      </c>
      <c r="I158" s="6"/>
      <c r="J158" s="6"/>
      <c r="L158" s="6"/>
    </row>
    <row r="159" spans="2:12" x14ac:dyDescent="0.3">
      <c r="B159" s="6">
        <v>1</v>
      </c>
      <c r="C159" s="6"/>
      <c r="D159" s="12">
        <v>44.468899999999998</v>
      </c>
      <c r="E159" s="6">
        <v>4</v>
      </c>
      <c r="F159" s="6">
        <f>D159*E159</f>
        <v>177.87559999999999</v>
      </c>
      <c r="G159" s="6">
        <v>-9</v>
      </c>
      <c r="H159" s="6">
        <f>F159*G159</f>
        <v>-1600.8804</v>
      </c>
      <c r="I159" s="6"/>
      <c r="J159" s="6"/>
      <c r="L159" s="6"/>
    </row>
    <row r="160" spans="2:12" x14ac:dyDescent="0.3">
      <c r="B160" s="6">
        <v>2</v>
      </c>
      <c r="C160" s="6"/>
      <c r="D160" s="12">
        <v>90.552599999999998</v>
      </c>
      <c r="E160" s="6">
        <v>2</v>
      </c>
      <c r="F160" s="6">
        <f>D160*E160</f>
        <v>181.1052</v>
      </c>
      <c r="G160" s="6">
        <v>-8</v>
      </c>
      <c r="H160" s="6">
        <f>F160*G160</f>
        <v>-1448.8416</v>
      </c>
      <c r="I160" s="6"/>
      <c r="J160" s="6"/>
      <c r="L160" s="6"/>
    </row>
    <row r="161" spans="2:12" x14ac:dyDescent="0.3">
      <c r="B161" s="6">
        <v>3</v>
      </c>
      <c r="C161" s="6"/>
      <c r="D161" s="12">
        <v>135.8614</v>
      </c>
      <c r="E161" s="6">
        <v>4</v>
      </c>
      <c r="F161" s="6">
        <f>D161*E161</f>
        <v>543.44560000000001</v>
      </c>
      <c r="G161" s="6">
        <v>-7</v>
      </c>
      <c r="H161" s="6">
        <f>F161*G161</f>
        <v>-3804.1192000000001</v>
      </c>
      <c r="I161" s="6"/>
      <c r="J161" s="6"/>
      <c r="L161" s="6"/>
    </row>
    <row r="162" spans="2:12" x14ac:dyDescent="0.3">
      <c r="B162" s="6">
        <v>4</v>
      </c>
      <c r="C162" s="6"/>
      <c r="D162" s="12">
        <v>178.54339999999999</v>
      </c>
      <c r="E162" s="6">
        <v>2</v>
      </c>
      <c r="F162" s="6">
        <f>D162*E162</f>
        <v>357.08679999999998</v>
      </c>
      <c r="G162" s="6">
        <v>-6</v>
      </c>
      <c r="H162" s="6">
        <f>F162*G162</f>
        <v>-2142.5207999999998</v>
      </c>
      <c r="I162" s="6"/>
      <c r="J162" s="6"/>
      <c r="L162" s="6"/>
    </row>
    <row r="163" spans="2:12" x14ac:dyDescent="0.3">
      <c r="B163" s="6">
        <v>5</v>
      </c>
      <c r="C163" s="6"/>
      <c r="D163" s="12">
        <v>207.37520000000001</v>
      </c>
      <c r="E163" s="6">
        <v>4</v>
      </c>
      <c r="F163" s="6">
        <f>D163*E163</f>
        <v>829.50080000000003</v>
      </c>
      <c r="G163" s="6">
        <v>-5</v>
      </c>
      <c r="H163" s="6">
        <f>F163*G163</f>
        <v>-4147.5039999999999</v>
      </c>
      <c r="I163" s="6"/>
      <c r="J163" s="6"/>
      <c r="L163" s="6"/>
    </row>
    <row r="164" spans="2:12" x14ac:dyDescent="0.3">
      <c r="B164" s="6">
        <v>6</v>
      </c>
      <c r="C164" s="6"/>
      <c r="D164" s="12">
        <v>220.24350000000001</v>
      </c>
      <c r="E164" s="6">
        <v>2</v>
      </c>
      <c r="F164" s="6">
        <f>D164*E164</f>
        <v>440.48700000000002</v>
      </c>
      <c r="G164" s="6">
        <v>-4</v>
      </c>
      <c r="H164" s="6">
        <f>F164*G164</f>
        <v>-1761.9480000000001</v>
      </c>
      <c r="I164" s="6"/>
      <c r="J164" s="6"/>
      <c r="L164" s="6"/>
    </row>
    <row r="165" spans="2:12" x14ac:dyDescent="0.3">
      <c r="B165" s="6">
        <v>7</v>
      </c>
      <c r="C165" s="6"/>
      <c r="D165" s="12">
        <v>227.5052</v>
      </c>
      <c r="E165" s="6">
        <v>4</v>
      </c>
      <c r="F165" s="6">
        <f>D165*E165</f>
        <v>910.02080000000001</v>
      </c>
      <c r="G165" s="6">
        <v>-3</v>
      </c>
      <c r="H165" s="6">
        <f>F165*G165</f>
        <v>-2730.0623999999998</v>
      </c>
      <c r="I165" s="6"/>
      <c r="J165" s="6"/>
      <c r="L165" s="6"/>
    </row>
    <row r="166" spans="2:12" x14ac:dyDescent="0.3">
      <c r="B166" s="6">
        <v>8</v>
      </c>
      <c r="C166" s="6"/>
      <c r="D166" s="6">
        <v>230.64230000000001</v>
      </c>
      <c r="E166" s="6">
        <v>2</v>
      </c>
      <c r="F166" s="6">
        <f>D166*E166</f>
        <v>461.28460000000001</v>
      </c>
      <c r="G166" s="6">
        <v>-2</v>
      </c>
      <c r="H166" s="6">
        <f>F166*G166</f>
        <v>-922.56920000000002</v>
      </c>
      <c r="I166" s="6"/>
      <c r="J166" s="6"/>
      <c r="L166" s="6"/>
    </row>
    <row r="167" spans="2:12" x14ac:dyDescent="0.3">
      <c r="B167" s="6">
        <v>9</v>
      </c>
      <c r="C167" s="6"/>
      <c r="D167" s="6">
        <v>231.5</v>
      </c>
      <c r="E167" s="6">
        <v>4</v>
      </c>
      <c r="F167" s="6">
        <f>D167*E167</f>
        <v>926</v>
      </c>
      <c r="G167" s="6">
        <v>-1</v>
      </c>
      <c r="H167" s="6">
        <f>F167*G167</f>
        <v>-926</v>
      </c>
      <c r="I167" s="6"/>
      <c r="J167" s="6"/>
      <c r="L167" s="6"/>
    </row>
    <row r="168" spans="2:12" x14ac:dyDescent="0.3">
      <c r="B168" s="6">
        <v>10</v>
      </c>
      <c r="C168" s="6"/>
      <c r="D168" s="6">
        <v>231.5</v>
      </c>
      <c r="E168" s="6">
        <v>2</v>
      </c>
      <c r="F168" s="6">
        <f>D168*E168</f>
        <v>463</v>
      </c>
      <c r="G168" s="6">
        <v>0</v>
      </c>
      <c r="H168" s="6">
        <f>F168*G168</f>
        <v>0</v>
      </c>
      <c r="I168" s="6"/>
      <c r="J168" s="6"/>
      <c r="L168" s="6"/>
    </row>
    <row r="169" spans="2:12" x14ac:dyDescent="0.3">
      <c r="B169" s="6">
        <v>11</v>
      </c>
      <c r="C169" s="6"/>
      <c r="D169" s="6">
        <v>231.5</v>
      </c>
      <c r="E169" s="6">
        <v>4</v>
      </c>
      <c r="F169" s="6">
        <f>D169*E169</f>
        <v>926</v>
      </c>
      <c r="G169" s="6">
        <v>1</v>
      </c>
      <c r="H169" s="6">
        <f>F169*G169</f>
        <v>926</v>
      </c>
      <c r="I169" s="6"/>
      <c r="J169" s="6"/>
      <c r="L169" s="6"/>
    </row>
    <row r="170" spans="2:12" x14ac:dyDescent="0.3">
      <c r="B170" s="6">
        <v>12</v>
      </c>
      <c r="C170" s="6"/>
      <c r="D170" s="6">
        <v>230.66800000000001</v>
      </c>
      <c r="E170" s="6">
        <v>2</v>
      </c>
      <c r="F170" s="6">
        <f>D170*E170</f>
        <v>461.33600000000001</v>
      </c>
      <c r="G170" s="6">
        <v>2</v>
      </c>
      <c r="H170" s="6">
        <f>F170*G170</f>
        <v>922.67200000000003</v>
      </c>
      <c r="I170" s="6"/>
      <c r="J170" s="6"/>
      <c r="L170" s="6"/>
    </row>
    <row r="171" spans="2:12" x14ac:dyDescent="0.3">
      <c r="B171" s="6">
        <v>13</v>
      </c>
      <c r="C171" s="6"/>
      <c r="D171" s="6">
        <v>227.19030000000001</v>
      </c>
      <c r="E171" s="6">
        <v>4</v>
      </c>
      <c r="F171" s="6">
        <f>D171*E171</f>
        <v>908.76120000000003</v>
      </c>
      <c r="G171" s="6">
        <v>3</v>
      </c>
      <c r="H171" s="6">
        <f>F171*G171</f>
        <v>2726.2836000000002</v>
      </c>
      <c r="I171" s="6"/>
      <c r="J171" s="6"/>
      <c r="L171" s="6"/>
    </row>
    <row r="172" spans="2:12" x14ac:dyDescent="0.3">
      <c r="B172" s="6">
        <v>14</v>
      </c>
      <c r="C172" s="6"/>
      <c r="D172" s="6">
        <v>215.1156</v>
      </c>
      <c r="E172" s="6">
        <v>2</v>
      </c>
      <c r="F172" s="6">
        <f>D172*E172</f>
        <v>430.2312</v>
      </c>
      <c r="G172" s="6">
        <v>4</v>
      </c>
      <c r="H172" s="6">
        <f>F172*G172</f>
        <v>1720.9248</v>
      </c>
      <c r="I172" s="6"/>
      <c r="J172" s="6"/>
      <c r="L172" s="6"/>
    </row>
    <row r="173" spans="2:12" x14ac:dyDescent="0.3">
      <c r="B173" s="6">
        <v>15</v>
      </c>
      <c r="C173" s="6"/>
      <c r="D173" s="6">
        <v>193.4187</v>
      </c>
      <c r="E173" s="6">
        <v>4</v>
      </c>
      <c r="F173" s="6">
        <f>D173*E173</f>
        <v>773.6748</v>
      </c>
      <c r="G173" s="6">
        <v>5</v>
      </c>
      <c r="H173" s="6">
        <f>F173*G173</f>
        <v>3868.3739999999998</v>
      </c>
      <c r="I173" s="6"/>
      <c r="J173" s="6"/>
      <c r="L173" s="6"/>
    </row>
    <row r="174" spans="2:12" x14ac:dyDescent="0.3">
      <c r="B174" s="6">
        <v>16</v>
      </c>
      <c r="C174" s="6"/>
      <c r="D174" s="6">
        <v>154.72069999999999</v>
      </c>
      <c r="E174" s="6">
        <v>2</v>
      </c>
      <c r="F174" s="6">
        <f>D174*E174</f>
        <v>309.44139999999999</v>
      </c>
      <c r="G174" s="6">
        <v>6</v>
      </c>
      <c r="H174" s="6">
        <f>F174*G174</f>
        <v>1856.6484</v>
      </c>
      <c r="I174" s="6"/>
      <c r="J174" s="6"/>
      <c r="L174" s="6"/>
    </row>
    <row r="175" spans="2:12" x14ac:dyDescent="0.3">
      <c r="B175" s="6">
        <v>17</v>
      </c>
      <c r="C175" s="6"/>
      <c r="D175" s="6">
        <v>111.19459999999999</v>
      </c>
      <c r="E175" s="6">
        <v>4</v>
      </c>
      <c r="F175" s="6">
        <f>D175*E175</f>
        <v>444.77839999999998</v>
      </c>
      <c r="G175" s="6">
        <v>7</v>
      </c>
      <c r="H175" s="6">
        <f>F175*G175</f>
        <v>3113.4487999999997</v>
      </c>
      <c r="I175" s="6"/>
      <c r="J175" s="6"/>
      <c r="L175" s="6"/>
    </row>
    <row r="176" spans="2:12" x14ac:dyDescent="0.3">
      <c r="B176" s="6">
        <v>18</v>
      </c>
      <c r="C176" s="6"/>
      <c r="D176" s="6">
        <v>60.271299999999997</v>
      </c>
      <c r="E176" s="6">
        <v>2</v>
      </c>
      <c r="F176" s="6">
        <f>D176*E176</f>
        <v>120.54259999999999</v>
      </c>
      <c r="G176" s="6">
        <v>8</v>
      </c>
      <c r="H176" s="6">
        <f>F176*G176</f>
        <v>964.34079999999994</v>
      </c>
      <c r="I176" s="6"/>
      <c r="J176" s="6"/>
      <c r="L176" s="6"/>
    </row>
    <row r="177" spans="2:12" x14ac:dyDescent="0.3">
      <c r="B177" s="6">
        <v>19</v>
      </c>
      <c r="C177" s="6"/>
      <c r="D177" s="6">
        <v>21.906099999999999</v>
      </c>
      <c r="E177" s="6">
        <v>4</v>
      </c>
      <c r="F177" s="6">
        <f>D177*E177</f>
        <v>87.624399999999994</v>
      </c>
      <c r="G177" s="6">
        <v>9</v>
      </c>
      <c r="H177" s="6">
        <f>F177*G177</f>
        <v>788.61959999999999</v>
      </c>
      <c r="I177" s="6"/>
      <c r="J177" s="6"/>
      <c r="L177" s="6"/>
    </row>
    <row r="178" spans="2:12" x14ac:dyDescent="0.3">
      <c r="B178" s="6">
        <v>20</v>
      </c>
      <c r="C178" s="6"/>
      <c r="D178" s="6">
        <v>0</v>
      </c>
      <c r="E178" s="6">
        <v>1</v>
      </c>
      <c r="F178" s="6">
        <f>D178*E178</f>
        <v>0</v>
      </c>
      <c r="G178" s="6">
        <v>10</v>
      </c>
      <c r="H178" s="6">
        <f>F178*G178</f>
        <v>0</v>
      </c>
      <c r="I178" s="6"/>
      <c r="J178" s="6"/>
      <c r="L178" s="6"/>
    </row>
    <row r="179" spans="2:12" x14ac:dyDescent="0.3">
      <c r="E179" s="12" t="s">
        <v>53</v>
      </c>
      <c r="F179" s="6">
        <f>SUM(F156:F178)</f>
        <v>9786.4853800000001</v>
      </c>
      <c r="G179" s="12" t="s">
        <v>54</v>
      </c>
      <c r="H179" s="6">
        <f>SUM(H156:H178)</f>
        <v>-2944.924648000002</v>
      </c>
      <c r="I179" s="6"/>
      <c r="J179" s="6"/>
      <c r="L179" s="12"/>
    </row>
    <row r="181" spans="2:12" x14ac:dyDescent="0.3">
      <c r="B181" s="5" t="s">
        <v>93</v>
      </c>
      <c r="C181" s="5"/>
    </row>
    <row r="182" spans="2:12" x14ac:dyDescent="0.3">
      <c r="B182" s="3" t="s">
        <v>94</v>
      </c>
      <c r="D182" s="3" t="s">
        <v>95</v>
      </c>
    </row>
    <row r="183" spans="2:12" x14ac:dyDescent="0.3">
      <c r="B183" s="3" t="s">
        <v>96</v>
      </c>
    </row>
    <row r="184" spans="2:12" x14ac:dyDescent="0.3">
      <c r="D184" s="3" t="s">
        <v>97</v>
      </c>
      <c r="E184" s="3" t="s">
        <v>98</v>
      </c>
    </row>
    <row r="185" spans="2:12" x14ac:dyDescent="0.3">
      <c r="D185" s="3" t="s">
        <v>97</v>
      </c>
      <c r="G185" s="3" t="s">
        <v>99</v>
      </c>
    </row>
    <row r="187" spans="2:12" x14ac:dyDescent="0.3">
      <c r="D187" s="3" t="s">
        <v>97</v>
      </c>
      <c r="E187" s="8">
        <f>(D26*D42)/D22</f>
        <v>0.66692307692307706</v>
      </c>
      <c r="F187" s="8"/>
    </row>
    <row r="189" spans="2:12" x14ac:dyDescent="0.3">
      <c r="B189" s="5" t="s">
        <v>94</v>
      </c>
      <c r="C189" s="5"/>
      <c r="D189" s="8">
        <f>D22*D14*D16*E187</f>
        <v>22401.139758480003</v>
      </c>
      <c r="E189" s="3" t="s">
        <v>100</v>
      </c>
    </row>
    <row r="191" spans="2:12" x14ac:dyDescent="0.3">
      <c r="B191" s="3" t="s">
        <v>62</v>
      </c>
      <c r="D191" s="3" t="s">
        <v>101</v>
      </c>
    </row>
    <row r="192" spans="2:12" x14ac:dyDescent="0.3">
      <c r="B192" s="3" t="s">
        <v>102</v>
      </c>
      <c r="D192" s="3" t="s">
        <v>103</v>
      </c>
    </row>
    <row r="193" spans="2:6" x14ac:dyDescent="0.3">
      <c r="B193" s="3" t="s">
        <v>10</v>
      </c>
      <c r="D193" s="8">
        <f>D13/20</f>
        <v>6.85</v>
      </c>
      <c r="E193" s="3" t="s">
        <v>8</v>
      </c>
    </row>
    <row r="195" spans="2:6" x14ac:dyDescent="0.3">
      <c r="B195" s="5" t="s">
        <v>62</v>
      </c>
      <c r="C195" s="5"/>
      <c r="D195" s="8">
        <f>(1/3)*D193*F179</f>
        <v>22345.808284333332</v>
      </c>
      <c r="E195" s="3" t="s">
        <v>100</v>
      </c>
    </row>
    <row r="197" spans="2:6" x14ac:dyDescent="0.3">
      <c r="B197" s="3" t="s">
        <v>104</v>
      </c>
    </row>
    <row r="198" spans="2:6" x14ac:dyDescent="0.3">
      <c r="B198" s="3" t="s">
        <v>105</v>
      </c>
    </row>
    <row r="200" spans="2:6" x14ac:dyDescent="0.3">
      <c r="B200" s="3" t="s">
        <v>10</v>
      </c>
      <c r="D200" s="8">
        <f>(D189-D195)/D189*100</f>
        <v>0.24700294156115532</v>
      </c>
      <c r="E200" s="8" t="s">
        <v>75</v>
      </c>
      <c r="F200" s="65" t="str">
        <f>IF(D200&lt;-0.5,"Tidak memenuhi",IF(D200&gt;0.5,"Tidak memenuhi","Memenuhi"))</f>
        <v>Memenuhi</v>
      </c>
    </row>
    <row r="201" spans="2:6" x14ac:dyDescent="0.3">
      <c r="B201" s="3" t="s">
        <v>106</v>
      </c>
      <c r="D201" s="16" t="s">
        <v>70</v>
      </c>
    </row>
    <row r="203" spans="2:6" x14ac:dyDescent="0.3">
      <c r="B203" s="5" t="s">
        <v>107</v>
      </c>
      <c r="C203" s="5"/>
    </row>
    <row r="204" spans="2:6" x14ac:dyDescent="0.3">
      <c r="B204" s="5" t="s">
        <v>108</v>
      </c>
      <c r="C204" s="5"/>
      <c r="D204" s="3" t="s">
        <v>109</v>
      </c>
    </row>
    <row r="205" spans="2:6" x14ac:dyDescent="0.3">
      <c r="B205" s="3" t="s">
        <v>10</v>
      </c>
      <c r="D205" s="8">
        <f>D44*D26</f>
        <v>0.6987000000000001</v>
      </c>
      <c r="E205" s="3" t="s">
        <v>8</v>
      </c>
    </row>
    <row r="207" spans="2:6" x14ac:dyDescent="0.3">
      <c r="B207" s="5" t="s">
        <v>110</v>
      </c>
      <c r="C207" s="5"/>
    </row>
    <row r="209" spans="2:13" x14ac:dyDescent="0.3">
      <c r="B209" s="3" t="s">
        <v>10</v>
      </c>
      <c r="D209" s="8">
        <f>H179/F179*D193</f>
        <v>-2.0612848285683549</v>
      </c>
      <c r="E209" s="3" t="s">
        <v>8</v>
      </c>
    </row>
    <row r="211" spans="2:13" x14ac:dyDescent="0.3">
      <c r="B211" s="3" t="s">
        <v>111</v>
      </c>
    </row>
    <row r="213" spans="2:13" x14ac:dyDescent="0.3">
      <c r="B213" s="3" t="s">
        <v>10</v>
      </c>
      <c r="D213" s="8">
        <f>(((D205-D209)-(2%*D13))/D13)*100</f>
        <v>1.4587466108288188E-2</v>
      </c>
      <c r="E213" s="8" t="s">
        <v>75</v>
      </c>
      <c r="F213" s="65" t="str">
        <f>IF(D213&lt;-0.1,"Tidak memenuhi",IF(D213&gt;0.1,"Tidak memenuhi","Memenuhi"))</f>
        <v>Memenuhi</v>
      </c>
    </row>
    <row r="214" spans="2:13" x14ac:dyDescent="0.3">
      <c r="B214" s="3" t="s">
        <v>112</v>
      </c>
      <c r="D214" s="16" t="s">
        <v>113</v>
      </c>
    </row>
    <row r="216" spans="2:13" x14ac:dyDescent="0.3">
      <c r="B216" s="5" t="s">
        <v>114</v>
      </c>
      <c r="C216" s="5"/>
      <c r="L216" s="58"/>
    </row>
    <row r="217" spans="2:13" x14ac:dyDescent="0.3">
      <c r="L217" s="58"/>
    </row>
    <row r="218" spans="2:13" x14ac:dyDescent="0.3">
      <c r="B218" s="5" t="s">
        <v>115</v>
      </c>
      <c r="C218" s="5"/>
      <c r="L218" s="58"/>
    </row>
    <row r="219" spans="2:13" x14ac:dyDescent="0.3">
      <c r="B219" s="12" t="s">
        <v>30</v>
      </c>
      <c r="C219" s="12"/>
      <c r="D219" s="12" t="s">
        <v>90</v>
      </c>
      <c r="E219" s="12" t="s">
        <v>116</v>
      </c>
      <c r="F219" s="12" t="s">
        <v>262</v>
      </c>
      <c r="G219" s="12" t="s">
        <v>259</v>
      </c>
      <c r="H219" s="12" t="s">
        <v>260</v>
      </c>
      <c r="I219" s="12" t="s">
        <v>180</v>
      </c>
      <c r="J219" s="12" t="s">
        <v>261</v>
      </c>
      <c r="L219" s="60"/>
      <c r="M219" s="57"/>
    </row>
    <row r="220" spans="2:13" x14ac:dyDescent="0.3">
      <c r="B220" s="6">
        <v>-2</v>
      </c>
      <c r="C220" s="6"/>
      <c r="D220" s="12">
        <v>0</v>
      </c>
      <c r="E220" s="19">
        <f>D220/(2*$D$16)</f>
        <v>0</v>
      </c>
      <c r="F220" s="56">
        <f>D220/2</f>
        <v>0</v>
      </c>
      <c r="G220" s="56"/>
      <c r="H220" s="56"/>
      <c r="I220" s="56"/>
      <c r="J220" s="56"/>
      <c r="L220" s="60"/>
      <c r="M220" s="57"/>
    </row>
    <row r="221" spans="2:13" x14ac:dyDescent="0.3">
      <c r="B221" s="6">
        <v>-1</v>
      </c>
      <c r="C221" s="6"/>
      <c r="D221" s="12">
        <v>7.6581999999999999</v>
      </c>
      <c r="E221" s="20">
        <f>D221/(2*$D$16)</f>
        <v>0.38495023625213637</v>
      </c>
      <c r="F221" s="56">
        <f>D221/2</f>
        <v>3.8290999999999999</v>
      </c>
      <c r="G221" s="56"/>
      <c r="H221" s="56"/>
      <c r="I221" s="56"/>
      <c r="J221" s="56"/>
      <c r="L221" s="60"/>
      <c r="M221" s="57"/>
    </row>
    <row r="222" spans="2:13" x14ac:dyDescent="0.3">
      <c r="B222" s="6">
        <v>0</v>
      </c>
      <c r="C222" s="6"/>
      <c r="D222" s="12">
        <v>15.7399</v>
      </c>
      <c r="E222" s="20">
        <f>D222/(2*$D$16)</f>
        <v>0.79118829797929036</v>
      </c>
      <c r="F222" s="56">
        <f>D222/2</f>
        <v>7.8699500000000002</v>
      </c>
      <c r="G222" s="56"/>
      <c r="H222" s="56"/>
      <c r="I222" s="56"/>
      <c r="J222" s="56"/>
      <c r="L222" s="58"/>
    </row>
    <row r="223" spans="2:13" x14ac:dyDescent="0.3">
      <c r="B223" s="6">
        <v>1</v>
      </c>
      <c r="C223" s="6"/>
      <c r="D223" s="12">
        <v>44.468899999999998</v>
      </c>
      <c r="E223" s="20">
        <f>D223/(2*$D$16)</f>
        <v>2.2352920478536245</v>
      </c>
      <c r="F223" s="56">
        <f>D223/2</f>
        <v>22.234449999999999</v>
      </c>
      <c r="G223" s="56">
        <v>22.226800000000001</v>
      </c>
      <c r="H223" s="56">
        <f>G223*2</f>
        <v>44.453600000000002</v>
      </c>
      <c r="I223" s="56">
        <f>ABS(D223-H223)</f>
        <v>1.5299999999996317E-2</v>
      </c>
      <c r="J223" s="21">
        <f>(I223/D223)*100</f>
        <v>3.4406068061041128E-2</v>
      </c>
      <c r="L223" s="58"/>
    </row>
    <row r="224" spans="2:13" x14ac:dyDescent="0.3">
      <c r="B224" s="6">
        <v>2</v>
      </c>
      <c r="C224" s="6"/>
      <c r="D224" s="12">
        <v>90.552599999999998</v>
      </c>
      <c r="E224" s="20">
        <f>D224/(2*$D$16)</f>
        <v>4.551754297778225</v>
      </c>
      <c r="F224" s="56">
        <f>D224/2</f>
        <v>45.276299999999999</v>
      </c>
      <c r="G224" s="56">
        <v>45.279699999999998</v>
      </c>
      <c r="H224" s="56">
        <f>G224*2</f>
        <v>90.559399999999997</v>
      </c>
      <c r="I224" s="56">
        <f>ABS(D224-H224)</f>
        <v>6.7999999999983629E-3</v>
      </c>
      <c r="J224" s="21">
        <f>(I224/D224)*100</f>
        <v>7.5094475476114031E-3</v>
      </c>
    </row>
    <row r="225" spans="2:10" x14ac:dyDescent="0.3">
      <c r="B225" s="6">
        <v>3</v>
      </c>
      <c r="C225" s="6"/>
      <c r="D225" s="12">
        <v>135.8614</v>
      </c>
      <c r="E225" s="20">
        <f>D225/(2*$D$16)</f>
        <v>6.8292651050568018</v>
      </c>
      <c r="F225" s="56">
        <f>D225/2</f>
        <v>67.930700000000002</v>
      </c>
      <c r="G225" s="56">
        <v>67.931399999999996</v>
      </c>
      <c r="H225" s="56">
        <f>G225*2</f>
        <v>135.86279999999999</v>
      </c>
      <c r="I225" s="56">
        <f>ABS(D225-H225)</f>
        <v>1.3999999999896318E-3</v>
      </c>
      <c r="J225" s="21">
        <f>(I225/D225)*100</f>
        <v>1.0304619266323118E-3</v>
      </c>
    </row>
    <row r="226" spans="2:10" x14ac:dyDescent="0.3">
      <c r="B226" s="6">
        <v>4</v>
      </c>
      <c r="C226" s="6"/>
      <c r="D226" s="12">
        <v>178.54339999999999</v>
      </c>
      <c r="E226" s="20">
        <f>D226/(2*$D$16)</f>
        <v>8.9747361013370863</v>
      </c>
      <c r="F226" s="56">
        <f>D226/2</f>
        <v>89.271699999999996</v>
      </c>
      <c r="G226" s="56">
        <v>89.269900000000007</v>
      </c>
      <c r="H226" s="56">
        <f>G226*2</f>
        <v>178.53980000000001</v>
      </c>
      <c r="I226" s="56">
        <f>ABS(D226-H226)</f>
        <v>3.5999999999773991E-3</v>
      </c>
      <c r="J226" s="21">
        <f>(I226/D226)*100</f>
        <v>2.0163164810222049E-3</v>
      </c>
    </row>
    <row r="227" spans="2:10" x14ac:dyDescent="0.3">
      <c r="B227" s="6">
        <v>5</v>
      </c>
      <c r="C227" s="6"/>
      <c r="D227" s="12">
        <v>207.37520000000001</v>
      </c>
      <c r="E227" s="20">
        <f>D227/(2*$D$16)</f>
        <v>10.424007238363327</v>
      </c>
      <c r="F227" s="56">
        <f>D227/2</f>
        <v>103.6876</v>
      </c>
      <c r="G227" s="56">
        <v>103.4466</v>
      </c>
      <c r="H227" s="56">
        <f>G227*2</f>
        <v>206.89320000000001</v>
      </c>
      <c r="I227" s="56">
        <f>ABS(D227-H227)</f>
        <v>0.48199999999999932</v>
      </c>
      <c r="J227" s="21">
        <f>(I227/D227)*100</f>
        <v>0.23242895003838418</v>
      </c>
    </row>
    <row r="228" spans="2:10" x14ac:dyDescent="0.3">
      <c r="B228" s="6">
        <v>6</v>
      </c>
      <c r="C228" s="6"/>
      <c r="D228" s="12">
        <v>220.24350000000001</v>
      </c>
      <c r="E228" s="20">
        <f>D228/(2*$D$16)</f>
        <v>11.070850507690762</v>
      </c>
      <c r="F228" s="56">
        <f>D228/2</f>
        <v>110.12175000000001</v>
      </c>
      <c r="G228" s="56"/>
      <c r="H228" s="56">
        <f>G228*2</f>
        <v>0</v>
      </c>
      <c r="I228" s="56">
        <f>ABS(D228-H228)</f>
        <v>220.24350000000001</v>
      </c>
      <c r="J228" s="21">
        <f>(I228/D228)*100</f>
        <v>100</v>
      </c>
    </row>
    <row r="229" spans="2:10" x14ac:dyDescent="0.3">
      <c r="B229" s="6">
        <v>7</v>
      </c>
      <c r="C229" s="6"/>
      <c r="D229" s="12">
        <v>227.5052</v>
      </c>
      <c r="E229" s="20">
        <f>D229/(2*$D$16)</f>
        <v>11.435870111591436</v>
      </c>
      <c r="F229" s="56">
        <f>D229/2</f>
        <v>113.7526</v>
      </c>
      <c r="G229" s="56"/>
      <c r="H229" s="56">
        <f>G229*2</f>
        <v>0</v>
      </c>
      <c r="I229" s="56">
        <f>ABS(D229-H229)</f>
        <v>227.5052</v>
      </c>
      <c r="J229" s="21">
        <f>(I229/D229)*100</f>
        <v>100</v>
      </c>
    </row>
    <row r="230" spans="2:10" x14ac:dyDescent="0.3">
      <c r="B230" s="6">
        <v>8</v>
      </c>
      <c r="C230" s="6"/>
      <c r="D230" s="56">
        <v>230.64230000000001</v>
      </c>
      <c r="E230" s="20">
        <f>D230/(2*$D$16)</f>
        <v>11.593560872624913</v>
      </c>
      <c r="F230" s="56">
        <f>D230/2</f>
        <v>115.32115</v>
      </c>
      <c r="G230" s="56"/>
      <c r="H230" s="56">
        <f>G230*2</f>
        <v>0</v>
      </c>
      <c r="I230" s="56">
        <f>ABS(D230-H230)</f>
        <v>230.64230000000001</v>
      </c>
      <c r="J230" s="21">
        <f>(I230/D230)*100</f>
        <v>100</v>
      </c>
    </row>
    <row r="231" spans="2:10" x14ac:dyDescent="0.3">
      <c r="B231" s="6">
        <v>9</v>
      </c>
      <c r="C231" s="6"/>
      <c r="D231" s="56">
        <v>231.5</v>
      </c>
      <c r="E231" s="20">
        <f>D231/(2*$D$16)</f>
        <v>11.636674374183173</v>
      </c>
      <c r="F231" s="56">
        <f>D231/2</f>
        <v>115.75</v>
      </c>
      <c r="G231" s="56"/>
      <c r="H231" s="56">
        <f>G231*2</f>
        <v>0</v>
      </c>
      <c r="I231" s="56">
        <f>ABS(D231-H231)</f>
        <v>231.5</v>
      </c>
      <c r="J231" s="21">
        <f>(I231/D231)*100</f>
        <v>100</v>
      </c>
    </row>
    <row r="232" spans="2:10" x14ac:dyDescent="0.3">
      <c r="B232" s="6">
        <v>10</v>
      </c>
      <c r="C232" s="6"/>
      <c r="D232" s="56">
        <v>231.5</v>
      </c>
      <c r="E232" s="20">
        <f>D232/(2*$D$16)</f>
        <v>11.636674374183173</v>
      </c>
      <c r="F232" s="56">
        <f>D232/2</f>
        <v>115.75</v>
      </c>
      <c r="G232" s="56"/>
      <c r="H232" s="56">
        <f>G232*2</f>
        <v>0</v>
      </c>
      <c r="I232" s="56">
        <f>ABS(D232-H232)</f>
        <v>231.5</v>
      </c>
      <c r="J232" s="21">
        <f>(I232/D232)*100</f>
        <v>100</v>
      </c>
    </row>
    <row r="233" spans="2:10" x14ac:dyDescent="0.3">
      <c r="B233" s="6">
        <v>11</v>
      </c>
      <c r="C233" s="6"/>
      <c r="D233" s="56">
        <v>231.5</v>
      </c>
      <c r="E233" s="20">
        <f>D233/(2*$D$16)</f>
        <v>11.636674374183173</v>
      </c>
      <c r="F233" s="56">
        <f>D233/2</f>
        <v>115.75</v>
      </c>
      <c r="G233" s="56"/>
      <c r="H233" s="56">
        <f>G233*2</f>
        <v>0</v>
      </c>
      <c r="I233" s="56">
        <f>ABS(D233-H233)</f>
        <v>231.5</v>
      </c>
      <c r="J233" s="21">
        <f>(I233/D233)*100</f>
        <v>100</v>
      </c>
    </row>
    <row r="234" spans="2:10" x14ac:dyDescent="0.3">
      <c r="B234" s="6">
        <v>12</v>
      </c>
      <c r="C234" s="6"/>
      <c r="D234" s="56">
        <v>230.66800000000001</v>
      </c>
      <c r="E234" s="20">
        <f>D234/(2*$D$16)</f>
        <v>11.59485271941289</v>
      </c>
      <c r="F234" s="56">
        <f>D234/2</f>
        <v>115.334</v>
      </c>
      <c r="G234" s="56"/>
      <c r="H234" s="56">
        <f>G234*2</f>
        <v>0</v>
      </c>
      <c r="I234" s="56">
        <f>ABS(D234-H234)</f>
        <v>230.66800000000001</v>
      </c>
      <c r="J234" s="21">
        <f>(I234/D234)*100</f>
        <v>100</v>
      </c>
    </row>
    <row r="235" spans="2:10" x14ac:dyDescent="0.3">
      <c r="B235" s="6">
        <v>13</v>
      </c>
      <c r="C235" s="6"/>
      <c r="D235" s="56">
        <v>227.19030000000001</v>
      </c>
      <c r="E235" s="20">
        <f>D235/(2*$D$16)</f>
        <v>11.420041218457827</v>
      </c>
      <c r="F235" s="56">
        <f>D235/2</f>
        <v>113.59515</v>
      </c>
      <c r="G235" s="56"/>
      <c r="H235" s="56">
        <f>G235*2</f>
        <v>0</v>
      </c>
      <c r="I235" s="56">
        <f>ABS(D235-H235)</f>
        <v>227.19030000000001</v>
      </c>
      <c r="J235" s="21">
        <f>(I235/D235)*100</f>
        <v>100</v>
      </c>
    </row>
    <row r="236" spans="2:10" x14ac:dyDescent="0.3">
      <c r="B236" s="6">
        <v>14</v>
      </c>
      <c r="C236" s="6"/>
      <c r="D236" s="56">
        <v>215.1156</v>
      </c>
      <c r="E236" s="20">
        <f>D236/(2*$D$16)</f>
        <v>10.813089373680508</v>
      </c>
      <c r="F236" s="56">
        <f>D236/2</f>
        <v>107.5578</v>
      </c>
      <c r="G236" s="56"/>
      <c r="H236" s="56">
        <f>G236*2</f>
        <v>0</v>
      </c>
      <c r="I236" s="56">
        <f>ABS(D236-H236)</f>
        <v>215.1156</v>
      </c>
      <c r="J236" s="21">
        <f>(I236/D236)*100</f>
        <v>100</v>
      </c>
    </row>
    <row r="237" spans="2:10" x14ac:dyDescent="0.3">
      <c r="B237" s="6">
        <v>15</v>
      </c>
      <c r="C237" s="6"/>
      <c r="D237" s="56">
        <v>193.4187</v>
      </c>
      <c r="E237" s="20">
        <f>D237/(2*$D$16)</f>
        <v>9.722464059515433</v>
      </c>
      <c r="F237" s="56">
        <f>D237/2</f>
        <v>96.709350000000001</v>
      </c>
      <c r="G237" s="56">
        <v>96.710400000000007</v>
      </c>
      <c r="H237" s="56">
        <f>G237*2</f>
        <v>193.42080000000001</v>
      </c>
      <c r="I237" s="56">
        <f>ABS(D237-H237)</f>
        <v>2.1000000000128694E-3</v>
      </c>
      <c r="J237" s="21">
        <f>(I237/D237)*100</f>
        <v>1.0857274917124712E-3</v>
      </c>
    </row>
    <row r="238" spans="2:10" x14ac:dyDescent="0.3">
      <c r="B238" s="6">
        <v>16</v>
      </c>
      <c r="C238" s="6"/>
      <c r="D238" s="56">
        <v>154.72069999999999</v>
      </c>
      <c r="E238" s="20">
        <f>D238/(2*$D$16)</f>
        <v>7.7772544485774606</v>
      </c>
      <c r="F238" s="56">
        <f>D238/2</f>
        <v>77.360349999999997</v>
      </c>
      <c r="G238" s="56">
        <v>77.360200000000006</v>
      </c>
      <c r="H238" s="56">
        <f>G238*2</f>
        <v>154.72040000000001</v>
      </c>
      <c r="I238" s="56">
        <f>ABS(D238-H238)</f>
        <v>2.9999999998153726E-4</v>
      </c>
      <c r="J238" s="21">
        <f>(I238/D238)*100</f>
        <v>1.9389777837195495E-4</v>
      </c>
    </row>
    <row r="239" spans="2:10" x14ac:dyDescent="0.3">
      <c r="B239" s="6">
        <v>17</v>
      </c>
      <c r="C239" s="6"/>
      <c r="D239" s="56">
        <v>111.19459999999999</v>
      </c>
      <c r="E239" s="20">
        <f>D239/(2*$D$16)</f>
        <v>5.5893535739418923</v>
      </c>
      <c r="F239" s="56">
        <f>D239/2</f>
        <v>55.597299999999997</v>
      </c>
      <c r="G239" s="56">
        <v>55.5991</v>
      </c>
      <c r="H239" s="56">
        <f>G239*2</f>
        <v>111.1982</v>
      </c>
      <c r="I239" s="56">
        <f>ABS(D239-H239)</f>
        <v>3.6000000000058208E-3</v>
      </c>
      <c r="J239" s="21">
        <f>(I239/D239)*100</f>
        <v>3.2375672919420736E-3</v>
      </c>
    </row>
    <row r="240" spans="2:10" x14ac:dyDescent="0.3">
      <c r="B240" s="6">
        <v>18</v>
      </c>
      <c r="C240" s="6"/>
      <c r="D240" s="56">
        <v>60.271299999999997</v>
      </c>
      <c r="E240" s="20">
        <f>D240/(2*$D$16)</f>
        <v>3.0296219965818842</v>
      </c>
      <c r="F240" s="56">
        <f>D240/2</f>
        <v>30.135649999999998</v>
      </c>
      <c r="G240" s="56"/>
      <c r="H240" s="56">
        <f>G240*2</f>
        <v>0</v>
      </c>
      <c r="I240" s="56">
        <f>ABS(D240-H240)</f>
        <v>60.271299999999997</v>
      </c>
      <c r="J240" s="21">
        <f>(I240/D240)*100</f>
        <v>100</v>
      </c>
    </row>
    <row r="241" spans="2:10" x14ac:dyDescent="0.3">
      <c r="B241" s="6">
        <v>19</v>
      </c>
      <c r="C241" s="6"/>
      <c r="D241" s="56">
        <v>21.906099999999999</v>
      </c>
      <c r="E241" s="20">
        <f>D241/(2*$D$16)</f>
        <v>1.1011410475520258</v>
      </c>
      <c r="F241" s="56">
        <f>D241/2</f>
        <v>10.953049999999999</v>
      </c>
      <c r="G241" s="56">
        <v>10.9519</v>
      </c>
      <c r="H241" s="56">
        <f>G241*2</f>
        <v>21.9038</v>
      </c>
      <c r="I241" s="56">
        <f>ABS(D241-H241)</f>
        <v>2.2999999999981924E-3</v>
      </c>
      <c r="J241" s="21">
        <f>(I241/D241)*100</f>
        <v>1.0499358626127848E-2</v>
      </c>
    </row>
    <row r="242" spans="2:10" x14ac:dyDescent="0.3">
      <c r="B242" s="6">
        <v>20</v>
      </c>
      <c r="C242" s="6"/>
      <c r="D242" s="56">
        <v>0</v>
      </c>
      <c r="E242" s="19">
        <f>D242/(2*$D$16)</f>
        <v>0</v>
      </c>
      <c r="F242" s="56">
        <f>D242/2</f>
        <v>0</v>
      </c>
      <c r="G242" s="56">
        <v>0</v>
      </c>
      <c r="H242" s="56">
        <v>0</v>
      </c>
      <c r="I242" s="56">
        <f>ABS(D242-H242)</f>
        <v>0</v>
      </c>
      <c r="J242" s="21"/>
    </row>
    <row r="244" spans="2:10" x14ac:dyDescent="0.3">
      <c r="B244" s="5" t="s">
        <v>117</v>
      </c>
      <c r="C244" s="5"/>
    </row>
    <row r="245" spans="2:10" x14ac:dyDescent="0.3">
      <c r="B245" s="12" t="s">
        <v>30</v>
      </c>
      <c r="C245" s="12"/>
      <c r="D245" s="12" t="s">
        <v>118</v>
      </c>
      <c r="E245" s="12" t="s">
        <v>91</v>
      </c>
      <c r="F245" s="12" t="s">
        <v>119</v>
      </c>
      <c r="H245" s="8"/>
      <c r="I245" s="8"/>
      <c r="J245" s="8"/>
    </row>
    <row r="246" spans="2:10" x14ac:dyDescent="0.3">
      <c r="B246" s="6">
        <v>-2</v>
      </c>
      <c r="C246" s="6"/>
      <c r="D246" s="6">
        <v>0</v>
      </c>
      <c r="E246" s="6">
        <v>0.4</v>
      </c>
      <c r="F246" s="6">
        <f>D246*E246</f>
        <v>0</v>
      </c>
      <c r="G246" s="3">
        <v>20</v>
      </c>
    </row>
    <row r="247" spans="2:10" x14ac:dyDescent="0.3">
      <c r="B247" s="6">
        <v>-1</v>
      </c>
      <c r="C247" s="6"/>
      <c r="D247" s="6">
        <v>2.6</v>
      </c>
      <c r="E247" s="6">
        <v>1.6</v>
      </c>
      <c r="F247" s="6">
        <f>D247*E247</f>
        <v>4.16</v>
      </c>
      <c r="G247" s="3">
        <v>18</v>
      </c>
    </row>
    <row r="248" spans="2:10" x14ac:dyDescent="0.3">
      <c r="B248" s="6">
        <v>0</v>
      </c>
      <c r="C248" s="6"/>
      <c r="D248" s="6">
        <v>3.6818</v>
      </c>
      <c r="E248" s="6">
        <v>1.4</v>
      </c>
      <c r="F248" s="6">
        <f>D248*E248</f>
        <v>5.1545199999999998</v>
      </c>
      <c r="G248" s="3">
        <v>16</v>
      </c>
    </row>
    <row r="249" spans="2:10" x14ac:dyDescent="0.3">
      <c r="B249" s="6">
        <v>1</v>
      </c>
      <c r="C249" s="6"/>
      <c r="D249" s="6">
        <v>5.6863999999999999</v>
      </c>
      <c r="E249" s="6">
        <v>4</v>
      </c>
      <c r="F249" s="6">
        <f>D249*E249</f>
        <v>22.7456</v>
      </c>
      <c r="G249" s="3">
        <v>14</v>
      </c>
    </row>
    <row r="250" spans="2:10" x14ac:dyDescent="0.3">
      <c r="B250" s="6">
        <v>2</v>
      </c>
      <c r="C250" s="6"/>
      <c r="D250" s="6">
        <v>7.4</v>
      </c>
      <c r="E250" s="6">
        <v>2</v>
      </c>
      <c r="F250" s="6">
        <f>D250*E250</f>
        <v>14.8</v>
      </c>
      <c r="G250" s="3">
        <v>12</v>
      </c>
    </row>
    <row r="251" spans="2:10" x14ac:dyDescent="0.3">
      <c r="B251" s="6">
        <v>3</v>
      </c>
      <c r="C251" s="6"/>
      <c r="D251" s="6">
        <v>8.7652999999999999</v>
      </c>
      <c r="E251" s="6">
        <v>4</v>
      </c>
      <c r="F251" s="6">
        <f>D251*E251</f>
        <v>35.061199999999999</v>
      </c>
      <c r="G251" s="3">
        <v>10</v>
      </c>
    </row>
    <row r="252" spans="2:10" x14ac:dyDescent="0.3">
      <c r="B252" s="6">
        <v>4</v>
      </c>
      <c r="C252" s="6"/>
      <c r="D252" s="6">
        <v>9.8175000000000008</v>
      </c>
      <c r="E252" s="6">
        <v>2</v>
      </c>
      <c r="F252" s="6">
        <f>D252*E252</f>
        <v>19.635000000000002</v>
      </c>
      <c r="G252" s="3">
        <v>8</v>
      </c>
    </row>
    <row r="253" spans="2:10" x14ac:dyDescent="0.3">
      <c r="B253" s="6">
        <v>5</v>
      </c>
      <c r="C253" s="6"/>
      <c r="D253" s="6">
        <v>10.6</v>
      </c>
      <c r="E253" s="6">
        <v>4</v>
      </c>
      <c r="F253" s="6">
        <f>D253*E253</f>
        <v>42.4</v>
      </c>
      <c r="G253" s="3">
        <v>6</v>
      </c>
    </row>
    <row r="254" spans="2:10" x14ac:dyDescent="0.3">
      <c r="B254" s="6">
        <v>6</v>
      </c>
      <c r="C254" s="6"/>
      <c r="D254" s="6">
        <v>11.2</v>
      </c>
      <c r="E254" s="6">
        <v>2</v>
      </c>
      <c r="F254" s="6">
        <f>D254*E254</f>
        <v>22.4</v>
      </c>
      <c r="G254" s="3">
        <v>4</v>
      </c>
    </row>
    <row r="255" spans="2:10" x14ac:dyDescent="0.3">
      <c r="B255" s="6">
        <v>7</v>
      </c>
      <c r="C255" s="6"/>
      <c r="D255" s="23">
        <v>11.636674374183173</v>
      </c>
      <c r="E255" s="6">
        <v>4</v>
      </c>
      <c r="F255" s="6">
        <f>D255*E255</f>
        <v>46.546697496732691</v>
      </c>
    </row>
    <row r="256" spans="2:10" x14ac:dyDescent="0.3">
      <c r="B256" s="12">
        <v>8</v>
      </c>
      <c r="C256" s="12"/>
      <c r="D256" s="23">
        <v>11.636674374183173</v>
      </c>
      <c r="E256" s="6">
        <v>2</v>
      </c>
      <c r="F256" s="6">
        <f>D256*E256</f>
        <v>23.273348748366345</v>
      </c>
    </row>
    <row r="257" spans="2:7" x14ac:dyDescent="0.3">
      <c r="B257" s="12">
        <v>9</v>
      </c>
      <c r="C257" s="12"/>
      <c r="D257" s="23">
        <v>11.636674374183173</v>
      </c>
      <c r="E257" s="6">
        <v>4</v>
      </c>
      <c r="F257" s="6">
        <f>D257*E257</f>
        <v>46.546697496732691</v>
      </c>
    </row>
    <row r="258" spans="2:7" x14ac:dyDescent="0.3">
      <c r="B258" s="12">
        <v>10</v>
      </c>
      <c r="C258" s="12"/>
      <c r="D258" s="23">
        <v>11.636674374183173</v>
      </c>
      <c r="E258" s="6">
        <v>2</v>
      </c>
      <c r="F258" s="6">
        <f>D258*E258</f>
        <v>23.273348748366345</v>
      </c>
    </row>
    <row r="259" spans="2:7" x14ac:dyDescent="0.3">
      <c r="B259" s="12">
        <v>11</v>
      </c>
      <c r="C259" s="12"/>
      <c r="D259" s="23">
        <v>11.636674374183173</v>
      </c>
      <c r="E259" s="6">
        <v>4</v>
      </c>
      <c r="F259" s="6">
        <f>D259*E259</f>
        <v>46.546697496732691</v>
      </c>
    </row>
    <row r="260" spans="2:7" x14ac:dyDescent="0.3">
      <c r="B260" s="12">
        <v>12</v>
      </c>
      <c r="C260" s="12"/>
      <c r="D260" s="23">
        <v>11.636674374183173</v>
      </c>
      <c r="E260" s="6">
        <v>2</v>
      </c>
      <c r="F260" s="6">
        <f>D260*E260</f>
        <v>23.273348748366345</v>
      </c>
    </row>
    <row r="261" spans="2:7" x14ac:dyDescent="0.3">
      <c r="B261" s="12">
        <v>13</v>
      </c>
      <c r="C261" s="12"/>
      <c r="D261" s="23">
        <v>11.636674374183173</v>
      </c>
      <c r="E261" s="6">
        <v>4</v>
      </c>
      <c r="F261" s="6">
        <f>D261*E261</f>
        <v>46.546697496732691</v>
      </c>
    </row>
    <row r="262" spans="2:7" x14ac:dyDescent="0.3">
      <c r="B262" s="12">
        <v>14</v>
      </c>
      <c r="C262" s="12"/>
      <c r="D262" s="6">
        <v>11</v>
      </c>
      <c r="E262" s="6">
        <v>2</v>
      </c>
      <c r="F262" s="6">
        <f>D262*E262</f>
        <v>22</v>
      </c>
      <c r="G262" s="3">
        <v>6</v>
      </c>
    </row>
    <row r="263" spans="2:7" x14ac:dyDescent="0.3">
      <c r="B263" s="6">
        <v>15</v>
      </c>
      <c r="C263" s="6"/>
      <c r="D263" s="6">
        <v>10.199999999999999</v>
      </c>
      <c r="E263" s="6">
        <v>4</v>
      </c>
      <c r="F263" s="6">
        <f>D263*E263</f>
        <v>40.799999999999997</v>
      </c>
      <c r="G263" s="3">
        <v>8</v>
      </c>
    </row>
    <row r="264" spans="2:7" x14ac:dyDescent="0.3">
      <c r="B264" s="6">
        <v>16</v>
      </c>
      <c r="C264" s="6"/>
      <c r="D264" s="6">
        <v>9.1</v>
      </c>
      <c r="E264" s="6">
        <v>2</v>
      </c>
      <c r="F264" s="6">
        <f>D264*E264</f>
        <v>18.2</v>
      </c>
      <c r="G264" s="3">
        <v>11</v>
      </c>
    </row>
    <row r="265" spans="2:7" x14ac:dyDescent="0.3">
      <c r="B265" s="6">
        <v>17</v>
      </c>
      <c r="C265" s="6"/>
      <c r="D265" s="6">
        <v>7.6</v>
      </c>
      <c r="E265" s="6">
        <v>4</v>
      </c>
      <c r="F265" s="6">
        <f>D265*E265</f>
        <v>30.4</v>
      </c>
      <c r="G265" s="3">
        <v>15</v>
      </c>
    </row>
    <row r="266" spans="2:7" x14ac:dyDescent="0.3">
      <c r="B266" s="6">
        <v>18</v>
      </c>
      <c r="C266" s="6"/>
      <c r="D266" s="6">
        <v>5.6</v>
      </c>
      <c r="E266" s="6">
        <v>2</v>
      </c>
      <c r="F266" s="6">
        <f>D266*E266</f>
        <v>11.2</v>
      </c>
      <c r="G266" s="3">
        <v>20</v>
      </c>
    </row>
    <row r="267" spans="2:7" x14ac:dyDescent="0.3">
      <c r="B267" s="6">
        <v>19</v>
      </c>
      <c r="C267" s="6"/>
      <c r="D267" s="6">
        <v>3</v>
      </c>
      <c r="E267" s="6">
        <v>4</v>
      </c>
      <c r="F267" s="6">
        <f>D267*E267</f>
        <v>12</v>
      </c>
      <c r="G267" s="3">
        <v>26</v>
      </c>
    </row>
    <row r="268" spans="2:7" x14ac:dyDescent="0.3">
      <c r="B268" s="6">
        <v>20</v>
      </c>
      <c r="C268" s="6"/>
      <c r="D268" s="6">
        <v>0</v>
      </c>
      <c r="E268" s="6">
        <v>1</v>
      </c>
      <c r="F268" s="6">
        <f>D268*E268</f>
        <v>0</v>
      </c>
    </row>
    <row r="269" spans="2:7" x14ac:dyDescent="0.3">
      <c r="E269" s="12" t="s">
        <v>120</v>
      </c>
      <c r="F269" s="6">
        <f>SUM(F246:F268)</f>
        <v>556.96315623202986</v>
      </c>
    </row>
    <row r="271" spans="2:7" x14ac:dyDescent="0.3">
      <c r="B271" s="5" t="s">
        <v>121</v>
      </c>
      <c r="C271" s="5"/>
    </row>
    <row r="272" spans="2:7" x14ac:dyDescent="0.3">
      <c r="B272" s="3" t="s">
        <v>122</v>
      </c>
      <c r="D272" s="3" t="s">
        <v>123</v>
      </c>
    </row>
    <row r="273" spans="2:7" x14ac:dyDescent="0.3">
      <c r="B273" s="3" t="s">
        <v>96</v>
      </c>
    </row>
    <row r="274" spans="2:7" x14ac:dyDescent="0.3">
      <c r="B274" s="3" t="s">
        <v>124</v>
      </c>
      <c r="D274" s="3" t="s">
        <v>125</v>
      </c>
    </row>
    <row r="275" spans="2:7" x14ac:dyDescent="0.3">
      <c r="B275" s="3" t="s">
        <v>126</v>
      </c>
      <c r="D275" s="3" t="s">
        <v>127</v>
      </c>
    </row>
    <row r="276" spans="2:7" x14ac:dyDescent="0.3">
      <c r="B276" s="3" t="s">
        <v>128</v>
      </c>
    </row>
    <row r="277" spans="2:7" x14ac:dyDescent="0.3">
      <c r="B277" s="3" t="s">
        <v>124</v>
      </c>
      <c r="D277" s="8">
        <f>(D26/D13)*D43</f>
        <v>0.70379999999999998</v>
      </c>
    </row>
    <row r="278" spans="2:7" x14ac:dyDescent="0.3">
      <c r="B278" s="3" t="s">
        <v>122</v>
      </c>
      <c r="D278" s="24">
        <f>D277+(1.4-D277)*D44</f>
        <v>0.70728099999999994</v>
      </c>
    </row>
    <row r="279" spans="2:7" x14ac:dyDescent="0.3">
      <c r="B279" s="86" t="s">
        <v>131</v>
      </c>
      <c r="C279" s="86"/>
      <c r="D279" s="86"/>
      <c r="E279" s="86"/>
      <c r="G279" s="3">
        <v>12.8</v>
      </c>
    </row>
    <row r="280" spans="2:7" x14ac:dyDescent="0.3">
      <c r="B280" s="5" t="s">
        <v>132</v>
      </c>
      <c r="C280" s="5"/>
      <c r="G280" s="3">
        <f>180-G279</f>
        <v>167.2</v>
      </c>
    </row>
    <row r="281" spans="2:7" x14ac:dyDescent="0.3">
      <c r="B281" s="5" t="s">
        <v>133</v>
      </c>
      <c r="C281" s="5"/>
      <c r="D281" s="3" t="s">
        <v>134</v>
      </c>
    </row>
    <row r="282" spans="2:7" x14ac:dyDescent="0.3">
      <c r="B282" s="3" t="s">
        <v>96</v>
      </c>
    </row>
    <row r="283" spans="2:7" x14ac:dyDescent="0.3">
      <c r="B283" s="3" t="s">
        <v>135</v>
      </c>
      <c r="D283" s="3" t="s">
        <v>136</v>
      </c>
    </row>
    <row r="284" spans="2:7" x14ac:dyDescent="0.3">
      <c r="B284" s="3" t="s">
        <v>137</v>
      </c>
      <c r="D284" s="3" t="s">
        <v>138</v>
      </c>
    </row>
    <row r="285" spans="2:7" x14ac:dyDescent="0.3">
      <c r="B285" s="5" t="s">
        <v>135</v>
      </c>
      <c r="C285" s="5"/>
      <c r="D285" s="24">
        <f>D42*(D13/D22)</f>
        <v>0.65384615384615397</v>
      </c>
    </row>
    <row r="287" spans="2:7" x14ac:dyDescent="0.3">
      <c r="B287" s="3" t="s">
        <v>139</v>
      </c>
      <c r="D287" s="3" t="s">
        <v>140</v>
      </c>
    </row>
    <row r="288" spans="2:7" x14ac:dyDescent="0.3">
      <c r="B288" s="5" t="s">
        <v>139</v>
      </c>
      <c r="C288" s="5"/>
      <c r="D288" s="24">
        <f>0.248+(0.778*D285)</f>
        <v>0.75669230769230778</v>
      </c>
    </row>
    <row r="290" spans="2:6" x14ac:dyDescent="0.3">
      <c r="B290" s="3" t="s">
        <v>128</v>
      </c>
    </row>
    <row r="291" spans="2:6" x14ac:dyDescent="0.3">
      <c r="B291" s="5" t="s">
        <v>133</v>
      </c>
      <c r="C291" s="5"/>
      <c r="D291" s="8">
        <f>D22*D14*D288</f>
        <v>2555.1804240000001</v>
      </c>
      <c r="E291" s="3" t="s">
        <v>141</v>
      </c>
    </row>
    <row r="293" spans="2:6" x14ac:dyDescent="0.3">
      <c r="B293" s="5" t="s">
        <v>142</v>
      </c>
      <c r="C293" s="5"/>
      <c r="D293" s="3" t="s">
        <v>143</v>
      </c>
    </row>
    <row r="294" spans="2:6" x14ac:dyDescent="0.3">
      <c r="B294" s="3" t="s">
        <v>96</v>
      </c>
    </row>
    <row r="295" spans="2:6" x14ac:dyDescent="0.3">
      <c r="B295" s="5" t="s">
        <v>144</v>
      </c>
      <c r="C295" s="5"/>
      <c r="D295" s="3" t="s">
        <v>103</v>
      </c>
    </row>
    <row r="296" spans="2:6" x14ac:dyDescent="0.3">
      <c r="B296" s="3" t="s">
        <v>10</v>
      </c>
      <c r="D296" s="8">
        <f>D13/20</f>
        <v>6.85</v>
      </c>
      <c r="E296" s="3" t="s">
        <v>8</v>
      </c>
    </row>
    <row r="298" spans="2:6" x14ac:dyDescent="0.3">
      <c r="B298" s="3" t="s">
        <v>128</v>
      </c>
    </row>
    <row r="299" spans="2:6" x14ac:dyDescent="0.3">
      <c r="B299" s="5" t="s">
        <v>142</v>
      </c>
      <c r="C299" s="5"/>
      <c r="D299" s="8">
        <f>(2/3)*D296*F269</f>
        <v>2543.4650801262696</v>
      </c>
      <c r="E299" s="3" t="s">
        <v>298</v>
      </c>
    </row>
    <row r="301" spans="2:6" x14ac:dyDescent="0.3">
      <c r="B301" s="5" t="s">
        <v>132</v>
      </c>
      <c r="C301" s="5"/>
    </row>
    <row r="302" spans="2:6" x14ac:dyDescent="0.3">
      <c r="B302" s="5" t="s">
        <v>145</v>
      </c>
      <c r="C302" s="5"/>
    </row>
    <row r="304" spans="2:6" x14ac:dyDescent="0.3">
      <c r="B304" s="3" t="s">
        <v>10</v>
      </c>
      <c r="D304" s="8">
        <f>((D299-D291)/D291*100)</f>
        <v>-0.45849380199112266</v>
      </c>
      <c r="E304" s="8" t="s">
        <v>75</v>
      </c>
      <c r="F304" s="65" t="str">
        <f>IF(D304&lt;-0.5,"Tidak memenuhi",IF(D304&gt;0.5,"Tidak memenuhi","Memenuhi"))</f>
        <v>Memenuhi</v>
      </c>
    </row>
    <row r="305" spans="2:5" x14ac:dyDescent="0.3">
      <c r="B305" s="3" t="s">
        <v>106</v>
      </c>
      <c r="D305" s="16" t="s">
        <v>70</v>
      </c>
    </row>
    <row r="307" spans="2:5" x14ac:dyDescent="0.3">
      <c r="B307" s="5" t="s">
        <v>146</v>
      </c>
      <c r="C307" s="5"/>
    </row>
    <row r="308" spans="2:5" x14ac:dyDescent="0.3">
      <c r="B308" s="5" t="s">
        <v>147</v>
      </c>
      <c r="C308" s="5"/>
    </row>
    <row r="320" spans="2:5" x14ac:dyDescent="0.3">
      <c r="B320" s="6" t="s">
        <v>3</v>
      </c>
      <c r="C320" s="6"/>
      <c r="D320" s="25">
        <f>D13</f>
        <v>137</v>
      </c>
      <c r="E320" s="6" t="s">
        <v>8</v>
      </c>
    </row>
    <row r="321" spans="2:5" x14ac:dyDescent="0.3">
      <c r="B321" s="6" t="s">
        <v>4</v>
      </c>
      <c r="C321" s="6"/>
      <c r="D321" s="26">
        <f>D14</f>
        <v>23.7</v>
      </c>
      <c r="E321" s="6" t="s">
        <v>8</v>
      </c>
    </row>
    <row r="322" spans="2:5" x14ac:dyDescent="0.3">
      <c r="B322" s="6" t="s">
        <v>5</v>
      </c>
      <c r="C322" s="6"/>
      <c r="D322" s="6">
        <f>D15</f>
        <v>13.34</v>
      </c>
      <c r="E322" s="6" t="s">
        <v>8</v>
      </c>
    </row>
    <row r="323" spans="2:5" x14ac:dyDescent="0.3">
      <c r="B323" s="6" t="s">
        <v>6</v>
      </c>
      <c r="C323" s="6"/>
      <c r="D323" s="6">
        <f>D16</f>
        <v>9.9469999999999992</v>
      </c>
      <c r="E323" s="6" t="s">
        <v>8</v>
      </c>
    </row>
    <row r="324" spans="2:5" x14ac:dyDescent="0.3">
      <c r="B324" s="6" t="s">
        <v>148</v>
      </c>
      <c r="C324" s="6"/>
      <c r="D324" s="6">
        <f>D22</f>
        <v>142.47999999999999</v>
      </c>
      <c r="E324" s="6" t="s">
        <v>8</v>
      </c>
    </row>
    <row r="325" spans="2:5" x14ac:dyDescent="0.3">
      <c r="B325" s="6" t="s">
        <v>149</v>
      </c>
      <c r="C325" s="6"/>
      <c r="D325" s="25">
        <f>D74</f>
        <v>231.50050979999997</v>
      </c>
      <c r="E325" s="6" t="s">
        <v>141</v>
      </c>
    </row>
    <row r="327" spans="2:5" x14ac:dyDescent="0.3">
      <c r="B327" s="3" t="s">
        <v>257</v>
      </c>
      <c r="E327" s="3">
        <v>255</v>
      </c>
    </row>
    <row r="329" spans="2:5" x14ac:dyDescent="0.3">
      <c r="B329" s="5" t="s">
        <v>150</v>
      </c>
      <c r="C329" s="5"/>
    </row>
    <row r="342" spans="2:8" x14ac:dyDescent="0.3">
      <c r="B342" s="56" t="s">
        <v>151</v>
      </c>
      <c r="C342" s="56"/>
      <c r="D342" s="56" t="s">
        <v>152</v>
      </c>
      <c r="E342" s="12">
        <f>0.65*D323</f>
        <v>6.4655499999999995</v>
      </c>
      <c r="F342" s="12"/>
      <c r="G342" s="56" t="s">
        <v>160</v>
      </c>
    </row>
    <row r="343" spans="2:8" x14ac:dyDescent="0.3">
      <c r="B343" s="56" t="s">
        <v>153</v>
      </c>
      <c r="C343" s="56"/>
      <c r="D343" s="56" t="s">
        <v>154</v>
      </c>
      <c r="E343" s="12">
        <f>0.33*D323</f>
        <v>3.2825099999999998</v>
      </c>
      <c r="F343" s="12"/>
      <c r="G343" s="56" t="s">
        <v>160</v>
      </c>
    </row>
    <row r="344" spans="2:8" x14ac:dyDescent="0.3">
      <c r="B344" s="56" t="s">
        <v>155</v>
      </c>
      <c r="C344" s="56"/>
      <c r="D344" s="56" t="s">
        <v>156</v>
      </c>
      <c r="E344" s="12">
        <f>0.35*D323</f>
        <v>3.4814499999999997</v>
      </c>
      <c r="F344" s="12"/>
      <c r="G344" s="56" t="s">
        <v>160</v>
      </c>
    </row>
    <row r="345" spans="2:8" x14ac:dyDescent="0.3">
      <c r="B345" s="56"/>
      <c r="C345" s="56"/>
      <c r="D345" s="56" t="s">
        <v>296</v>
      </c>
      <c r="E345" s="12">
        <f>0.04 * D22</f>
        <v>5.6991999999999994</v>
      </c>
      <c r="F345" s="12"/>
      <c r="G345" s="56" t="s">
        <v>160</v>
      </c>
      <c r="H345" s="3" t="s">
        <v>297</v>
      </c>
    </row>
    <row r="346" spans="2:8" x14ac:dyDescent="0.3">
      <c r="B346" s="56" t="s">
        <v>157</v>
      </c>
      <c r="C346" s="56"/>
      <c r="D346" s="56" t="s">
        <v>158</v>
      </c>
      <c r="E346" s="12">
        <f>0.12*D323</f>
        <v>1.1936399999999998</v>
      </c>
      <c r="F346" s="12"/>
      <c r="G346" s="56" t="s">
        <v>160</v>
      </c>
    </row>
    <row r="348" spans="2:8" x14ac:dyDescent="0.3">
      <c r="B348" s="56" t="s">
        <v>159</v>
      </c>
      <c r="C348" s="56"/>
      <c r="D348" s="97">
        <v>144.28200000000001</v>
      </c>
      <c r="E348" s="56" t="s">
        <v>160</v>
      </c>
    </row>
    <row r="350" spans="2:8" x14ac:dyDescent="0.3">
      <c r="B350" s="5" t="s">
        <v>161</v>
      </c>
      <c r="C350" s="5"/>
    </row>
    <row r="351" spans="2:8" x14ac:dyDescent="0.3">
      <c r="B351" s="12" t="s">
        <v>30</v>
      </c>
      <c r="C351" s="12"/>
      <c r="D351" s="12" t="s">
        <v>162</v>
      </c>
      <c r="E351" s="12" t="s">
        <v>163</v>
      </c>
      <c r="F351" s="8"/>
    </row>
    <row r="352" spans="2:8" x14ac:dyDescent="0.3">
      <c r="B352" s="6">
        <v>-2</v>
      </c>
      <c r="C352" s="6"/>
      <c r="D352" s="6">
        <v>0</v>
      </c>
      <c r="E352" s="6">
        <v>9.48</v>
      </c>
    </row>
    <row r="353" spans="2:5" x14ac:dyDescent="0.3">
      <c r="B353" s="6">
        <v>-1</v>
      </c>
      <c r="C353" s="6"/>
      <c r="D353" s="6">
        <v>2.6</v>
      </c>
      <c r="E353" s="6">
        <v>9.9611999999999998</v>
      </c>
    </row>
    <row r="354" spans="2:5" x14ac:dyDescent="0.3">
      <c r="B354" s="6">
        <v>0</v>
      </c>
      <c r="C354" s="6"/>
      <c r="D354" s="6">
        <v>3.6818</v>
      </c>
      <c r="E354" s="6">
        <v>10.2318</v>
      </c>
    </row>
    <row r="355" spans="2:5" x14ac:dyDescent="0.3">
      <c r="B355" s="6">
        <v>1</v>
      </c>
      <c r="C355" s="6"/>
      <c r="D355" s="6">
        <v>5.6863999999999999</v>
      </c>
      <c r="E355" s="6">
        <v>10.7256</v>
      </c>
    </row>
    <row r="356" spans="2:5" x14ac:dyDescent="0.3">
      <c r="B356" s="6">
        <v>2</v>
      </c>
      <c r="C356" s="6"/>
      <c r="D356" s="6">
        <v>7.4</v>
      </c>
      <c r="E356" s="6">
        <v>10.913600000000001</v>
      </c>
    </row>
    <row r="357" spans="2:5" x14ac:dyDescent="0.3">
      <c r="B357" s="6">
        <v>3</v>
      </c>
      <c r="C357" s="6"/>
      <c r="D357" s="6">
        <v>8.7652999999999999</v>
      </c>
      <c r="E357" s="6">
        <v>11.090199999999999</v>
      </c>
    </row>
    <row r="358" spans="2:5" x14ac:dyDescent="0.3">
      <c r="B358" s="6">
        <v>4</v>
      </c>
      <c r="C358" s="6"/>
      <c r="D358" s="6">
        <v>9.8175000000000008</v>
      </c>
      <c r="E358" s="6">
        <v>11.2072</v>
      </c>
    </row>
    <row r="359" spans="2:5" x14ac:dyDescent="0.3">
      <c r="B359" s="6">
        <v>5</v>
      </c>
      <c r="C359" s="6"/>
      <c r="D359" s="6">
        <v>10.6</v>
      </c>
      <c r="E359" s="6">
        <v>11.291700000000001</v>
      </c>
    </row>
    <row r="360" spans="2:5" x14ac:dyDescent="0.3">
      <c r="B360" s="6">
        <v>6</v>
      </c>
      <c r="C360" s="6"/>
      <c r="D360" s="6">
        <v>11.2</v>
      </c>
      <c r="E360" s="6">
        <v>11.4467</v>
      </c>
    </row>
    <row r="361" spans="2:5" x14ac:dyDescent="0.3">
      <c r="B361" s="6">
        <v>7</v>
      </c>
      <c r="C361" s="6"/>
      <c r="D361" s="6">
        <v>11.636674374183173</v>
      </c>
      <c r="E361" s="6">
        <v>11.636674374183173</v>
      </c>
    </row>
    <row r="362" spans="2:5" x14ac:dyDescent="0.3">
      <c r="B362" s="12">
        <v>8</v>
      </c>
      <c r="C362" s="12"/>
      <c r="D362" s="6">
        <v>11.636674374183173</v>
      </c>
      <c r="E362" s="6">
        <v>11.636674374183173</v>
      </c>
    </row>
    <row r="363" spans="2:5" x14ac:dyDescent="0.3">
      <c r="B363" s="12">
        <v>9</v>
      </c>
      <c r="C363" s="12"/>
      <c r="D363" s="6">
        <v>11.636674374183173</v>
      </c>
      <c r="E363" s="6">
        <v>11.636674374183173</v>
      </c>
    </row>
    <row r="364" spans="2:5" x14ac:dyDescent="0.3">
      <c r="B364" s="12">
        <v>10</v>
      </c>
      <c r="C364" s="12"/>
      <c r="D364" s="6">
        <v>11.636674374183173</v>
      </c>
      <c r="E364" s="6">
        <v>11.636674374183173</v>
      </c>
    </row>
    <row r="365" spans="2:5" x14ac:dyDescent="0.3">
      <c r="B365" s="12">
        <v>11</v>
      </c>
      <c r="C365" s="12"/>
      <c r="D365" s="6">
        <v>11.636674374183173</v>
      </c>
      <c r="E365" s="6">
        <v>11.636674374183173</v>
      </c>
    </row>
    <row r="366" spans="2:5" x14ac:dyDescent="0.3">
      <c r="B366" s="12">
        <v>12</v>
      </c>
      <c r="C366" s="12"/>
      <c r="D366" s="6">
        <v>11.636674374183173</v>
      </c>
      <c r="E366" s="6">
        <v>11.636674374183173</v>
      </c>
    </row>
    <row r="367" spans="2:5" x14ac:dyDescent="0.3">
      <c r="B367" s="12">
        <v>13</v>
      </c>
      <c r="C367" s="12"/>
      <c r="D367" s="6">
        <v>11.636674374183173</v>
      </c>
      <c r="E367" s="6">
        <v>11.636674374183173</v>
      </c>
    </row>
    <row r="368" spans="2:5" x14ac:dyDescent="0.3">
      <c r="B368" s="12">
        <v>14</v>
      </c>
      <c r="C368" s="12"/>
      <c r="D368" s="6">
        <v>11</v>
      </c>
      <c r="E368" s="6">
        <v>11.436299999999999</v>
      </c>
    </row>
    <row r="369" spans="2:11" x14ac:dyDescent="0.3">
      <c r="B369" s="6">
        <v>15</v>
      </c>
      <c r="C369" s="6"/>
      <c r="D369" s="6">
        <v>10.199999999999999</v>
      </c>
      <c r="E369" s="6">
        <v>11.2037</v>
      </c>
    </row>
    <row r="370" spans="2:11" x14ac:dyDescent="0.3">
      <c r="B370" s="6">
        <v>16</v>
      </c>
      <c r="C370" s="6"/>
      <c r="D370" s="6">
        <v>9.1</v>
      </c>
      <c r="E370" s="6">
        <v>10.892200000000001</v>
      </c>
    </row>
    <row r="371" spans="2:11" x14ac:dyDescent="0.3">
      <c r="B371" s="6">
        <v>17</v>
      </c>
      <c r="C371" s="6"/>
      <c r="D371" s="6">
        <v>7.6</v>
      </c>
      <c r="E371" s="6">
        <v>10.0091</v>
      </c>
    </row>
    <row r="372" spans="2:11" x14ac:dyDescent="0.3">
      <c r="B372" s="6">
        <v>18</v>
      </c>
      <c r="C372" s="6"/>
      <c r="D372" s="6">
        <v>5.6</v>
      </c>
      <c r="E372" s="6">
        <v>6.4813999999999998</v>
      </c>
    </row>
    <row r="373" spans="2:11" x14ac:dyDescent="0.3">
      <c r="B373" s="6">
        <v>19</v>
      </c>
      <c r="C373" s="6"/>
      <c r="D373" s="6">
        <v>3</v>
      </c>
      <c r="E373" s="6">
        <v>5.9859999999999998</v>
      </c>
    </row>
    <row r="374" spans="2:11" x14ac:dyDescent="0.3">
      <c r="B374" s="6">
        <v>20</v>
      </c>
      <c r="C374" s="6"/>
      <c r="D374" s="6">
        <v>0</v>
      </c>
      <c r="E374" s="6">
        <v>1.4094</v>
      </c>
    </row>
    <row r="376" spans="2:11" x14ac:dyDescent="0.3">
      <c r="B376" s="3" t="s">
        <v>164</v>
      </c>
      <c r="D376" s="3" t="s">
        <v>165</v>
      </c>
      <c r="E376" s="8">
        <f>0.8*D321</f>
        <v>18.96</v>
      </c>
      <c r="F376" s="8"/>
      <c r="G376" s="3" t="s">
        <v>160</v>
      </c>
      <c r="K376" s="3">
        <f>E376/2</f>
        <v>9.48</v>
      </c>
    </row>
    <row r="377" spans="2:11" x14ac:dyDescent="0.3">
      <c r="B377" s="3" t="s">
        <v>166</v>
      </c>
      <c r="D377" s="3" t="s">
        <v>167</v>
      </c>
      <c r="E377" s="8">
        <f>0.5*D321</f>
        <v>11.85</v>
      </c>
      <c r="F377" s="8"/>
      <c r="G377" s="3" t="s">
        <v>160</v>
      </c>
      <c r="K377" s="3">
        <f>E377/2</f>
        <v>5.9249999999999998</v>
      </c>
    </row>
    <row r="378" spans="2:11" x14ac:dyDescent="0.3">
      <c r="B378" s="3" t="s">
        <v>168</v>
      </c>
      <c r="E378" s="8">
        <f>0.05*D320</f>
        <v>6.8500000000000005</v>
      </c>
      <c r="F378" s="8"/>
      <c r="G378" s="3" t="s">
        <v>160</v>
      </c>
    </row>
    <row r="380" spans="2:11" x14ac:dyDescent="0.3">
      <c r="B380" s="5" t="s">
        <v>169</v>
      </c>
      <c r="C380" s="5"/>
    </row>
    <row r="381" spans="2:11" x14ac:dyDescent="0.3">
      <c r="B381" s="5" t="s">
        <v>170</v>
      </c>
      <c r="C381" s="5"/>
      <c r="E381" s="3" t="s">
        <v>258</v>
      </c>
    </row>
    <row r="384" spans="2:11" x14ac:dyDescent="0.3">
      <c r="D384" s="22"/>
    </row>
    <row r="392" spans="2:4" x14ac:dyDescent="0.3">
      <c r="B392" s="3" t="s">
        <v>171</v>
      </c>
      <c r="D392" s="3" t="s">
        <v>307</v>
      </c>
    </row>
    <row r="393" spans="2:4" ht="16.2" x14ac:dyDescent="0.3">
      <c r="B393" s="3" t="s">
        <v>172</v>
      </c>
      <c r="D393" s="3" t="s">
        <v>308</v>
      </c>
    </row>
    <row r="394" spans="2:4" x14ac:dyDescent="0.3">
      <c r="B394" s="3" t="s">
        <v>173</v>
      </c>
    </row>
    <row r="400" spans="2:4" x14ac:dyDescent="0.3">
      <c r="B400" s="3" t="s">
        <v>174</v>
      </c>
      <c r="D400" s="9">
        <f>SQRT((1/2*((D321*D323)-D74))/(1-(1/4*3.14)))</f>
        <v>3.1413928920664427</v>
      </c>
    </row>
    <row r="401" spans="2:9" x14ac:dyDescent="0.3">
      <c r="B401" s="3" t="s">
        <v>171</v>
      </c>
      <c r="D401" s="9">
        <f>1/4*PI()*D400*D400</f>
        <v>7.7505834178109918</v>
      </c>
    </row>
    <row r="402" spans="2:9" x14ac:dyDescent="0.3">
      <c r="B402" s="3" t="s">
        <v>172</v>
      </c>
      <c r="D402" s="9">
        <f>D400*D400-D401</f>
        <v>2.1177658845145775</v>
      </c>
      <c r="E402" s="22"/>
      <c r="F402" s="22"/>
    </row>
    <row r="404" spans="2:9" x14ac:dyDescent="0.3">
      <c r="B404" s="5" t="s">
        <v>175</v>
      </c>
      <c r="C404" s="5"/>
    </row>
    <row r="405" spans="2:9" x14ac:dyDescent="0.3">
      <c r="B405" s="12" t="s">
        <v>30</v>
      </c>
      <c r="C405" s="12"/>
      <c r="D405" s="12" t="s">
        <v>116</v>
      </c>
      <c r="E405" s="12" t="s">
        <v>118</v>
      </c>
      <c r="F405" s="12" t="s">
        <v>163</v>
      </c>
      <c r="G405" s="12" t="s">
        <v>116</v>
      </c>
      <c r="H405" s="12" t="s">
        <v>118</v>
      </c>
      <c r="I405" s="12" t="s">
        <v>163</v>
      </c>
    </row>
    <row r="406" spans="2:9" x14ac:dyDescent="0.3">
      <c r="B406" s="6">
        <v>-2</v>
      </c>
      <c r="C406" s="6"/>
      <c r="D406" s="19">
        <v>0</v>
      </c>
      <c r="E406" s="6">
        <v>0</v>
      </c>
      <c r="F406" s="6">
        <v>9.48</v>
      </c>
      <c r="G406" s="19">
        <f>D406*1000</f>
        <v>0</v>
      </c>
      <c r="H406" s="19">
        <f>E406*1000</f>
        <v>0</v>
      </c>
      <c r="I406" s="19">
        <f>F406*1000</f>
        <v>9480</v>
      </c>
    </row>
    <row r="407" spans="2:9" x14ac:dyDescent="0.3">
      <c r="B407" s="6">
        <v>-1</v>
      </c>
      <c r="C407" s="6"/>
      <c r="D407" s="21">
        <v>0.38495023625213637</v>
      </c>
      <c r="E407" s="6">
        <v>2.6</v>
      </c>
      <c r="F407" s="6">
        <v>9.9611999999999998</v>
      </c>
      <c r="G407" s="19">
        <f>D407*1000</f>
        <v>384.95023625213639</v>
      </c>
      <c r="H407" s="19">
        <f>E407*1000</f>
        <v>2600</v>
      </c>
      <c r="I407" s="19">
        <f>F407*1000</f>
        <v>9961.2000000000007</v>
      </c>
    </row>
    <row r="408" spans="2:9" x14ac:dyDescent="0.3">
      <c r="B408" s="6">
        <v>0</v>
      </c>
      <c r="C408" s="6"/>
      <c r="D408" s="21">
        <v>0.79118829797929036</v>
      </c>
      <c r="E408" s="6">
        <v>3.6818</v>
      </c>
      <c r="F408" s="6" t="s">
        <v>372</v>
      </c>
      <c r="G408" s="19">
        <f>D408*1000</f>
        <v>791.18829797929038</v>
      </c>
      <c r="H408" s="19">
        <f>E408*1000</f>
        <v>3681.8</v>
      </c>
      <c r="I408" s="19" t="e">
        <f>F408*1000</f>
        <v>#VALUE!</v>
      </c>
    </row>
    <row r="409" spans="2:9" x14ac:dyDescent="0.3">
      <c r="B409" s="6">
        <v>1</v>
      </c>
      <c r="C409" s="6"/>
      <c r="D409" s="21">
        <v>2.2352920478536245</v>
      </c>
      <c r="E409" s="6">
        <v>5.6863999999999999</v>
      </c>
      <c r="F409" s="6">
        <v>10.7256</v>
      </c>
      <c r="G409" s="19">
        <f>D409*1000</f>
        <v>2235.2920478536244</v>
      </c>
      <c r="H409" s="19">
        <f>E409*1000</f>
        <v>5686.4</v>
      </c>
      <c r="I409" s="19">
        <f>F409*1000</f>
        <v>10725.6</v>
      </c>
    </row>
    <row r="410" spans="2:9" x14ac:dyDescent="0.3">
      <c r="B410" s="6">
        <v>2</v>
      </c>
      <c r="C410" s="6"/>
      <c r="D410" s="21">
        <v>4.551754297778225</v>
      </c>
      <c r="E410" s="6">
        <v>7.4</v>
      </c>
      <c r="F410" s="6">
        <v>10.913600000000001</v>
      </c>
      <c r="G410" s="19">
        <f>D410*1000</f>
        <v>4551.754297778225</v>
      </c>
      <c r="H410" s="19">
        <f>E410*1000</f>
        <v>7400</v>
      </c>
      <c r="I410" s="19">
        <f>F410*1000</f>
        <v>10913.6</v>
      </c>
    </row>
    <row r="411" spans="2:9" x14ac:dyDescent="0.3">
      <c r="B411" s="6">
        <v>3</v>
      </c>
      <c r="C411" s="6"/>
      <c r="D411" s="21">
        <v>6.8292651050568018</v>
      </c>
      <c r="E411" s="6">
        <v>8.7652999999999999</v>
      </c>
      <c r="F411" s="6">
        <v>11.090199999999999</v>
      </c>
      <c r="G411" s="19">
        <f>D411*1000</f>
        <v>6829.265105056802</v>
      </c>
      <c r="H411" s="19">
        <f>E411*1000</f>
        <v>8765.2999999999993</v>
      </c>
      <c r="I411" s="19">
        <f>F411*1000</f>
        <v>11090.199999999999</v>
      </c>
    </row>
    <row r="412" spans="2:9" x14ac:dyDescent="0.3">
      <c r="B412" s="6">
        <v>4</v>
      </c>
      <c r="C412" s="6"/>
      <c r="D412" s="21">
        <v>8.9747361013370863</v>
      </c>
      <c r="E412" s="6">
        <v>9.8175000000000008</v>
      </c>
      <c r="F412" s="6">
        <v>11.2072</v>
      </c>
      <c r="G412" s="19">
        <f>D412*1000</f>
        <v>8974.7361013370864</v>
      </c>
      <c r="H412" s="19">
        <f>E412*1000</f>
        <v>9817.5</v>
      </c>
      <c r="I412" s="19">
        <f>F412*1000</f>
        <v>11207.2</v>
      </c>
    </row>
    <row r="413" spans="2:9" x14ac:dyDescent="0.3">
      <c r="B413" s="6">
        <v>5</v>
      </c>
      <c r="C413" s="6"/>
      <c r="D413" s="21">
        <v>10.424007238363327</v>
      </c>
      <c r="E413" s="6">
        <v>10.6</v>
      </c>
      <c r="F413" s="6">
        <v>11.291700000000001</v>
      </c>
      <c r="G413" s="19">
        <f>D413*1000</f>
        <v>10424.007238363327</v>
      </c>
      <c r="H413" s="19">
        <f>E413*1000</f>
        <v>10600</v>
      </c>
      <c r="I413" s="19">
        <f>F413*1000</f>
        <v>11291.7</v>
      </c>
    </row>
    <row r="414" spans="2:9" x14ac:dyDescent="0.3">
      <c r="B414" s="6">
        <v>6</v>
      </c>
      <c r="C414" s="6"/>
      <c r="D414" s="21">
        <v>11.070850507690762</v>
      </c>
      <c r="E414" s="6">
        <v>11.3</v>
      </c>
      <c r="F414" s="6">
        <v>11.4467</v>
      </c>
      <c r="G414" s="19">
        <f>D414*1000</f>
        <v>11070.850507690762</v>
      </c>
      <c r="H414" s="19">
        <f>E414*1000</f>
        <v>11300</v>
      </c>
      <c r="I414" s="19">
        <f>F414*1000</f>
        <v>11446.7</v>
      </c>
    </row>
    <row r="415" spans="2:9" x14ac:dyDescent="0.3">
      <c r="B415" s="6">
        <v>7</v>
      </c>
      <c r="C415" s="6"/>
      <c r="D415" s="21">
        <v>11.435870111591436</v>
      </c>
      <c r="E415" s="12">
        <v>11.636674374183173</v>
      </c>
      <c r="F415" s="12">
        <v>11.636674374183173</v>
      </c>
      <c r="G415" s="19">
        <f>D415*1000</f>
        <v>11435.870111591435</v>
      </c>
      <c r="H415" s="19">
        <f>E415*1000</f>
        <v>11636.674374183172</v>
      </c>
      <c r="I415" s="19">
        <f>F415*1000</f>
        <v>11636.674374183172</v>
      </c>
    </row>
    <row r="416" spans="2:9" x14ac:dyDescent="0.3">
      <c r="B416" s="6">
        <v>8</v>
      </c>
      <c r="C416" s="6"/>
      <c r="D416" s="21">
        <v>11.593560872624913</v>
      </c>
      <c r="E416" s="12">
        <v>11.636674374183173</v>
      </c>
      <c r="F416" s="12">
        <v>11.636674374183173</v>
      </c>
      <c r="G416" s="19">
        <f>D416*1000</f>
        <v>11593.560872624912</v>
      </c>
      <c r="H416" s="19">
        <f>E416*1000</f>
        <v>11636.674374183172</v>
      </c>
      <c r="I416" s="19">
        <f>F416*1000</f>
        <v>11636.674374183172</v>
      </c>
    </row>
    <row r="417" spans="2:9" x14ac:dyDescent="0.3">
      <c r="B417" s="6">
        <v>9</v>
      </c>
      <c r="C417" s="6"/>
      <c r="D417" s="27">
        <v>11.636674374183173</v>
      </c>
      <c r="E417" s="12">
        <v>11.636674374183173</v>
      </c>
      <c r="F417" s="12">
        <v>11.636674374183173</v>
      </c>
      <c r="G417" s="19">
        <f>D417*1000</f>
        <v>11636.674374183172</v>
      </c>
      <c r="H417" s="19">
        <f>E417*1000</f>
        <v>11636.674374183172</v>
      </c>
      <c r="I417" s="19">
        <f>F417*1000</f>
        <v>11636.674374183172</v>
      </c>
    </row>
    <row r="418" spans="2:9" x14ac:dyDescent="0.3">
      <c r="B418" s="6">
        <v>10</v>
      </c>
      <c r="C418" s="6"/>
      <c r="D418" s="27">
        <v>11.636674374183173</v>
      </c>
      <c r="E418" s="12">
        <v>11.636674374183173</v>
      </c>
      <c r="F418" s="12">
        <v>11.636674374183173</v>
      </c>
      <c r="G418" s="19">
        <f>D418*1000</f>
        <v>11636.674374183172</v>
      </c>
      <c r="H418" s="19">
        <f>E418*1000</f>
        <v>11636.674374183172</v>
      </c>
      <c r="I418" s="19">
        <f>F418*1000</f>
        <v>11636.674374183172</v>
      </c>
    </row>
    <row r="419" spans="2:9" x14ac:dyDescent="0.3">
      <c r="B419" s="6">
        <v>11</v>
      </c>
      <c r="C419" s="6"/>
      <c r="D419" s="27">
        <v>11.636674374183173</v>
      </c>
      <c r="E419" s="12">
        <v>11.636674374183173</v>
      </c>
      <c r="F419" s="12">
        <v>11.636674374183173</v>
      </c>
      <c r="G419" s="19">
        <f>D419*1000</f>
        <v>11636.674374183172</v>
      </c>
      <c r="H419" s="19">
        <f>E419*1000</f>
        <v>11636.674374183172</v>
      </c>
      <c r="I419" s="19">
        <f>F419*1000</f>
        <v>11636.674374183172</v>
      </c>
    </row>
    <row r="420" spans="2:9" x14ac:dyDescent="0.3">
      <c r="B420" s="6">
        <v>12</v>
      </c>
      <c r="C420" s="6"/>
      <c r="D420" s="21">
        <v>11.59485271941289</v>
      </c>
      <c r="E420" s="12">
        <v>11.636674374183173</v>
      </c>
      <c r="F420" s="12">
        <v>11.636674374183173</v>
      </c>
      <c r="G420" s="19">
        <f>D420*1000</f>
        <v>11594.852719412889</v>
      </c>
      <c r="H420" s="19">
        <f>E420*1000</f>
        <v>11636.674374183172</v>
      </c>
      <c r="I420" s="19">
        <f>F420*1000</f>
        <v>11636.674374183172</v>
      </c>
    </row>
    <row r="421" spans="2:9" x14ac:dyDescent="0.3">
      <c r="B421" s="6">
        <v>13</v>
      </c>
      <c r="C421" s="6"/>
      <c r="D421" s="21">
        <v>11.420041218457827</v>
      </c>
      <c r="E421" s="12">
        <v>11.636674374183173</v>
      </c>
      <c r="F421" s="12">
        <v>11.636674374183173</v>
      </c>
      <c r="G421" s="19">
        <f>D421*1000</f>
        <v>11420.041218457827</v>
      </c>
      <c r="H421" s="19">
        <f>E421*1000</f>
        <v>11636.674374183172</v>
      </c>
      <c r="I421" s="19">
        <f>F421*1000</f>
        <v>11636.674374183172</v>
      </c>
    </row>
    <row r="422" spans="2:9" x14ac:dyDescent="0.3">
      <c r="B422" s="6">
        <v>14</v>
      </c>
      <c r="C422" s="6"/>
      <c r="D422" s="21">
        <v>10.813089373680508</v>
      </c>
      <c r="E422" s="6">
        <v>11</v>
      </c>
      <c r="F422" s="6">
        <v>11.436299999999999</v>
      </c>
      <c r="G422" s="19">
        <f>D422*1000</f>
        <v>10813.089373680508</v>
      </c>
      <c r="H422" s="19">
        <f>E422*1000</f>
        <v>11000</v>
      </c>
      <c r="I422" s="19">
        <f>F422*1000</f>
        <v>11436.3</v>
      </c>
    </row>
    <row r="423" spans="2:9" x14ac:dyDescent="0.3">
      <c r="B423" s="6">
        <v>15</v>
      </c>
      <c r="C423" s="6"/>
      <c r="D423" s="21">
        <v>9.722464059515433</v>
      </c>
      <c r="E423" s="6">
        <v>10.199999999999999</v>
      </c>
      <c r="F423" s="6">
        <v>11.2037</v>
      </c>
      <c r="G423" s="19">
        <f>D423*1000</f>
        <v>9722.4640595154324</v>
      </c>
      <c r="H423" s="19">
        <f>E423*1000</f>
        <v>10200</v>
      </c>
      <c r="I423" s="19">
        <f>F423*1000</f>
        <v>11203.699999999999</v>
      </c>
    </row>
    <row r="424" spans="2:9" x14ac:dyDescent="0.3">
      <c r="B424" s="6">
        <v>16</v>
      </c>
      <c r="C424" s="6"/>
      <c r="D424" s="21">
        <v>7.7772544485774606</v>
      </c>
      <c r="E424" s="6">
        <v>9.1</v>
      </c>
      <c r="F424" s="6">
        <v>10.892200000000001</v>
      </c>
      <c r="G424" s="19">
        <f>D424*1000</f>
        <v>7777.2544485774606</v>
      </c>
      <c r="H424" s="19">
        <f>E424*1000</f>
        <v>9100</v>
      </c>
      <c r="I424" s="19">
        <f>F424*1000</f>
        <v>10892.2</v>
      </c>
    </row>
    <row r="425" spans="2:9" x14ac:dyDescent="0.3">
      <c r="B425" s="6">
        <v>17</v>
      </c>
      <c r="C425" s="6"/>
      <c r="D425" s="21">
        <v>5.5893535739418923</v>
      </c>
      <c r="E425" s="6">
        <v>7.6</v>
      </c>
      <c r="F425" s="6">
        <v>10.0091</v>
      </c>
      <c r="G425" s="19">
        <f>D425*1000</f>
        <v>5589.3535739418921</v>
      </c>
      <c r="H425" s="19">
        <f>E425*1000</f>
        <v>7600</v>
      </c>
      <c r="I425" s="19">
        <f>F425*1000</f>
        <v>10009.1</v>
      </c>
    </row>
    <row r="426" spans="2:9" x14ac:dyDescent="0.3">
      <c r="B426" s="6">
        <v>18</v>
      </c>
      <c r="C426" s="6"/>
      <c r="D426" s="21">
        <v>3.0296219965818842</v>
      </c>
      <c r="E426" s="6">
        <v>5.6</v>
      </c>
      <c r="F426" s="6">
        <v>6.4813999999999998</v>
      </c>
      <c r="G426" s="19">
        <f>D426*1000</f>
        <v>3029.6219965818841</v>
      </c>
      <c r="H426" s="19">
        <f>E426*1000</f>
        <v>5600</v>
      </c>
      <c r="I426" s="19">
        <f>F426*1000</f>
        <v>6481.4</v>
      </c>
    </row>
    <row r="427" spans="2:9" x14ac:dyDescent="0.3">
      <c r="B427" s="6">
        <v>19</v>
      </c>
      <c r="C427" s="6"/>
      <c r="D427" s="21">
        <v>1.1011410475520258</v>
      </c>
      <c r="E427" s="6">
        <v>3</v>
      </c>
      <c r="F427" s="6">
        <v>5.9859999999999998</v>
      </c>
      <c r="G427" s="19">
        <f>D427*1000</f>
        <v>1101.1410475520258</v>
      </c>
      <c r="H427" s="19">
        <f>E427*1000</f>
        <v>3000</v>
      </c>
      <c r="I427" s="19">
        <f>F427*1000</f>
        <v>5986</v>
      </c>
    </row>
    <row r="428" spans="2:9" x14ac:dyDescent="0.3">
      <c r="B428" s="6">
        <v>20</v>
      </c>
      <c r="C428" s="6"/>
      <c r="D428" s="19">
        <v>0</v>
      </c>
      <c r="E428" s="6">
        <v>0</v>
      </c>
      <c r="F428" s="6">
        <v>1.4094</v>
      </c>
      <c r="G428" s="19">
        <f>D428*1000</f>
        <v>0</v>
      </c>
      <c r="H428" s="19">
        <f>E428*1000</f>
        <v>0</v>
      </c>
      <c r="I428" s="19">
        <f>F428*1000</f>
        <v>1409.4</v>
      </c>
    </row>
    <row r="430" spans="2:9" x14ac:dyDescent="0.3">
      <c r="B430" s="3" t="s">
        <v>176</v>
      </c>
    </row>
    <row r="431" spans="2:9" x14ac:dyDescent="0.3">
      <c r="B431" s="3" t="s">
        <v>177</v>
      </c>
    </row>
    <row r="432" spans="2:9" x14ac:dyDescent="0.3">
      <c r="B432" s="3" t="s">
        <v>309</v>
      </c>
    </row>
    <row r="434" spans="2:12" x14ac:dyDescent="0.3">
      <c r="B434" s="12" t="s">
        <v>30</v>
      </c>
      <c r="C434" s="12"/>
      <c r="D434" s="12" t="s">
        <v>178</v>
      </c>
      <c r="E434" s="12" t="s">
        <v>179</v>
      </c>
      <c r="F434" s="12" t="s">
        <v>180</v>
      </c>
      <c r="G434" s="12" t="s">
        <v>181</v>
      </c>
      <c r="I434" s="12"/>
      <c r="L434" s="8"/>
    </row>
    <row r="435" spans="2:12" x14ac:dyDescent="0.3">
      <c r="B435" s="28">
        <v>-2</v>
      </c>
      <c r="C435" s="28"/>
      <c r="D435" s="19">
        <v>0</v>
      </c>
      <c r="E435" s="6">
        <v>0</v>
      </c>
      <c r="F435" s="6">
        <f>ABS(D435-E435)</f>
        <v>0</v>
      </c>
      <c r="G435" s="6"/>
      <c r="I435" s="6"/>
    </row>
    <row r="436" spans="2:12" x14ac:dyDescent="0.3">
      <c r="B436" s="28">
        <v>-1</v>
      </c>
      <c r="C436" s="28"/>
      <c r="D436" s="21">
        <v>0</v>
      </c>
      <c r="E436" s="6">
        <v>0</v>
      </c>
      <c r="F436" s="6">
        <f>ABS(D436-E436)</f>
        <v>0</v>
      </c>
      <c r="G436" s="6"/>
      <c r="I436" s="6"/>
    </row>
    <row r="437" spans="2:12" x14ac:dyDescent="0.3">
      <c r="B437" s="28">
        <v>0</v>
      </c>
      <c r="C437" s="28"/>
      <c r="D437" s="21">
        <v>0</v>
      </c>
      <c r="E437" s="6">
        <v>0</v>
      </c>
      <c r="F437" s="6">
        <f>ABS(D437-E437)</f>
        <v>0</v>
      </c>
      <c r="G437" s="6"/>
      <c r="I437" s="6"/>
    </row>
    <row r="438" spans="2:12" x14ac:dyDescent="0.3">
      <c r="B438" s="6">
        <v>1</v>
      </c>
      <c r="C438" s="6"/>
      <c r="D438" s="6">
        <v>4.2866999999999997</v>
      </c>
      <c r="E438" s="21">
        <v>4.2934999999999999</v>
      </c>
      <c r="F438" s="6">
        <f>ABS(D438-E438)</f>
        <v>6.8000000000001393E-3</v>
      </c>
      <c r="G438" s="21">
        <f>(F438/D438)*100</f>
        <v>0.1586301817248732</v>
      </c>
      <c r="I438" s="6"/>
      <c r="L438" s="22"/>
    </row>
    <row r="439" spans="2:12" x14ac:dyDescent="0.3">
      <c r="B439" s="6">
        <v>2</v>
      </c>
      <c r="C439" s="6"/>
      <c r="D439" s="21">
        <v>2.6553</v>
      </c>
      <c r="E439" s="6">
        <v>2.6530999999999998</v>
      </c>
      <c r="F439" s="6">
        <f>ABS(D439-E439)</f>
        <v>2.2000000000002018E-3</v>
      </c>
      <c r="G439" s="21">
        <f>(F439/D439)*100</f>
        <v>8.2853161601333256E-2</v>
      </c>
      <c r="I439" s="6"/>
      <c r="L439" s="22"/>
    </row>
    <row r="440" spans="2:12" x14ac:dyDescent="0.3">
      <c r="B440" s="6">
        <v>3</v>
      </c>
      <c r="C440" s="6"/>
      <c r="D440" s="21">
        <v>2.3475000000000001</v>
      </c>
      <c r="E440" s="6">
        <v>2.347</v>
      </c>
      <c r="F440" s="6">
        <f>ABS(D440-E440)</f>
        <v>5.0000000000016698E-4</v>
      </c>
      <c r="G440" s="21">
        <f>(F440/D440)*100</f>
        <v>2.1299254526098699E-2</v>
      </c>
      <c r="I440" s="6"/>
      <c r="L440" s="22"/>
    </row>
    <row r="441" spans="2:12" x14ac:dyDescent="0.3">
      <c r="B441" s="6">
        <v>4</v>
      </c>
      <c r="C441" s="6"/>
      <c r="D441" s="21">
        <v>0.98770000000000002</v>
      </c>
      <c r="E441" s="21">
        <v>0.98799999999999999</v>
      </c>
      <c r="F441" s="6">
        <f>ABS(D441-E441)</f>
        <v>2.9999999999996696E-4</v>
      </c>
      <c r="G441" s="21">
        <f>(F441/D441)*100</f>
        <v>3.0373595221217676E-2</v>
      </c>
      <c r="I441" s="6"/>
      <c r="L441" s="22"/>
    </row>
    <row r="442" spans="2:12" x14ac:dyDescent="0.3">
      <c r="B442" s="6">
        <v>5</v>
      </c>
      <c r="C442" s="6"/>
      <c r="D442" s="21">
        <v>0.32179999999999997</v>
      </c>
      <c r="E442" s="6">
        <v>0.32169999999999999</v>
      </c>
      <c r="F442" s="21">
        <f>ABS(D442-E442)</f>
        <v>9.9999999999988987E-5</v>
      </c>
      <c r="G442" s="21">
        <f>(F442/D442)*100</f>
        <v>3.107520198880951E-2</v>
      </c>
      <c r="I442" s="6"/>
      <c r="L442" s="22"/>
    </row>
    <row r="443" spans="2:12" x14ac:dyDescent="0.3">
      <c r="B443" s="6">
        <v>6</v>
      </c>
      <c r="C443" s="6"/>
      <c r="D443" s="21">
        <v>0.40439999999999998</v>
      </c>
      <c r="E443" s="6">
        <v>0.40460000000000002</v>
      </c>
      <c r="F443" s="6">
        <f>ABS(D443-E443)</f>
        <v>2.0000000000003348E-4</v>
      </c>
      <c r="G443" s="21">
        <f>(F443/D443)*100</f>
        <v>4.9455984174093345E-2</v>
      </c>
      <c r="I443" s="6"/>
      <c r="L443" s="22"/>
    </row>
    <row r="444" spans="2:12" x14ac:dyDescent="0.3">
      <c r="B444" s="12">
        <v>7</v>
      </c>
      <c r="C444" s="12"/>
      <c r="D444" s="21">
        <v>0.1988</v>
      </c>
      <c r="E444" s="6">
        <v>0.19869999999999999</v>
      </c>
      <c r="F444" s="95">
        <f>ABS(D444-E444)</f>
        <v>1.0000000000001674E-4</v>
      </c>
      <c r="G444" s="21">
        <f>(F444/D444)*100</f>
        <v>5.0301810865199567E-2</v>
      </c>
      <c r="I444" s="29"/>
      <c r="L444" s="22"/>
    </row>
    <row r="445" spans="2:12" x14ac:dyDescent="0.3">
      <c r="B445" s="12">
        <v>8</v>
      </c>
      <c r="C445" s="12"/>
      <c r="D445" s="21">
        <v>0.1988</v>
      </c>
      <c r="E445" s="56">
        <v>0.19869999999999999</v>
      </c>
      <c r="F445" s="6">
        <f>ABS(D445-E445)</f>
        <v>1.0000000000001674E-4</v>
      </c>
      <c r="G445" s="6">
        <f>(F445/D445)*100</f>
        <v>5.0301810865199567E-2</v>
      </c>
      <c r="I445" s="6"/>
    </row>
    <row r="446" spans="2:12" x14ac:dyDescent="0.3">
      <c r="B446" s="12">
        <v>9</v>
      </c>
      <c r="C446" s="12"/>
      <c r="D446" s="21">
        <v>0.1988</v>
      </c>
      <c r="E446" s="56">
        <v>0.19869999999999999</v>
      </c>
      <c r="F446" s="6">
        <f>ABS(D446-E446)</f>
        <v>1.0000000000001674E-4</v>
      </c>
      <c r="G446" s="6">
        <f>(F446/D446)*100</f>
        <v>5.0301810865199567E-2</v>
      </c>
      <c r="I446" s="6"/>
    </row>
    <row r="447" spans="2:12" x14ac:dyDescent="0.3">
      <c r="B447" s="12">
        <v>10</v>
      </c>
      <c r="C447" s="12"/>
      <c r="D447" s="21">
        <v>0.1988</v>
      </c>
      <c r="E447" s="56">
        <v>0.19869999999999999</v>
      </c>
      <c r="F447" s="6">
        <f>ABS(D447-E447)</f>
        <v>1.0000000000001674E-4</v>
      </c>
      <c r="G447" s="6">
        <f>(F447/D447)*100</f>
        <v>5.0301810865199567E-2</v>
      </c>
      <c r="I447" s="6"/>
    </row>
    <row r="448" spans="2:12" x14ac:dyDescent="0.3">
      <c r="B448" s="12">
        <v>11</v>
      </c>
      <c r="C448" s="12"/>
      <c r="D448" s="21">
        <v>0.1988</v>
      </c>
      <c r="E448" s="56">
        <v>0.19869999999999999</v>
      </c>
      <c r="F448" s="6">
        <f>ABS(D448-E448)</f>
        <v>1.0000000000001674E-4</v>
      </c>
      <c r="G448" s="6">
        <f>(F448/D448)*100</f>
        <v>5.0301810865199567E-2</v>
      </c>
      <c r="I448" s="6"/>
    </row>
    <row r="449" spans="2:12" x14ac:dyDescent="0.3">
      <c r="B449" s="12">
        <v>12</v>
      </c>
      <c r="C449" s="12"/>
      <c r="D449" s="21">
        <v>0.1988</v>
      </c>
      <c r="E449" s="56">
        <v>0.19869999999999999</v>
      </c>
      <c r="F449" s="6">
        <f>ABS(D449-E449)</f>
        <v>1.0000000000001674E-4</v>
      </c>
      <c r="G449" s="6">
        <f>(F449/D449)*100</f>
        <v>5.0301810865199567E-2</v>
      </c>
      <c r="I449" s="6"/>
    </row>
    <row r="450" spans="2:12" x14ac:dyDescent="0.3">
      <c r="B450" s="12">
        <v>13</v>
      </c>
      <c r="C450" s="12"/>
      <c r="D450" s="21">
        <v>0.1988</v>
      </c>
      <c r="E450" s="56">
        <v>0.19869999999999999</v>
      </c>
      <c r="F450" s="6">
        <f>ABS(D450-E450)</f>
        <v>1.0000000000001674E-4</v>
      </c>
      <c r="G450" s="6">
        <f>(F450/D450)*100</f>
        <v>5.0301810865199567E-2</v>
      </c>
      <c r="I450" s="6"/>
    </row>
    <row r="451" spans="2:12" x14ac:dyDescent="0.3">
      <c r="B451" s="12">
        <v>14</v>
      </c>
      <c r="C451" s="12"/>
      <c r="D451" s="21">
        <v>0.1988</v>
      </c>
      <c r="E451" s="56">
        <v>0.19869999999999999</v>
      </c>
      <c r="F451" s="6">
        <f>ABS(D451-E451)</f>
        <v>1.0000000000001674E-4</v>
      </c>
      <c r="G451" s="6">
        <f>(F451/D451)*100</f>
        <v>5.0301810865199567E-2</v>
      </c>
      <c r="I451" s="6"/>
    </row>
    <row r="452" spans="2:12" x14ac:dyDescent="0.3">
      <c r="B452" s="6">
        <v>15</v>
      </c>
      <c r="C452" s="6"/>
      <c r="D452" s="21">
        <v>1.4231</v>
      </c>
      <c r="E452" s="6">
        <v>1.4222999999999999</v>
      </c>
      <c r="F452" s="6">
        <f>ABS(D452-E452)</f>
        <v>8.0000000000013394E-4</v>
      </c>
      <c r="G452" s="21">
        <f>(F452/D452)*100</f>
        <v>5.6215304616691296E-2</v>
      </c>
      <c r="I452" s="6"/>
      <c r="L452" s="22"/>
    </row>
    <row r="453" spans="2:12" x14ac:dyDescent="0.3">
      <c r="B453" s="6">
        <v>16</v>
      </c>
      <c r="C453" s="6"/>
      <c r="D453" s="21">
        <v>2.3769999999999998</v>
      </c>
      <c r="E453" s="6">
        <v>2.3773</v>
      </c>
      <c r="F453" s="6">
        <f>ABS(D453-E453)</f>
        <v>3.00000000000189E-4</v>
      </c>
      <c r="G453" s="21">
        <f>(F453/D453)*100</f>
        <v>1.2620950778299916E-2</v>
      </c>
      <c r="I453" s="6"/>
      <c r="L453" s="22"/>
    </row>
    <row r="454" spans="2:12" x14ac:dyDescent="0.3">
      <c r="B454" s="6">
        <v>17</v>
      </c>
      <c r="C454" s="6"/>
      <c r="D454" s="21">
        <v>2.5714000000000001</v>
      </c>
      <c r="E454" s="6">
        <v>2.5701000000000001</v>
      </c>
      <c r="F454" s="6">
        <f>ABS(D454-E454)</f>
        <v>1.3000000000000789E-3</v>
      </c>
      <c r="G454" s="21">
        <f>(F454/D454)*100</f>
        <v>5.0556117290195171E-2</v>
      </c>
      <c r="I454" s="6"/>
      <c r="L454" s="22"/>
    </row>
    <row r="455" spans="2:12" x14ac:dyDescent="0.3">
      <c r="B455" s="6">
        <v>18</v>
      </c>
      <c r="C455" s="6"/>
      <c r="D455" s="21">
        <v>3.6467000000000001</v>
      </c>
      <c r="E455" s="6">
        <v>3.6471</v>
      </c>
      <c r="F455" s="6">
        <f>ABS(D455-E455)</f>
        <v>3.9999999999995595E-4</v>
      </c>
      <c r="G455" s="21">
        <f>(F455/D455)*100</f>
        <v>1.096882112594828E-2</v>
      </c>
      <c r="I455" s="6"/>
      <c r="L455" s="22"/>
    </row>
    <row r="456" spans="2:12" x14ac:dyDescent="0.3">
      <c r="B456" s="6">
        <v>19</v>
      </c>
      <c r="C456" s="6"/>
      <c r="D456" s="21">
        <v>2.0589</v>
      </c>
      <c r="E456" s="6">
        <v>2.0596000000000001</v>
      </c>
      <c r="F456" s="6">
        <f>ABS(D456-E456)</f>
        <v>7.0000000000014495E-4</v>
      </c>
      <c r="G456" s="21">
        <f>(F456/D456)*100</f>
        <v>3.3998737189768563E-2</v>
      </c>
      <c r="I456" s="6"/>
      <c r="L456" s="22"/>
    </row>
    <row r="457" spans="2:12" x14ac:dyDescent="0.3">
      <c r="B457" s="6">
        <v>20</v>
      </c>
      <c r="C457" s="6"/>
      <c r="D457" s="21">
        <v>2.3250999999999999</v>
      </c>
      <c r="E457" s="6">
        <v>2.3348</v>
      </c>
      <c r="F457" s="6">
        <f>ABS(D457-E457)</f>
        <v>9.7000000000000419E-3</v>
      </c>
      <c r="G457" s="21">
        <f>(F457/D457)*100</f>
        <v>0.41718635757602002</v>
      </c>
      <c r="I457" s="6"/>
      <c r="L457" s="22"/>
    </row>
    <row r="458" spans="2:12" x14ac:dyDescent="0.3">
      <c r="F458" s="3" t="s">
        <v>370</v>
      </c>
      <c r="G458" s="96">
        <f>SUM(G435:G457)</f>
        <v>1.3576481547349457</v>
      </c>
    </row>
    <row r="459" spans="2:12" x14ac:dyDescent="0.3">
      <c r="B459" s="30" t="s">
        <v>182</v>
      </c>
      <c r="C459" s="30"/>
    </row>
    <row r="460" spans="2:12" x14ac:dyDescent="0.3">
      <c r="B460" s="31" t="s">
        <v>30</v>
      </c>
      <c r="C460" s="31"/>
      <c r="D460" s="31" t="s">
        <v>178</v>
      </c>
    </row>
    <row r="461" spans="2:12" x14ac:dyDescent="0.3">
      <c r="B461" s="32">
        <v>-2</v>
      </c>
      <c r="C461" s="32"/>
      <c r="D461" s="33">
        <v>0</v>
      </c>
      <c r="E461" s="3" t="s">
        <v>183</v>
      </c>
    </row>
    <row r="462" spans="2:12" x14ac:dyDescent="0.3">
      <c r="B462" s="32">
        <v>-1</v>
      </c>
      <c r="C462" s="32"/>
      <c r="D462" s="34">
        <v>1.8254999999999999</v>
      </c>
      <c r="E462" s="35" t="s">
        <v>183</v>
      </c>
      <c r="F462" s="35"/>
    </row>
    <row r="463" spans="2:12" x14ac:dyDescent="0.3">
      <c r="B463" s="32">
        <v>0</v>
      </c>
      <c r="C463" s="32"/>
      <c r="D463" s="34">
        <v>2.6621999999999999</v>
      </c>
    </row>
    <row r="464" spans="2:12" x14ac:dyDescent="0.3">
      <c r="B464" s="32">
        <v>1</v>
      </c>
      <c r="C464" s="32"/>
      <c r="D464" s="34">
        <v>3.7235</v>
      </c>
    </row>
    <row r="465" spans="2:4" x14ac:dyDescent="0.3">
      <c r="B465" s="32">
        <v>2</v>
      </c>
      <c r="C465" s="32"/>
      <c r="D465" s="34">
        <v>6.0243000000000002</v>
      </c>
    </row>
    <row r="466" spans="2:4" x14ac:dyDescent="0.3">
      <c r="B466" s="32">
        <v>3</v>
      </c>
      <c r="C466" s="32"/>
      <c r="D466" s="34">
        <v>8.8180999999999994</v>
      </c>
    </row>
    <row r="467" spans="2:4" x14ac:dyDescent="0.3">
      <c r="B467" s="32">
        <v>4</v>
      </c>
      <c r="C467" s="32"/>
      <c r="D467" s="34">
        <v>11.6516</v>
      </c>
    </row>
    <row r="468" spans="2:4" x14ac:dyDescent="0.3">
      <c r="B468" s="32">
        <v>5</v>
      </c>
      <c r="C468" s="32"/>
      <c r="D468" s="34">
        <v>13.527699999999999</v>
      </c>
    </row>
    <row r="469" spans="2:4" x14ac:dyDescent="0.3">
      <c r="B469" s="32">
        <v>6</v>
      </c>
      <c r="C469" s="32"/>
      <c r="D469" s="34">
        <v>14.1638</v>
      </c>
    </row>
    <row r="470" spans="2:4" x14ac:dyDescent="0.3">
      <c r="B470" s="31">
        <v>7</v>
      </c>
      <c r="C470" s="31"/>
      <c r="D470" s="34">
        <v>14.1638</v>
      </c>
    </row>
    <row r="471" spans="2:4" x14ac:dyDescent="0.3">
      <c r="B471" s="31">
        <v>8</v>
      </c>
      <c r="C471" s="31"/>
      <c r="D471" s="34">
        <v>14.1638</v>
      </c>
    </row>
    <row r="472" spans="2:4" x14ac:dyDescent="0.3">
      <c r="B472" s="31">
        <v>9</v>
      </c>
      <c r="C472" s="31"/>
      <c r="D472" s="34">
        <v>14.1638</v>
      </c>
    </row>
    <row r="473" spans="2:4" x14ac:dyDescent="0.3">
      <c r="B473" s="31">
        <v>10</v>
      </c>
      <c r="C473" s="31"/>
      <c r="D473" s="34">
        <v>14.1638</v>
      </c>
    </row>
    <row r="474" spans="2:4" x14ac:dyDescent="0.3">
      <c r="B474" s="31">
        <v>11</v>
      </c>
      <c r="C474" s="31"/>
      <c r="D474" s="34">
        <v>14.1638</v>
      </c>
    </row>
    <row r="475" spans="2:4" x14ac:dyDescent="0.3">
      <c r="B475" s="31">
        <v>12</v>
      </c>
      <c r="C475" s="31"/>
      <c r="D475" s="34">
        <v>14.1638</v>
      </c>
    </row>
    <row r="476" spans="2:4" x14ac:dyDescent="0.3">
      <c r="B476" s="31">
        <v>13</v>
      </c>
      <c r="C476" s="31"/>
      <c r="D476" s="34">
        <v>14.1638</v>
      </c>
    </row>
    <row r="477" spans="2:4" x14ac:dyDescent="0.3">
      <c r="B477" s="31">
        <v>14</v>
      </c>
      <c r="C477" s="31"/>
      <c r="D477" s="34">
        <v>13.8706</v>
      </c>
    </row>
    <row r="478" spans="2:4" x14ac:dyDescent="0.3">
      <c r="B478" s="32">
        <v>15</v>
      </c>
      <c r="C478" s="32"/>
      <c r="D478" s="34">
        <v>12.485300000000001</v>
      </c>
    </row>
    <row r="479" spans="2:4" x14ac:dyDescent="0.3">
      <c r="B479" s="32">
        <v>16</v>
      </c>
      <c r="C479" s="32"/>
      <c r="D479" s="34">
        <v>9.9966000000000008</v>
      </c>
    </row>
    <row r="480" spans="2:4" x14ac:dyDescent="0.3">
      <c r="B480" s="32">
        <v>17</v>
      </c>
      <c r="C480" s="32"/>
      <c r="D480" s="34">
        <v>7.3060999999999998</v>
      </c>
    </row>
    <row r="481" spans="2:38" x14ac:dyDescent="0.3">
      <c r="B481" s="32">
        <v>18</v>
      </c>
      <c r="C481" s="32"/>
      <c r="D481" s="34">
        <v>4.3981000000000003</v>
      </c>
    </row>
    <row r="482" spans="2:38" x14ac:dyDescent="0.3">
      <c r="B482" s="32">
        <v>19</v>
      </c>
      <c r="C482" s="32"/>
      <c r="D482" s="34">
        <v>2.1855000000000002</v>
      </c>
    </row>
    <row r="483" spans="2:38" x14ac:dyDescent="0.3">
      <c r="B483" s="32">
        <v>20</v>
      </c>
      <c r="C483" s="32"/>
      <c r="D483" s="33">
        <v>0</v>
      </c>
    </row>
    <row r="485" spans="2:38" x14ac:dyDescent="0.3">
      <c r="B485" s="5" t="s">
        <v>184</v>
      </c>
      <c r="C485" s="5"/>
    </row>
    <row r="486" spans="2:38" x14ac:dyDescent="0.3">
      <c r="B486" s="3" t="s">
        <v>185</v>
      </c>
    </row>
    <row r="487" spans="2:38" x14ac:dyDescent="0.3">
      <c r="B487" s="3" t="s">
        <v>186</v>
      </c>
    </row>
    <row r="488" spans="2:38" x14ac:dyDescent="0.3">
      <c r="B488" s="3" t="s">
        <v>187</v>
      </c>
    </row>
    <row r="489" spans="2:38" x14ac:dyDescent="0.3">
      <c r="B489" s="3" t="s">
        <v>188</v>
      </c>
    </row>
    <row r="490" spans="2:38" x14ac:dyDescent="0.3">
      <c r="B490" s="3" t="s">
        <v>189</v>
      </c>
    </row>
    <row r="491" spans="2:38" x14ac:dyDescent="0.3">
      <c r="B491" s="3" t="s">
        <v>190</v>
      </c>
    </row>
    <row r="492" spans="2:38" x14ac:dyDescent="0.3">
      <c r="B492" s="3" t="s">
        <v>191</v>
      </c>
      <c r="E492" s="22"/>
      <c r="F492" s="22"/>
    </row>
    <row r="493" spans="2:38" x14ac:dyDescent="0.3">
      <c r="B493" s="3" t="s">
        <v>192</v>
      </c>
    </row>
    <row r="494" spans="2:38" x14ac:dyDescent="0.3">
      <c r="B494" s="3" t="s">
        <v>193</v>
      </c>
    </row>
    <row r="496" spans="2:38" ht="43.2" x14ac:dyDescent="0.3">
      <c r="B496" s="12" t="s">
        <v>30</v>
      </c>
      <c r="C496" s="12" t="s">
        <v>186</v>
      </c>
      <c r="D496" s="12" t="s">
        <v>187</v>
      </c>
      <c r="E496" s="12" t="s">
        <v>338</v>
      </c>
      <c r="F496" s="12" t="s">
        <v>188</v>
      </c>
      <c r="G496" s="36" t="s">
        <v>294</v>
      </c>
      <c r="H496" s="12" t="s">
        <v>189</v>
      </c>
      <c r="I496" s="36" t="s">
        <v>295</v>
      </c>
      <c r="J496" s="12" t="s">
        <v>190</v>
      </c>
      <c r="K496" s="12" t="s">
        <v>191</v>
      </c>
      <c r="L496" s="12" t="s">
        <v>192</v>
      </c>
      <c r="M496" s="12" t="s">
        <v>263</v>
      </c>
      <c r="N496" s="18" t="s">
        <v>267</v>
      </c>
      <c r="O496" s="18" t="s">
        <v>270</v>
      </c>
      <c r="P496" s="18" t="s">
        <v>268</v>
      </c>
      <c r="Q496" s="18" t="s">
        <v>264</v>
      </c>
      <c r="R496" s="18" t="s">
        <v>265</v>
      </c>
      <c r="S496" s="18" t="s">
        <v>266</v>
      </c>
      <c r="X496" s="36" t="s">
        <v>30</v>
      </c>
      <c r="Y496" s="12" t="s">
        <v>186</v>
      </c>
      <c r="Z496" s="12" t="s">
        <v>187</v>
      </c>
      <c r="AA496" s="12" t="s">
        <v>188</v>
      </c>
      <c r="AB496" s="12" t="s">
        <v>189</v>
      </c>
      <c r="AC496" s="12" t="s">
        <v>190</v>
      </c>
      <c r="AD496" s="12" t="s">
        <v>191</v>
      </c>
      <c r="AE496" s="12" t="s">
        <v>192</v>
      </c>
      <c r="AF496" s="12" t="s">
        <v>263</v>
      </c>
      <c r="AG496" s="18" t="s">
        <v>267</v>
      </c>
      <c r="AH496" s="18" t="s">
        <v>268</v>
      </c>
      <c r="AI496" s="18" t="s">
        <v>264</v>
      </c>
      <c r="AJ496" s="18" t="s">
        <v>265</v>
      </c>
      <c r="AK496" s="18" t="s">
        <v>266</v>
      </c>
      <c r="AL496" s="18" t="s">
        <v>269</v>
      </c>
    </row>
    <row r="497" spans="2:38" x14ac:dyDescent="0.3">
      <c r="B497" s="6">
        <v>-2</v>
      </c>
      <c r="C497" s="19">
        <v>0</v>
      </c>
      <c r="D497" s="19">
        <v>0</v>
      </c>
      <c r="E497" s="19">
        <v>0</v>
      </c>
      <c r="F497" s="19">
        <v>0</v>
      </c>
      <c r="G497" s="19"/>
      <c r="H497" s="19">
        <v>0</v>
      </c>
      <c r="I497" s="19"/>
      <c r="J497" s="19">
        <v>0</v>
      </c>
      <c r="K497" s="19">
        <v>0</v>
      </c>
      <c r="L497" s="19">
        <v>0</v>
      </c>
      <c r="M497" s="6">
        <v>0</v>
      </c>
      <c r="N497" s="21">
        <v>0</v>
      </c>
      <c r="O497" s="21"/>
      <c r="P497" s="21">
        <v>0</v>
      </c>
      <c r="Q497" s="21">
        <v>0</v>
      </c>
      <c r="S497" s="6">
        <v>0</v>
      </c>
      <c r="X497" s="6">
        <v>-2</v>
      </c>
      <c r="Y497" s="19">
        <v>0</v>
      </c>
      <c r="Z497" s="19">
        <v>0</v>
      </c>
      <c r="AA497" s="19">
        <v>0</v>
      </c>
      <c r="AB497" s="19">
        <v>0</v>
      </c>
      <c r="AC497" s="19">
        <v>0</v>
      </c>
      <c r="AD497" s="19">
        <v>0</v>
      </c>
      <c r="AE497" s="19">
        <v>0</v>
      </c>
      <c r="AF497" s="19">
        <v>0</v>
      </c>
      <c r="AG497" s="19">
        <v>0</v>
      </c>
      <c r="AH497" s="19">
        <v>0</v>
      </c>
      <c r="AI497" s="19">
        <v>0</v>
      </c>
      <c r="AJ497" s="19">
        <v>0</v>
      </c>
      <c r="AK497" s="19">
        <v>0</v>
      </c>
      <c r="AL497" s="37">
        <v>9480</v>
      </c>
    </row>
    <row r="498" spans="2:38" x14ac:dyDescent="0.3">
      <c r="B498" s="6">
        <v>-1</v>
      </c>
      <c r="C498" s="21">
        <v>0</v>
      </c>
      <c r="D498" s="21">
        <v>0</v>
      </c>
      <c r="E498" s="21">
        <v>0</v>
      </c>
      <c r="F498" s="21">
        <v>0</v>
      </c>
      <c r="G498" s="21"/>
      <c r="H498" s="21">
        <v>0</v>
      </c>
      <c r="I498" s="21"/>
      <c r="J498" s="21">
        <v>0</v>
      </c>
      <c r="K498" s="21">
        <v>0</v>
      </c>
      <c r="L498" s="21">
        <v>0</v>
      </c>
      <c r="M498" s="21">
        <v>0</v>
      </c>
      <c r="N498" s="21">
        <v>0</v>
      </c>
      <c r="O498" s="21"/>
      <c r="P498" s="21">
        <v>0</v>
      </c>
      <c r="Q498" s="38">
        <v>0.75119999999999998</v>
      </c>
      <c r="R498" s="38">
        <v>1.5831999999999999</v>
      </c>
      <c r="S498" s="6">
        <v>2.6</v>
      </c>
      <c r="X498" s="6">
        <v>-1</v>
      </c>
      <c r="Y498" s="19">
        <v>0</v>
      </c>
      <c r="Z498" s="19">
        <v>0</v>
      </c>
      <c r="AA498" s="19">
        <v>0</v>
      </c>
      <c r="AB498" s="19">
        <v>0</v>
      </c>
      <c r="AC498" s="19">
        <v>0</v>
      </c>
      <c r="AD498" s="19">
        <v>0</v>
      </c>
      <c r="AE498" s="19">
        <v>0</v>
      </c>
      <c r="AF498" s="19">
        <v>0</v>
      </c>
      <c r="AG498" s="19">
        <v>0</v>
      </c>
      <c r="AH498" s="19">
        <v>0</v>
      </c>
      <c r="AI498" s="19">
        <v>751.19999999999993</v>
      </c>
      <c r="AJ498" s="19">
        <v>1583.2</v>
      </c>
      <c r="AK498" s="19">
        <v>2600</v>
      </c>
      <c r="AL498" s="37">
        <v>9928</v>
      </c>
    </row>
    <row r="499" spans="2:38" x14ac:dyDescent="0.3">
      <c r="B499" s="6">
        <v>0</v>
      </c>
      <c r="C499" s="21">
        <v>0</v>
      </c>
      <c r="D499" s="21">
        <v>0</v>
      </c>
      <c r="E499" s="21">
        <v>0</v>
      </c>
      <c r="F499" s="21">
        <v>0</v>
      </c>
      <c r="G499" s="21">
        <v>0</v>
      </c>
      <c r="H499" s="21">
        <v>0</v>
      </c>
      <c r="I499" s="21"/>
      <c r="J499" s="21">
        <v>0</v>
      </c>
      <c r="K499" s="21">
        <v>0</v>
      </c>
      <c r="L499" s="21">
        <v>0</v>
      </c>
      <c r="M499" s="21">
        <v>0</v>
      </c>
      <c r="N499" s="21">
        <v>0</v>
      </c>
      <c r="O499" s="38"/>
      <c r="P499" s="38">
        <v>1.2765</v>
      </c>
      <c r="Q499" s="38">
        <v>1.8456999999999999</v>
      </c>
      <c r="R499" s="38">
        <v>2.6166999999999998</v>
      </c>
      <c r="S499" s="6">
        <v>3.6818</v>
      </c>
      <c r="X499" s="6">
        <v>0</v>
      </c>
      <c r="Y499" s="19">
        <v>0</v>
      </c>
      <c r="Z499" s="19">
        <v>0</v>
      </c>
      <c r="AA499" s="19">
        <v>0</v>
      </c>
      <c r="AB499" s="19">
        <v>0</v>
      </c>
      <c r="AC499" s="19">
        <v>0</v>
      </c>
      <c r="AD499" s="19">
        <v>0</v>
      </c>
      <c r="AE499" s="19">
        <v>0</v>
      </c>
      <c r="AF499" s="19">
        <v>0</v>
      </c>
      <c r="AG499" s="19">
        <v>0</v>
      </c>
      <c r="AH499" s="19">
        <v>1276.5</v>
      </c>
      <c r="AI499" s="19">
        <v>1845.6999999999998</v>
      </c>
      <c r="AJ499" s="19">
        <v>2616.6999999999998</v>
      </c>
      <c r="AK499" s="19">
        <v>3681.8</v>
      </c>
      <c r="AL499" s="37">
        <v>10231</v>
      </c>
    </row>
    <row r="500" spans="2:38" x14ac:dyDescent="0.3">
      <c r="B500" s="6">
        <v>1</v>
      </c>
      <c r="C500" s="21">
        <v>0</v>
      </c>
      <c r="D500" s="21">
        <v>0.503</v>
      </c>
      <c r="E500" s="21">
        <v>0.66059999999999997</v>
      </c>
      <c r="F500" s="21">
        <v>1.0873999999999999</v>
      </c>
      <c r="G500" s="21">
        <v>1.0353000000000001</v>
      </c>
      <c r="H500" s="21">
        <v>1.3603000000000001</v>
      </c>
      <c r="I500" s="21">
        <v>1.3802000000000001</v>
      </c>
      <c r="J500" s="21">
        <v>1.5672999999999999</v>
      </c>
      <c r="K500" s="21">
        <v>1.7821</v>
      </c>
      <c r="L500" s="21">
        <v>2.0971000000000002</v>
      </c>
      <c r="M500" s="6">
        <v>2.2921</v>
      </c>
      <c r="N500" s="38">
        <v>2.4337</v>
      </c>
      <c r="O500" s="22"/>
      <c r="P500" s="22">
        <v>2.7477999999999998</v>
      </c>
      <c r="Q500" s="22">
        <v>3.0922999999999998</v>
      </c>
      <c r="R500" s="22">
        <v>3.8975</v>
      </c>
      <c r="S500" s="6">
        <v>5.6863999999999999</v>
      </c>
      <c r="X500" s="6">
        <v>1</v>
      </c>
      <c r="Y500" s="19">
        <v>0</v>
      </c>
      <c r="Z500" s="19">
        <v>792.69999999999993</v>
      </c>
      <c r="AA500" s="19">
        <v>1087.3999999999999</v>
      </c>
      <c r="AB500" s="19">
        <v>1360.3</v>
      </c>
      <c r="AC500" s="19">
        <v>1567.3</v>
      </c>
      <c r="AD500" s="19">
        <v>1782.1</v>
      </c>
      <c r="AE500" s="19">
        <v>2097.1000000000004</v>
      </c>
      <c r="AF500" s="19">
        <v>2292.1</v>
      </c>
      <c r="AG500" s="19">
        <v>2433.6999999999998</v>
      </c>
      <c r="AH500" s="19">
        <v>2747.7999999999997</v>
      </c>
      <c r="AI500" s="19">
        <v>3092.2999999999997</v>
      </c>
      <c r="AJ500" s="19">
        <v>3897.5</v>
      </c>
      <c r="AK500" s="19">
        <v>5686.4</v>
      </c>
      <c r="AL500" s="39">
        <v>10725</v>
      </c>
    </row>
    <row r="501" spans="2:38" x14ac:dyDescent="0.3">
      <c r="B501" s="6">
        <v>2</v>
      </c>
      <c r="C501" s="21">
        <v>2.2353000000000001</v>
      </c>
      <c r="D501" s="21">
        <v>3.2370999999999999</v>
      </c>
      <c r="E501" s="21">
        <v>3.4478</v>
      </c>
      <c r="F501" s="21">
        <v>3.6682000000000001</v>
      </c>
      <c r="G501" s="21">
        <v>3.8740999999999999</v>
      </c>
      <c r="H501" s="21">
        <v>4.0616000000000003</v>
      </c>
      <c r="I501" s="21">
        <v>4.1360000000000001</v>
      </c>
      <c r="J501" s="21">
        <v>4.2859999999999996</v>
      </c>
      <c r="K501" s="21">
        <v>4.4560000000000004</v>
      </c>
      <c r="L501" s="21">
        <v>4.5548999999999999</v>
      </c>
      <c r="M501" s="6">
        <v>4.6096000000000004</v>
      </c>
      <c r="N501" s="38">
        <v>4.6443000000000003</v>
      </c>
      <c r="O501" s="22"/>
      <c r="P501" s="22">
        <v>4.7693000000000003</v>
      </c>
      <c r="Q501" s="22">
        <v>4.9596</v>
      </c>
      <c r="R501" s="22">
        <v>5.5250000000000004</v>
      </c>
      <c r="S501" s="6">
        <v>7.4</v>
      </c>
      <c r="X501" s="6">
        <v>2</v>
      </c>
      <c r="Y501" s="19">
        <v>2235.3000000000002</v>
      </c>
      <c r="Z501" s="19">
        <v>3238.6</v>
      </c>
      <c r="AA501" s="19">
        <v>3668.2000000000003</v>
      </c>
      <c r="AB501" s="19">
        <v>4061.6000000000004</v>
      </c>
      <c r="AC501" s="19">
        <v>4286</v>
      </c>
      <c r="AD501" s="19">
        <v>4456</v>
      </c>
      <c r="AE501" s="19">
        <v>4554.8999999999996</v>
      </c>
      <c r="AF501" s="19">
        <v>4609.6000000000004</v>
      </c>
      <c r="AG501" s="19">
        <v>4644.3</v>
      </c>
      <c r="AH501" s="19">
        <v>4769.3</v>
      </c>
      <c r="AI501" s="19">
        <v>4959.6000000000004</v>
      </c>
      <c r="AJ501" s="19">
        <v>5525</v>
      </c>
      <c r="AK501" s="19">
        <v>7400</v>
      </c>
      <c r="AL501" s="39">
        <v>10924</v>
      </c>
    </row>
    <row r="502" spans="2:38" x14ac:dyDescent="0.3">
      <c r="B502" s="6">
        <v>3</v>
      </c>
      <c r="C502" s="21">
        <v>4.5518000000000001</v>
      </c>
      <c r="D502" s="21">
        <v>5.5579999999999998</v>
      </c>
      <c r="E502" s="21">
        <v>5.8093000000000004</v>
      </c>
      <c r="F502" s="21">
        <v>6.0617999999999999</v>
      </c>
      <c r="G502" s="21">
        <v>6.2813999999999997</v>
      </c>
      <c r="H502" s="21">
        <v>6.4725000000000001</v>
      </c>
      <c r="I502" s="21">
        <v>6.5404999999999998</v>
      </c>
      <c r="J502" s="21">
        <v>6.6379000000000001</v>
      </c>
      <c r="K502" s="21">
        <v>6.7310999999999996</v>
      </c>
      <c r="L502" s="21">
        <v>6.8135000000000003</v>
      </c>
      <c r="M502" s="6">
        <v>6.9088000000000003</v>
      </c>
      <c r="N502" s="38">
        <v>6.9644000000000004</v>
      </c>
      <c r="O502" s="22"/>
      <c r="P502" s="22">
        <v>7.0964</v>
      </c>
      <c r="Q502" s="22">
        <v>7.2523</v>
      </c>
      <c r="R502" s="22">
        <v>7.6988000000000003</v>
      </c>
      <c r="S502" s="6">
        <v>8.7652999999999999</v>
      </c>
      <c r="X502" s="6">
        <v>3</v>
      </c>
      <c r="Y502" s="19">
        <v>4551.8</v>
      </c>
      <c r="Z502" s="19">
        <v>5558</v>
      </c>
      <c r="AA502" s="19">
        <v>6061.8</v>
      </c>
      <c r="AB502" s="19">
        <v>6472.5</v>
      </c>
      <c r="AC502" s="19">
        <v>6637.9000000000005</v>
      </c>
      <c r="AD502" s="19">
        <v>6731.0999999999995</v>
      </c>
      <c r="AE502" s="19">
        <v>6813.5</v>
      </c>
      <c r="AF502" s="19">
        <v>6908.8</v>
      </c>
      <c r="AG502" s="19">
        <v>6964.4000000000005</v>
      </c>
      <c r="AH502" s="19">
        <v>7096.4</v>
      </c>
      <c r="AI502" s="19">
        <v>7252.3</v>
      </c>
      <c r="AJ502" s="19">
        <v>7698.8</v>
      </c>
      <c r="AK502" s="19">
        <v>8765.2999999999993</v>
      </c>
      <c r="AL502" s="39">
        <v>11090</v>
      </c>
    </row>
    <row r="503" spans="2:38" x14ac:dyDescent="0.3">
      <c r="B503" s="6">
        <v>4</v>
      </c>
      <c r="C503" s="21">
        <v>6.8292651050568018</v>
      </c>
      <c r="D503" s="21">
        <v>8.3547999999999991</v>
      </c>
      <c r="E503" s="21">
        <v>8.5357000000000003</v>
      </c>
      <c r="F503" s="21">
        <v>8.7041000000000004</v>
      </c>
      <c r="G503" s="21">
        <v>8.8277000000000001</v>
      </c>
      <c r="H503" s="21">
        <v>8.8916000000000004</v>
      </c>
      <c r="I503" s="21">
        <v>8.8972999999999995</v>
      </c>
      <c r="J503" s="21">
        <v>8.9481000000000002</v>
      </c>
      <c r="K503" s="21">
        <v>8.9625000000000004</v>
      </c>
      <c r="L503" s="21">
        <v>8.9826999999999995</v>
      </c>
      <c r="M503" s="6">
        <v>9.0307999999999993</v>
      </c>
      <c r="N503" s="38">
        <v>9.0526</v>
      </c>
      <c r="O503" s="22"/>
      <c r="P503" s="22">
        <v>9.0815999999999999</v>
      </c>
      <c r="Q503" s="22">
        <v>9.1264000000000003</v>
      </c>
      <c r="R503" s="22">
        <v>9.3217999999999996</v>
      </c>
      <c r="S503" s="6">
        <v>9.8175000000000008</v>
      </c>
      <c r="X503" s="6">
        <v>4</v>
      </c>
      <c r="Y503" s="19">
        <v>6829.265105056802</v>
      </c>
      <c r="Z503" s="19">
        <v>8354.7999999999993</v>
      </c>
      <c r="AA503" s="19">
        <v>8704.1</v>
      </c>
      <c r="AB503" s="19">
        <v>8891.6</v>
      </c>
      <c r="AC503" s="19">
        <v>8948.1</v>
      </c>
      <c r="AD503" s="19">
        <v>8962.5</v>
      </c>
      <c r="AE503" s="19">
        <v>8982.6999999999989</v>
      </c>
      <c r="AF503" s="19">
        <v>9030.7999999999993</v>
      </c>
      <c r="AG503" s="19">
        <v>9052.6</v>
      </c>
      <c r="AH503" s="19">
        <v>9081.6</v>
      </c>
      <c r="AI503" s="19">
        <v>9126.4</v>
      </c>
      <c r="AJ503" s="19">
        <v>9321.7999999999993</v>
      </c>
      <c r="AK503" s="19">
        <v>9817.5</v>
      </c>
      <c r="AL503" s="39">
        <v>11217</v>
      </c>
    </row>
    <row r="504" spans="2:38" x14ac:dyDescent="0.3">
      <c r="B504" s="6">
        <v>5</v>
      </c>
      <c r="C504" s="21">
        <v>8.7100000000000009</v>
      </c>
      <c r="D504" s="21">
        <v>9.9957999999999991</v>
      </c>
      <c r="E504" s="21">
        <v>10.179500000000001</v>
      </c>
      <c r="F504" s="21">
        <v>10.3073</v>
      </c>
      <c r="G504" s="21">
        <v>10.3758</v>
      </c>
      <c r="H504" s="21">
        <v>10.4147</v>
      </c>
      <c r="I504" s="21">
        <v>10.423999999999999</v>
      </c>
      <c r="J504" s="21">
        <v>10.4201</v>
      </c>
      <c r="K504" s="21">
        <v>10.404400000000001</v>
      </c>
      <c r="L504" s="21">
        <v>10.4063</v>
      </c>
      <c r="M504" s="6">
        <v>10.4186</v>
      </c>
      <c r="N504" s="38">
        <v>10.4244</v>
      </c>
      <c r="O504" s="22"/>
      <c r="P504" s="22">
        <v>10.4367</v>
      </c>
      <c r="Q504" s="22">
        <v>10.4621</v>
      </c>
      <c r="R504" s="22">
        <v>10.558299999999999</v>
      </c>
      <c r="S504" s="6">
        <v>10.6</v>
      </c>
      <c r="X504" s="6">
        <v>5</v>
      </c>
      <c r="Y504" s="19">
        <v>8710</v>
      </c>
      <c r="Z504" s="19">
        <v>9995.7999999999993</v>
      </c>
      <c r="AA504" s="19">
        <v>10307.299999999999</v>
      </c>
      <c r="AB504" s="19">
        <v>10414.700000000001</v>
      </c>
      <c r="AC504" s="19">
        <v>10420.1</v>
      </c>
      <c r="AD504" s="19">
        <v>10404.400000000001</v>
      </c>
      <c r="AE504" s="19">
        <v>10406.299999999999</v>
      </c>
      <c r="AF504" s="19">
        <v>10418.6</v>
      </c>
      <c r="AG504" s="19">
        <v>10424.4</v>
      </c>
      <c r="AH504" s="19">
        <v>10436.700000000001</v>
      </c>
      <c r="AI504" s="19">
        <v>10462.1</v>
      </c>
      <c r="AJ504" s="19">
        <v>10558.3</v>
      </c>
      <c r="AK504" s="19">
        <v>10600</v>
      </c>
      <c r="AL504" s="39">
        <v>11271</v>
      </c>
    </row>
    <row r="505" spans="2:38" x14ac:dyDescent="0.3">
      <c r="B505" s="6">
        <v>6</v>
      </c>
      <c r="C505" s="21">
        <v>8.7100000000000009</v>
      </c>
      <c r="D505" s="21">
        <v>10.41</v>
      </c>
      <c r="E505" s="21">
        <v>10.692500000000001</v>
      </c>
      <c r="F505" s="21">
        <v>11.0078</v>
      </c>
      <c r="G505" s="21">
        <v>11.330399999999999</v>
      </c>
      <c r="H505" s="21">
        <v>11.6357</v>
      </c>
      <c r="I505" s="21">
        <v>11.741099999999999</v>
      </c>
      <c r="J505" s="21">
        <v>11.8469</v>
      </c>
      <c r="K505" s="21">
        <v>11.8469</v>
      </c>
      <c r="L505" s="21">
        <v>11.85</v>
      </c>
      <c r="M505" s="21">
        <v>11.85</v>
      </c>
      <c r="N505" s="21">
        <v>11.85</v>
      </c>
      <c r="O505" s="21"/>
      <c r="P505" s="21">
        <v>11.85</v>
      </c>
      <c r="Q505" s="21">
        <v>11.85</v>
      </c>
      <c r="R505" s="21">
        <v>11.85</v>
      </c>
      <c r="S505" s="21">
        <v>11.85</v>
      </c>
      <c r="X505" s="6">
        <v>6</v>
      </c>
      <c r="Y505" s="19">
        <v>8710</v>
      </c>
      <c r="Z505" s="19">
        <v>10410</v>
      </c>
      <c r="AA505" s="19">
        <v>11007.8</v>
      </c>
      <c r="AB505" s="19">
        <v>11635.7</v>
      </c>
      <c r="AC505" s="19">
        <v>11846.9</v>
      </c>
      <c r="AD505" s="19">
        <v>11846.9</v>
      </c>
      <c r="AE505" s="19">
        <v>11850</v>
      </c>
      <c r="AF505" s="19">
        <v>11850</v>
      </c>
      <c r="AG505" s="19">
        <v>11850</v>
      </c>
      <c r="AH505" s="19">
        <v>11850</v>
      </c>
      <c r="AI505" s="19">
        <v>11850</v>
      </c>
      <c r="AJ505" s="19">
        <v>11850</v>
      </c>
      <c r="AK505" s="19">
        <v>11850</v>
      </c>
      <c r="AL505" s="19">
        <v>11850</v>
      </c>
    </row>
    <row r="506" spans="2:38" x14ac:dyDescent="0.3">
      <c r="B506" s="12">
        <v>7</v>
      </c>
      <c r="C506" s="21">
        <v>8.7100000000000009</v>
      </c>
      <c r="D506" s="21">
        <v>10.41</v>
      </c>
      <c r="E506" s="21">
        <v>10.692500000000001</v>
      </c>
      <c r="F506" s="21">
        <v>11.0078</v>
      </c>
      <c r="G506" s="21">
        <v>11.330399999999999</v>
      </c>
      <c r="H506" s="21">
        <v>11.6357</v>
      </c>
      <c r="I506" s="21">
        <v>11.741099999999999</v>
      </c>
      <c r="J506" s="21">
        <v>11.8469</v>
      </c>
      <c r="K506" s="21">
        <v>11.8469</v>
      </c>
      <c r="L506" s="21">
        <v>11.85</v>
      </c>
      <c r="M506" s="21">
        <v>11.85</v>
      </c>
      <c r="N506" s="21">
        <v>11.85</v>
      </c>
      <c r="O506" s="21"/>
      <c r="P506" s="21">
        <v>11.85</v>
      </c>
      <c r="Q506" s="21">
        <v>11.85</v>
      </c>
      <c r="R506" s="21">
        <v>11.85</v>
      </c>
      <c r="S506" s="21">
        <v>11.85</v>
      </c>
      <c r="X506" s="12">
        <v>7</v>
      </c>
      <c r="Y506" s="19">
        <v>8710</v>
      </c>
      <c r="Z506" s="19">
        <v>10410</v>
      </c>
      <c r="AA506" s="19">
        <v>11007.8</v>
      </c>
      <c r="AB506" s="19">
        <v>11635.7</v>
      </c>
      <c r="AC506" s="19">
        <v>11846.9</v>
      </c>
      <c r="AD506" s="19">
        <v>11846.9</v>
      </c>
      <c r="AE506" s="19">
        <v>11850</v>
      </c>
      <c r="AF506" s="19">
        <v>11850</v>
      </c>
      <c r="AG506" s="19">
        <v>11850</v>
      </c>
      <c r="AH506" s="19">
        <v>11850</v>
      </c>
      <c r="AI506" s="19">
        <v>11850</v>
      </c>
      <c r="AJ506" s="19">
        <v>11850</v>
      </c>
      <c r="AK506" s="19">
        <v>11850</v>
      </c>
      <c r="AL506" s="19">
        <v>11850</v>
      </c>
    </row>
    <row r="507" spans="2:38" x14ac:dyDescent="0.3">
      <c r="B507" s="12">
        <v>8</v>
      </c>
      <c r="C507" s="21">
        <v>8.7100000000000009</v>
      </c>
      <c r="D507" s="21">
        <v>10.41</v>
      </c>
      <c r="E507" s="21">
        <v>10.692500000000001</v>
      </c>
      <c r="F507" s="21">
        <v>11.0078</v>
      </c>
      <c r="G507" s="21">
        <v>11.330399999999999</v>
      </c>
      <c r="H507" s="21">
        <v>11.6357</v>
      </c>
      <c r="I507" s="21">
        <v>11.741099999999999</v>
      </c>
      <c r="J507" s="21">
        <v>11.8469</v>
      </c>
      <c r="K507" s="21">
        <v>11.8469</v>
      </c>
      <c r="L507" s="21">
        <v>11.85</v>
      </c>
      <c r="M507" s="21">
        <v>11.85</v>
      </c>
      <c r="N507" s="21">
        <v>11.85</v>
      </c>
      <c r="O507" s="21"/>
      <c r="P507" s="21">
        <v>11.85</v>
      </c>
      <c r="Q507" s="21">
        <v>11.85</v>
      </c>
      <c r="R507" s="21">
        <v>11.85</v>
      </c>
      <c r="S507" s="21">
        <v>11.85</v>
      </c>
      <c r="X507" s="12">
        <v>8</v>
      </c>
      <c r="Y507" s="19">
        <v>8710</v>
      </c>
      <c r="Z507" s="19">
        <v>10410</v>
      </c>
      <c r="AA507" s="19">
        <v>11007.8</v>
      </c>
      <c r="AB507" s="19">
        <v>11635.7</v>
      </c>
      <c r="AC507" s="19">
        <v>11846.9</v>
      </c>
      <c r="AD507" s="19">
        <v>11846.9</v>
      </c>
      <c r="AE507" s="19">
        <v>11850</v>
      </c>
      <c r="AF507" s="19">
        <v>11850</v>
      </c>
      <c r="AG507" s="19">
        <v>11850</v>
      </c>
      <c r="AH507" s="19">
        <v>11850</v>
      </c>
      <c r="AI507" s="19">
        <v>11850</v>
      </c>
      <c r="AJ507" s="19">
        <v>11850</v>
      </c>
      <c r="AK507" s="19">
        <v>11850</v>
      </c>
      <c r="AL507" s="19">
        <v>11850</v>
      </c>
    </row>
    <row r="508" spans="2:38" x14ac:dyDescent="0.3">
      <c r="B508" s="12">
        <v>9</v>
      </c>
      <c r="C508" s="21">
        <v>8.7100000000000009</v>
      </c>
      <c r="D508" s="21">
        <v>10.41</v>
      </c>
      <c r="E508" s="21">
        <v>10.692500000000001</v>
      </c>
      <c r="F508" s="21">
        <v>11.0078</v>
      </c>
      <c r="G508" s="21">
        <v>11.330399999999999</v>
      </c>
      <c r="H508" s="21">
        <v>11.6357</v>
      </c>
      <c r="I508" s="21">
        <v>11.741099999999999</v>
      </c>
      <c r="J508" s="21">
        <v>11.8469</v>
      </c>
      <c r="K508" s="21">
        <v>11.8469</v>
      </c>
      <c r="L508" s="21">
        <v>11.85</v>
      </c>
      <c r="M508" s="21">
        <v>11.85</v>
      </c>
      <c r="N508" s="21">
        <v>11.85</v>
      </c>
      <c r="O508" s="21"/>
      <c r="P508" s="21">
        <v>11.85</v>
      </c>
      <c r="Q508" s="21">
        <v>11.85</v>
      </c>
      <c r="R508" s="21">
        <v>11.85</v>
      </c>
      <c r="S508" s="21">
        <v>11.85</v>
      </c>
      <c r="X508" s="12">
        <v>9</v>
      </c>
      <c r="Y508" s="19">
        <v>8710</v>
      </c>
      <c r="Z508" s="19">
        <v>10410</v>
      </c>
      <c r="AA508" s="19">
        <v>11007.8</v>
      </c>
      <c r="AB508" s="19">
        <v>11635.7</v>
      </c>
      <c r="AC508" s="19">
        <v>11846.9</v>
      </c>
      <c r="AD508" s="19">
        <v>11846.9</v>
      </c>
      <c r="AE508" s="19">
        <v>11850</v>
      </c>
      <c r="AF508" s="19">
        <v>11850</v>
      </c>
      <c r="AG508" s="19">
        <v>11850</v>
      </c>
      <c r="AH508" s="19">
        <v>11850</v>
      </c>
      <c r="AI508" s="19">
        <v>11850</v>
      </c>
      <c r="AJ508" s="19">
        <v>11850</v>
      </c>
      <c r="AK508" s="19">
        <v>11850</v>
      </c>
      <c r="AL508" s="19">
        <v>11850</v>
      </c>
    </row>
    <row r="509" spans="2:38" x14ac:dyDescent="0.3">
      <c r="B509" s="12">
        <v>10</v>
      </c>
      <c r="C509" s="21">
        <v>8.7100000000000009</v>
      </c>
      <c r="D509" s="21">
        <v>10.41</v>
      </c>
      <c r="E509" s="21">
        <v>10.692500000000001</v>
      </c>
      <c r="F509" s="21">
        <v>11.0078</v>
      </c>
      <c r="G509" s="21">
        <v>11.330399999999999</v>
      </c>
      <c r="H509" s="21">
        <v>11.6357</v>
      </c>
      <c r="I509" s="21">
        <v>11.741099999999999</v>
      </c>
      <c r="J509" s="21">
        <v>11.8469</v>
      </c>
      <c r="K509" s="21">
        <v>11.8469</v>
      </c>
      <c r="L509" s="21">
        <v>11.85</v>
      </c>
      <c r="M509" s="21">
        <v>11.85</v>
      </c>
      <c r="N509" s="21">
        <v>11.85</v>
      </c>
      <c r="O509" s="21"/>
      <c r="P509" s="21">
        <v>11.85</v>
      </c>
      <c r="Q509" s="21">
        <v>11.85</v>
      </c>
      <c r="R509" s="21">
        <v>11.85</v>
      </c>
      <c r="S509" s="21">
        <v>11.85</v>
      </c>
      <c r="X509" s="12">
        <v>10</v>
      </c>
      <c r="Y509" s="19">
        <v>8710</v>
      </c>
      <c r="Z509" s="19">
        <v>10410</v>
      </c>
      <c r="AA509" s="19">
        <v>11007.8</v>
      </c>
      <c r="AB509" s="19">
        <v>11635.7</v>
      </c>
      <c r="AC509" s="19">
        <v>11846.9</v>
      </c>
      <c r="AD509" s="19">
        <v>11846.9</v>
      </c>
      <c r="AE509" s="19">
        <v>11850</v>
      </c>
      <c r="AF509" s="19">
        <v>11850</v>
      </c>
      <c r="AG509" s="19">
        <v>11850</v>
      </c>
      <c r="AH509" s="19">
        <v>11850</v>
      </c>
      <c r="AI509" s="19">
        <v>11850</v>
      </c>
      <c r="AJ509" s="19">
        <v>11850</v>
      </c>
      <c r="AK509" s="19">
        <v>11850</v>
      </c>
      <c r="AL509" s="19">
        <v>11850</v>
      </c>
    </row>
    <row r="510" spans="2:38" x14ac:dyDescent="0.3">
      <c r="B510" s="12">
        <v>11</v>
      </c>
      <c r="C510" s="21">
        <v>8.7100000000000009</v>
      </c>
      <c r="D510" s="21">
        <v>10.41</v>
      </c>
      <c r="E510" s="21">
        <v>10.692500000000001</v>
      </c>
      <c r="F510" s="21">
        <v>11.0078</v>
      </c>
      <c r="G510" s="21">
        <v>11.330399999999999</v>
      </c>
      <c r="H510" s="21">
        <v>11.6357</v>
      </c>
      <c r="I510" s="21">
        <v>11.741099999999999</v>
      </c>
      <c r="J510" s="21">
        <v>11.8469</v>
      </c>
      <c r="K510" s="21">
        <v>11.8469</v>
      </c>
      <c r="L510" s="21">
        <v>11.85</v>
      </c>
      <c r="M510" s="21">
        <v>11.85</v>
      </c>
      <c r="N510" s="21">
        <v>11.85</v>
      </c>
      <c r="O510" s="21"/>
      <c r="P510" s="21">
        <v>11.85</v>
      </c>
      <c r="Q510" s="21">
        <v>11.85</v>
      </c>
      <c r="R510" s="21">
        <v>11.85</v>
      </c>
      <c r="S510" s="21">
        <v>11.85</v>
      </c>
      <c r="X510" s="12">
        <v>11</v>
      </c>
      <c r="Y510" s="19">
        <v>8710</v>
      </c>
      <c r="Z510" s="19">
        <v>10410</v>
      </c>
      <c r="AA510" s="19">
        <v>11007.8</v>
      </c>
      <c r="AB510" s="19">
        <v>11635.7</v>
      </c>
      <c r="AC510" s="19">
        <v>11846.9</v>
      </c>
      <c r="AD510" s="19">
        <v>11846.9</v>
      </c>
      <c r="AE510" s="19">
        <v>11850</v>
      </c>
      <c r="AF510" s="19">
        <v>11850</v>
      </c>
      <c r="AG510" s="19">
        <v>11850</v>
      </c>
      <c r="AH510" s="19">
        <v>11850</v>
      </c>
      <c r="AI510" s="19">
        <v>11850</v>
      </c>
      <c r="AJ510" s="19">
        <v>11850</v>
      </c>
      <c r="AK510" s="19">
        <v>11850</v>
      </c>
      <c r="AL510" s="19">
        <v>11850</v>
      </c>
    </row>
    <row r="511" spans="2:38" x14ac:dyDescent="0.3">
      <c r="B511" s="12">
        <v>12</v>
      </c>
      <c r="C511" s="21">
        <v>8.7100000000000009</v>
      </c>
      <c r="D511" s="21">
        <v>10.41</v>
      </c>
      <c r="E511" s="21">
        <v>10.692500000000001</v>
      </c>
      <c r="F511" s="21">
        <v>11.0078</v>
      </c>
      <c r="G511" s="21">
        <v>11.330399999999999</v>
      </c>
      <c r="H511" s="21">
        <v>11.6357</v>
      </c>
      <c r="I511" s="21">
        <v>11.741099999999999</v>
      </c>
      <c r="J511" s="21">
        <v>11.8469</v>
      </c>
      <c r="K511" s="21">
        <v>11.8469</v>
      </c>
      <c r="L511" s="21">
        <v>11.85</v>
      </c>
      <c r="M511" s="21">
        <v>11.85</v>
      </c>
      <c r="N511" s="21">
        <v>11.85</v>
      </c>
      <c r="O511" s="21"/>
      <c r="P511" s="21">
        <v>11.85</v>
      </c>
      <c r="Q511" s="21">
        <v>11.85</v>
      </c>
      <c r="R511" s="21">
        <v>11.85</v>
      </c>
      <c r="S511" s="21">
        <v>11.85</v>
      </c>
      <c r="X511" s="12">
        <v>12</v>
      </c>
      <c r="Y511" s="19">
        <v>8710</v>
      </c>
      <c r="Z511" s="19">
        <v>10410</v>
      </c>
      <c r="AA511" s="19">
        <v>11007.8</v>
      </c>
      <c r="AB511" s="19">
        <v>11635.7</v>
      </c>
      <c r="AC511" s="19">
        <v>11846.9</v>
      </c>
      <c r="AD511" s="19">
        <v>11846.9</v>
      </c>
      <c r="AE511" s="19">
        <v>11850</v>
      </c>
      <c r="AF511" s="19">
        <v>11850</v>
      </c>
      <c r="AG511" s="19">
        <v>11850</v>
      </c>
      <c r="AH511" s="19">
        <v>11850</v>
      </c>
      <c r="AI511" s="19">
        <v>11850</v>
      </c>
      <c r="AJ511" s="19">
        <v>11850</v>
      </c>
      <c r="AK511" s="19">
        <v>11850</v>
      </c>
      <c r="AL511" s="19">
        <v>11850</v>
      </c>
    </row>
    <row r="512" spans="2:38" x14ac:dyDescent="0.3">
      <c r="B512" s="12">
        <v>13</v>
      </c>
      <c r="C512" s="21">
        <v>8.7100000000000009</v>
      </c>
      <c r="D512" s="21">
        <v>10.41</v>
      </c>
      <c r="E512" s="21">
        <v>10.692500000000001</v>
      </c>
      <c r="F512" s="21">
        <v>11.0078</v>
      </c>
      <c r="G512" s="21">
        <v>11.330399999999999</v>
      </c>
      <c r="H512" s="21">
        <v>11.6357</v>
      </c>
      <c r="I512" s="21">
        <v>11.741099999999999</v>
      </c>
      <c r="J512" s="21">
        <v>11.8469</v>
      </c>
      <c r="K512" s="21">
        <v>11.8469</v>
      </c>
      <c r="L512" s="21">
        <v>11.85</v>
      </c>
      <c r="M512" s="21">
        <v>11.85</v>
      </c>
      <c r="N512" s="21">
        <v>11.85</v>
      </c>
      <c r="O512" s="21"/>
      <c r="P512" s="21">
        <v>11.85</v>
      </c>
      <c r="Q512" s="21">
        <v>11.85</v>
      </c>
      <c r="R512" s="21">
        <v>11.85</v>
      </c>
      <c r="S512" s="21">
        <v>11.85</v>
      </c>
      <c r="X512" s="12">
        <v>13</v>
      </c>
      <c r="Y512" s="19">
        <v>8710</v>
      </c>
      <c r="Z512" s="19">
        <v>10410</v>
      </c>
      <c r="AA512" s="19">
        <v>11007.8</v>
      </c>
      <c r="AB512" s="19">
        <v>11635.7</v>
      </c>
      <c r="AC512" s="19">
        <v>11846.9</v>
      </c>
      <c r="AD512" s="19">
        <v>11846.9</v>
      </c>
      <c r="AE512" s="19">
        <v>11850</v>
      </c>
      <c r="AF512" s="19">
        <v>11850</v>
      </c>
      <c r="AG512" s="19">
        <v>11850</v>
      </c>
      <c r="AH512" s="19">
        <v>11850</v>
      </c>
      <c r="AI512" s="19">
        <v>11850</v>
      </c>
      <c r="AJ512" s="19">
        <v>11850</v>
      </c>
      <c r="AK512" s="19">
        <v>11850</v>
      </c>
      <c r="AL512" s="19">
        <v>11850</v>
      </c>
    </row>
    <row r="513" spans="2:38" x14ac:dyDescent="0.3">
      <c r="B513" s="12">
        <v>14</v>
      </c>
      <c r="C513" s="21">
        <v>8.7100000000000009</v>
      </c>
      <c r="D513" s="21">
        <v>10.41</v>
      </c>
      <c r="E513" s="21">
        <v>10.692500000000001</v>
      </c>
      <c r="F513" s="21">
        <v>11.0078</v>
      </c>
      <c r="G513" s="21">
        <v>11.330399999999999</v>
      </c>
      <c r="H513" s="21">
        <v>11.6357</v>
      </c>
      <c r="I513" s="21">
        <v>11.741099999999999</v>
      </c>
      <c r="J513" s="21">
        <v>11.8469</v>
      </c>
      <c r="K513" s="21">
        <v>11.8469</v>
      </c>
      <c r="L513" s="21">
        <v>11.85</v>
      </c>
      <c r="M513" s="21">
        <v>11.85</v>
      </c>
      <c r="N513" s="21">
        <v>11.85</v>
      </c>
      <c r="O513" s="21"/>
      <c r="P513" s="21">
        <v>11.85</v>
      </c>
      <c r="Q513" s="21">
        <v>11.85</v>
      </c>
      <c r="R513" s="21">
        <v>11.85</v>
      </c>
      <c r="S513" s="21">
        <v>11.85</v>
      </c>
      <c r="X513" s="12">
        <v>14</v>
      </c>
      <c r="Y513" s="19">
        <v>8710</v>
      </c>
      <c r="Z513" s="19">
        <v>10410</v>
      </c>
      <c r="AA513" s="19">
        <v>11007.8</v>
      </c>
      <c r="AB513" s="19">
        <v>11635.7</v>
      </c>
      <c r="AC513" s="19">
        <v>11846.9</v>
      </c>
      <c r="AD513" s="19">
        <v>11846.9</v>
      </c>
      <c r="AE513" s="19">
        <v>11850</v>
      </c>
      <c r="AF513" s="19">
        <v>11850</v>
      </c>
      <c r="AG513" s="19">
        <v>11850</v>
      </c>
      <c r="AH513" s="19">
        <v>11850</v>
      </c>
      <c r="AI513" s="19">
        <v>11850</v>
      </c>
      <c r="AJ513" s="19">
        <v>11850</v>
      </c>
      <c r="AK513" s="19">
        <v>11850</v>
      </c>
      <c r="AL513" s="19">
        <v>11850</v>
      </c>
    </row>
    <row r="514" spans="2:38" x14ac:dyDescent="0.3">
      <c r="B514" s="6">
        <v>15</v>
      </c>
      <c r="C514" s="21">
        <v>7.7772544485774606</v>
      </c>
      <c r="D514" s="21">
        <v>8.7524999999999995</v>
      </c>
      <c r="E514" s="21">
        <v>8.9827999999999992</v>
      </c>
      <c r="F514" s="21">
        <v>9.2187999999999999</v>
      </c>
      <c r="G514" s="21">
        <v>9.4261999999999997</v>
      </c>
      <c r="H514" s="21">
        <v>9.5774000000000008</v>
      </c>
      <c r="I514" s="21">
        <v>9.625</v>
      </c>
      <c r="J514" s="21">
        <v>9.6966000000000001</v>
      </c>
      <c r="K514" s="21">
        <v>9.7897999999999996</v>
      </c>
      <c r="L514" s="21">
        <v>9.8777000000000008</v>
      </c>
      <c r="M514" s="6">
        <v>9.9377999999999993</v>
      </c>
      <c r="N514" s="38">
        <v>9.9537999999999993</v>
      </c>
      <c r="O514" s="38"/>
      <c r="P514" s="38">
        <v>9.9725999999999999</v>
      </c>
      <c r="Q514" s="38">
        <v>9.9839000000000002</v>
      </c>
      <c r="R514" s="38">
        <v>10.026</v>
      </c>
      <c r="S514" s="6">
        <v>10.199999999999999</v>
      </c>
      <c r="X514" s="6">
        <v>15</v>
      </c>
      <c r="Y514" s="19">
        <v>7777.2544485774606</v>
      </c>
      <c r="Z514" s="19">
        <v>8752.5</v>
      </c>
      <c r="AA514" s="19">
        <v>9218.7999999999993</v>
      </c>
      <c r="AB514" s="19">
        <v>9577.4000000000015</v>
      </c>
      <c r="AC514" s="19">
        <v>9696.6</v>
      </c>
      <c r="AD514" s="19">
        <v>9789.7999999999993</v>
      </c>
      <c r="AE514" s="19">
        <v>9877.7000000000007</v>
      </c>
      <c r="AF514" s="19">
        <v>9937.7999999999993</v>
      </c>
      <c r="AG514" s="19">
        <v>9953.7999999999993</v>
      </c>
      <c r="AH514" s="19">
        <v>9972.6</v>
      </c>
      <c r="AI514" s="19">
        <v>9983.9</v>
      </c>
      <c r="AJ514" s="19">
        <v>10026</v>
      </c>
      <c r="AK514" s="19">
        <v>10200</v>
      </c>
      <c r="AL514" s="37">
        <v>11202</v>
      </c>
    </row>
    <row r="515" spans="2:38" x14ac:dyDescent="0.3">
      <c r="B515" s="6">
        <v>16</v>
      </c>
      <c r="C515" s="21">
        <v>5.5893535739418923</v>
      </c>
      <c r="D515" s="21">
        <v>6.5610999999999997</v>
      </c>
      <c r="E515" s="21">
        <v>6.7538999999999998</v>
      </c>
      <c r="F515" s="21">
        <v>6.9432999999999998</v>
      </c>
      <c r="G515" s="21">
        <v>7.1322000000000001</v>
      </c>
      <c r="H515" s="21">
        <v>7.3411</v>
      </c>
      <c r="I515" s="21">
        <v>7.4307999999999996</v>
      </c>
      <c r="J515" s="21">
        <v>7.5768000000000004</v>
      </c>
      <c r="K515" s="21">
        <v>7.7159000000000004</v>
      </c>
      <c r="L515" s="21">
        <v>7.8221999999999996</v>
      </c>
      <c r="M515" s="6">
        <v>7.9428999999999998</v>
      </c>
      <c r="N515" s="38">
        <v>8.0142000000000007</v>
      </c>
      <c r="O515" s="38"/>
      <c r="P515" s="38">
        <v>8.1599000000000004</v>
      </c>
      <c r="Q515" s="38">
        <v>8.2914999999999992</v>
      </c>
      <c r="R515" s="38">
        <v>8.5669000000000004</v>
      </c>
      <c r="S515" s="6">
        <v>9.1</v>
      </c>
      <c r="X515" s="6">
        <v>16</v>
      </c>
      <c r="Y515" s="19">
        <v>5589.3535739418921</v>
      </c>
      <c r="Z515" s="19">
        <v>6561.0999999999995</v>
      </c>
      <c r="AA515" s="19">
        <v>6943.3</v>
      </c>
      <c r="AB515" s="19">
        <v>7341.1</v>
      </c>
      <c r="AC515" s="19">
        <v>7576.8</v>
      </c>
      <c r="AD515" s="19">
        <v>7715.9000000000005</v>
      </c>
      <c r="AE515" s="19">
        <v>7822.2</v>
      </c>
      <c r="AF515" s="19">
        <v>7942.9</v>
      </c>
      <c r="AG515" s="19">
        <v>8014.2000000000007</v>
      </c>
      <c r="AH515" s="19">
        <v>8159.9000000000005</v>
      </c>
      <c r="AI515" s="19">
        <v>8291.5</v>
      </c>
      <c r="AJ515" s="19">
        <v>8566.9</v>
      </c>
      <c r="AK515" s="19">
        <v>9100</v>
      </c>
      <c r="AL515" s="37">
        <v>10892</v>
      </c>
    </row>
    <row r="516" spans="2:38" x14ac:dyDescent="0.3">
      <c r="B516" s="6">
        <v>17</v>
      </c>
      <c r="C516" s="21">
        <v>3.0296219965818842</v>
      </c>
      <c r="D516" s="21">
        <v>4.2671000000000001</v>
      </c>
      <c r="E516" s="21">
        <v>4.4893999999999998</v>
      </c>
      <c r="F516" s="21">
        <v>4.7144000000000004</v>
      </c>
      <c r="G516" s="21">
        <v>4.9368999999999996</v>
      </c>
      <c r="H516" s="21">
        <v>5.1618000000000004</v>
      </c>
      <c r="I516" s="21">
        <v>5.2546999999999997</v>
      </c>
      <c r="J516" s="21">
        <v>5.3822000000000001</v>
      </c>
      <c r="K516" s="21">
        <v>5.4904999999999999</v>
      </c>
      <c r="L516" s="21">
        <v>5.5712999999999999</v>
      </c>
      <c r="M516" s="6">
        <v>5.6863000000000001</v>
      </c>
      <c r="N516" s="38">
        <v>5.7538</v>
      </c>
      <c r="O516" s="38"/>
      <c r="P516" s="38">
        <v>5.8992000000000004</v>
      </c>
      <c r="Q516" s="38">
        <v>6.0570000000000004</v>
      </c>
      <c r="R516" s="38">
        <v>6.5385999999999997</v>
      </c>
      <c r="S516" s="6">
        <v>7.6</v>
      </c>
      <c r="X516" s="6">
        <v>17</v>
      </c>
      <c r="Y516" s="19">
        <v>3029.6219965818841</v>
      </c>
      <c r="Z516" s="19">
        <v>4267.1000000000004</v>
      </c>
      <c r="AA516" s="19">
        <v>4714.4000000000005</v>
      </c>
      <c r="AB516" s="19">
        <v>5161.8</v>
      </c>
      <c r="AC516" s="19">
        <v>5382.2</v>
      </c>
      <c r="AD516" s="19">
        <v>5490.5</v>
      </c>
      <c r="AE516" s="19">
        <v>5571.3</v>
      </c>
      <c r="AF516" s="19">
        <v>5686.3</v>
      </c>
      <c r="AG516" s="19">
        <v>5753.8</v>
      </c>
      <c r="AH516" s="19">
        <v>5899.2000000000007</v>
      </c>
      <c r="AI516" s="19">
        <v>6057</v>
      </c>
      <c r="AJ516" s="19">
        <v>6538.5999999999995</v>
      </c>
      <c r="AK516" s="19">
        <v>7600</v>
      </c>
      <c r="AL516" s="37">
        <v>10009</v>
      </c>
    </row>
    <row r="517" spans="2:38" x14ac:dyDescent="0.3">
      <c r="B517" s="6">
        <v>18</v>
      </c>
      <c r="C517" s="21">
        <v>1.1011410475520258</v>
      </c>
      <c r="D517" s="21">
        <v>1.665</v>
      </c>
      <c r="E517" s="21">
        <v>1.7870999999999999</v>
      </c>
      <c r="F517" s="21">
        <v>1.9259999999999999</v>
      </c>
      <c r="G517" s="21">
        <v>1.8015000000000001</v>
      </c>
      <c r="H517" s="21">
        <v>2.2482000000000002</v>
      </c>
      <c r="I517" s="21">
        <v>2.3332000000000002</v>
      </c>
      <c r="J517" s="21">
        <v>2.5028000000000001</v>
      </c>
      <c r="K517" s="21">
        <v>2.7248999999999999</v>
      </c>
      <c r="L517" s="21">
        <v>2.9182000000000001</v>
      </c>
      <c r="M517" s="6">
        <v>3.0991</v>
      </c>
      <c r="N517" s="38">
        <v>3.1932</v>
      </c>
      <c r="O517" s="38"/>
      <c r="P517" s="38">
        <v>3.44</v>
      </c>
      <c r="Q517" s="40">
        <v>3.7486000000000002</v>
      </c>
      <c r="R517" s="38">
        <v>4.5038</v>
      </c>
      <c r="S517" s="6">
        <v>5.6</v>
      </c>
      <c r="X517" s="6">
        <v>18</v>
      </c>
      <c r="Y517" s="19">
        <v>1101.1410475520258</v>
      </c>
      <c r="Z517" s="19">
        <v>1665</v>
      </c>
      <c r="AA517" s="19">
        <v>1926</v>
      </c>
      <c r="AB517" s="19">
        <v>2248.2000000000003</v>
      </c>
      <c r="AC517" s="19">
        <v>2502.8000000000002</v>
      </c>
      <c r="AD517" s="19">
        <v>2724.9</v>
      </c>
      <c r="AE517" s="19">
        <v>2918.2000000000003</v>
      </c>
      <c r="AF517" s="19">
        <v>3099.1</v>
      </c>
      <c r="AG517" s="19">
        <v>3193.2</v>
      </c>
      <c r="AH517" s="19">
        <v>3440</v>
      </c>
      <c r="AI517" s="19">
        <v>3748.6000000000004</v>
      </c>
      <c r="AJ517" s="19">
        <v>4503.8</v>
      </c>
      <c r="AK517" s="19">
        <v>5600</v>
      </c>
      <c r="AL517" s="37">
        <v>8461</v>
      </c>
    </row>
    <row r="518" spans="2:38" x14ac:dyDescent="0.3">
      <c r="B518" s="6">
        <v>19</v>
      </c>
      <c r="C518" s="21">
        <v>0</v>
      </c>
      <c r="D518" s="21">
        <v>0.45229999999999998</v>
      </c>
      <c r="E518" s="21">
        <v>0.55189999999999995</v>
      </c>
      <c r="F518" s="21">
        <v>0.55762999999999996</v>
      </c>
      <c r="G518" s="21">
        <v>0.6774</v>
      </c>
      <c r="H518" s="21">
        <v>0.70250000000000001</v>
      </c>
      <c r="I518" s="21">
        <v>0.73580000000000001</v>
      </c>
      <c r="J518" s="21">
        <v>0.78490000000000004</v>
      </c>
      <c r="K518" s="21">
        <v>0.85599999999999998</v>
      </c>
      <c r="L518" s="21">
        <v>0.96740000000000004</v>
      </c>
      <c r="M518" s="6">
        <v>1.0851999999999999</v>
      </c>
      <c r="N518" s="38">
        <v>1.1418999999999999</v>
      </c>
      <c r="O518" s="38"/>
      <c r="P518" s="38">
        <v>1.2747999999999999</v>
      </c>
      <c r="Q518" s="40">
        <v>1.4488000000000001</v>
      </c>
      <c r="R518" s="38">
        <v>1.95</v>
      </c>
      <c r="S518" s="6">
        <v>3</v>
      </c>
      <c r="X518" s="6">
        <v>19</v>
      </c>
      <c r="Y518" s="19">
        <v>0</v>
      </c>
      <c r="Z518" s="19">
        <v>452.29999999999995</v>
      </c>
      <c r="AA518" s="19">
        <v>557.63</v>
      </c>
      <c r="AB518" s="19">
        <v>702.5</v>
      </c>
      <c r="AC518" s="19">
        <v>784.90000000000009</v>
      </c>
      <c r="AD518" s="19">
        <v>856</v>
      </c>
      <c r="AE518" s="19">
        <v>967.40000000000009</v>
      </c>
      <c r="AF518" s="19">
        <v>1085.2</v>
      </c>
      <c r="AG518" s="19">
        <v>1141.8999999999999</v>
      </c>
      <c r="AH518" s="19">
        <v>1274.8</v>
      </c>
      <c r="AI518" s="19">
        <v>1448.8000000000002</v>
      </c>
      <c r="AJ518" s="19">
        <v>1950</v>
      </c>
      <c r="AK518" s="19">
        <v>3000</v>
      </c>
      <c r="AL518" s="37">
        <v>5925</v>
      </c>
    </row>
    <row r="519" spans="2:38" x14ac:dyDescent="0.3">
      <c r="B519" s="6">
        <v>20</v>
      </c>
      <c r="C519" s="19">
        <v>0</v>
      </c>
      <c r="D519" s="19">
        <v>0</v>
      </c>
      <c r="E519" s="19"/>
      <c r="F519" s="19">
        <v>0</v>
      </c>
      <c r="G519" s="19">
        <v>0</v>
      </c>
      <c r="H519" s="19">
        <v>0</v>
      </c>
      <c r="I519" s="19"/>
      <c r="J519" s="19">
        <v>0</v>
      </c>
      <c r="K519" s="19">
        <v>0</v>
      </c>
      <c r="L519" s="19">
        <v>0</v>
      </c>
      <c r="M519" s="6">
        <v>0</v>
      </c>
      <c r="N519" s="38">
        <v>0</v>
      </c>
      <c r="O519" s="38"/>
      <c r="P519" s="38">
        <v>0</v>
      </c>
      <c r="Q519" s="38">
        <v>0</v>
      </c>
      <c r="R519" s="38">
        <v>0</v>
      </c>
      <c r="S519" s="6">
        <v>0</v>
      </c>
      <c r="X519" s="6">
        <v>20</v>
      </c>
      <c r="Y519" s="19">
        <v>0</v>
      </c>
      <c r="Z519" s="19">
        <v>0</v>
      </c>
      <c r="AA519" s="19">
        <v>0</v>
      </c>
      <c r="AB519" s="19">
        <v>0</v>
      </c>
      <c r="AC519" s="19">
        <v>0</v>
      </c>
      <c r="AD519" s="19">
        <v>0</v>
      </c>
      <c r="AE519" s="19">
        <v>0</v>
      </c>
      <c r="AF519" s="19">
        <v>0</v>
      </c>
      <c r="AG519" s="19">
        <v>0</v>
      </c>
      <c r="AH519" s="19">
        <v>0</v>
      </c>
      <c r="AI519" s="19">
        <v>0</v>
      </c>
      <c r="AJ519" s="19">
        <v>0</v>
      </c>
      <c r="AK519" s="19">
        <v>0</v>
      </c>
      <c r="AL519" s="37">
        <v>2631</v>
      </c>
    </row>
    <row r="521" spans="2:38" x14ac:dyDescent="0.3">
      <c r="B521" s="5" t="s">
        <v>194</v>
      </c>
      <c r="C521" s="5"/>
    </row>
    <row r="522" spans="2:38" x14ac:dyDescent="0.3">
      <c r="B522" s="3" t="s">
        <v>195</v>
      </c>
    </row>
    <row r="523" spans="2:38" x14ac:dyDescent="0.3">
      <c r="B523" s="3" t="s">
        <v>196</v>
      </c>
    </row>
    <row r="524" spans="2:38" x14ac:dyDescent="0.3">
      <c r="B524" s="3" t="s">
        <v>197</v>
      </c>
    </row>
    <row r="525" spans="2:38" x14ac:dyDescent="0.3">
      <c r="B525" s="3" t="s">
        <v>198</v>
      </c>
    </row>
    <row r="539" spans="2:5" x14ac:dyDescent="0.3">
      <c r="B539" s="5" t="s">
        <v>199</v>
      </c>
      <c r="C539" s="5"/>
    </row>
    <row r="541" spans="2:5" x14ac:dyDescent="0.3">
      <c r="B541" s="6" t="s">
        <v>3</v>
      </c>
      <c r="C541" s="6"/>
      <c r="D541" s="25">
        <f>D13</f>
        <v>137</v>
      </c>
      <c r="E541" s="6" t="s">
        <v>8</v>
      </c>
    </row>
    <row r="542" spans="2:5" x14ac:dyDescent="0.3">
      <c r="B542" s="6" t="s">
        <v>4</v>
      </c>
      <c r="C542" s="6"/>
      <c r="D542" s="26">
        <f>D14</f>
        <v>23.7</v>
      </c>
      <c r="E542" s="6" t="s">
        <v>8</v>
      </c>
    </row>
    <row r="543" spans="2:5" x14ac:dyDescent="0.3">
      <c r="B543" s="6" t="s">
        <v>5</v>
      </c>
      <c r="C543" s="6"/>
      <c r="D543" s="6">
        <f>D15</f>
        <v>13.34</v>
      </c>
      <c r="E543" s="6" t="s">
        <v>8</v>
      </c>
    </row>
    <row r="544" spans="2:5" x14ac:dyDescent="0.3">
      <c r="B544" s="6" t="s">
        <v>6</v>
      </c>
      <c r="C544" s="6"/>
      <c r="D544" s="6">
        <f>D16</f>
        <v>9.9469999999999992</v>
      </c>
      <c r="E544" s="6" t="s">
        <v>8</v>
      </c>
    </row>
    <row r="545" spans="2:7" x14ac:dyDescent="0.3">
      <c r="B545" s="6" t="s">
        <v>148</v>
      </c>
      <c r="C545" s="6"/>
      <c r="D545" s="6">
        <f>D22</f>
        <v>142.47999999999999</v>
      </c>
      <c r="E545" s="6" t="s">
        <v>8</v>
      </c>
    </row>
    <row r="546" spans="2:7" x14ac:dyDescent="0.3">
      <c r="B546" s="6" t="s">
        <v>149</v>
      </c>
      <c r="C546" s="6"/>
      <c r="D546" s="25">
        <f>D74</f>
        <v>231.50050979999997</v>
      </c>
      <c r="E546" s="6" t="s">
        <v>141</v>
      </c>
    </row>
    <row r="549" spans="2:7" x14ac:dyDescent="0.3">
      <c r="D549" s="3" t="s">
        <v>200</v>
      </c>
      <c r="E549" s="17">
        <f>(D541/500)+0.48</f>
        <v>0.754</v>
      </c>
      <c r="F549" s="17"/>
      <c r="G549" s="3" t="s">
        <v>160</v>
      </c>
    </row>
    <row r="550" spans="2:7" x14ac:dyDescent="0.3">
      <c r="E550" s="8">
        <v>800</v>
      </c>
      <c r="F550" s="8"/>
      <c r="G550" s="3" t="s">
        <v>201</v>
      </c>
    </row>
    <row r="552" spans="2:7" x14ac:dyDescent="0.3">
      <c r="B552" s="87" t="s">
        <v>202</v>
      </c>
      <c r="C552" s="87"/>
      <c r="D552" s="87"/>
      <c r="E552" s="6"/>
    </row>
    <row r="553" spans="2:7" x14ac:dyDescent="0.3">
      <c r="B553" s="87" t="s">
        <v>203</v>
      </c>
      <c r="C553" s="87"/>
      <c r="D553" s="87"/>
      <c r="E553" s="6" t="s">
        <v>310</v>
      </c>
    </row>
    <row r="554" spans="2:7" x14ac:dyDescent="0.3">
      <c r="B554" s="87" t="s">
        <v>204</v>
      </c>
      <c r="C554" s="87"/>
      <c r="D554" s="87"/>
      <c r="E554" s="6" t="s">
        <v>311</v>
      </c>
    </row>
    <row r="555" spans="2:7" x14ac:dyDescent="0.3">
      <c r="B555" s="87" t="s">
        <v>205</v>
      </c>
      <c r="C555" s="87"/>
      <c r="D555" s="87"/>
      <c r="E555" s="6" t="s">
        <v>311</v>
      </c>
    </row>
    <row r="556" spans="2:7" x14ac:dyDescent="0.3">
      <c r="B556" s="87" t="s">
        <v>206</v>
      </c>
      <c r="C556" s="87"/>
      <c r="D556" s="87"/>
      <c r="E556" s="6" t="s">
        <v>310</v>
      </c>
    </row>
    <row r="558" spans="2:7" x14ac:dyDescent="0.3">
      <c r="B558" s="5" t="s">
        <v>207</v>
      </c>
      <c r="C558" s="5"/>
    </row>
    <row r="559" spans="2:7" x14ac:dyDescent="0.3">
      <c r="B559" s="3" t="s">
        <v>208</v>
      </c>
      <c r="D559" s="24">
        <f>0.35*D544</f>
        <v>3.4814499999999997</v>
      </c>
      <c r="E559" s="3" t="s">
        <v>8</v>
      </c>
    </row>
    <row r="560" spans="2:7" x14ac:dyDescent="0.3">
      <c r="B560" s="3" t="s">
        <v>209</v>
      </c>
      <c r="D560" s="8">
        <v>600</v>
      </c>
      <c r="E560" s="3" t="s">
        <v>201</v>
      </c>
    </row>
    <row r="561" spans="2:7" x14ac:dyDescent="0.3">
      <c r="B561" s="3" t="s">
        <v>210</v>
      </c>
      <c r="D561" s="8">
        <f>D559*1000/500</f>
        <v>6.9628999999999994</v>
      </c>
    </row>
    <row r="562" spans="2:7" x14ac:dyDescent="0.3">
      <c r="B562" s="3" t="s">
        <v>211</v>
      </c>
      <c r="D562" s="8">
        <v>7</v>
      </c>
      <c r="E562" s="3" t="s">
        <v>212</v>
      </c>
    </row>
    <row r="563" spans="2:7" x14ac:dyDescent="0.3">
      <c r="B563" s="86" t="s">
        <v>213</v>
      </c>
      <c r="C563" s="86"/>
      <c r="D563" s="86"/>
      <c r="E563" s="8">
        <f>D562*D560</f>
        <v>4200</v>
      </c>
      <c r="F563" s="8"/>
      <c r="G563" s="3" t="s">
        <v>201</v>
      </c>
    </row>
    <row r="564" spans="2:7" x14ac:dyDescent="0.3">
      <c r="B564" s="3" t="s">
        <v>214</v>
      </c>
      <c r="D564" s="8">
        <v>7</v>
      </c>
    </row>
    <row r="566" spans="2:7" x14ac:dyDescent="0.3">
      <c r="B566" s="5" t="s">
        <v>341</v>
      </c>
      <c r="C566" s="5"/>
    </row>
    <row r="567" spans="2:7" x14ac:dyDescent="0.3">
      <c r="B567" s="3" t="s">
        <v>215</v>
      </c>
    </row>
    <row r="568" spans="2:7" x14ac:dyDescent="0.3">
      <c r="B568" s="3" t="s">
        <v>210</v>
      </c>
      <c r="D568" s="8">
        <v>3</v>
      </c>
    </row>
    <row r="569" spans="2:7" x14ac:dyDescent="0.3">
      <c r="B569" s="3" t="s">
        <v>209</v>
      </c>
      <c r="D569" s="8">
        <v>600</v>
      </c>
      <c r="E569" s="3" t="s">
        <v>201</v>
      </c>
    </row>
    <row r="570" spans="2:7" x14ac:dyDescent="0.3">
      <c r="B570" s="3" t="s">
        <v>216</v>
      </c>
      <c r="D570" s="8">
        <f>D568*D569</f>
        <v>1800</v>
      </c>
      <c r="E570" s="3" t="s">
        <v>201</v>
      </c>
    </row>
    <row r="571" spans="2:7" x14ac:dyDescent="0.3">
      <c r="B571" s="3" t="s">
        <v>217</v>
      </c>
      <c r="D571" s="8">
        <v>10</v>
      </c>
    </row>
    <row r="572" spans="2:7" x14ac:dyDescent="0.3">
      <c r="B572" s="86" t="s">
        <v>218</v>
      </c>
      <c r="C572" s="86"/>
      <c r="D572" s="86"/>
      <c r="E572" s="8">
        <f>D571*D569</f>
        <v>6000</v>
      </c>
      <c r="F572" s="8"/>
      <c r="G572" s="3" t="s">
        <v>201</v>
      </c>
    </row>
    <row r="574" spans="2:7" x14ac:dyDescent="0.3">
      <c r="B574" s="5" t="s">
        <v>219</v>
      </c>
      <c r="C574" s="5"/>
    </row>
    <row r="575" spans="2:7" x14ac:dyDescent="0.3">
      <c r="B575" s="3" t="s">
        <v>220</v>
      </c>
    </row>
    <row r="576" spans="2:7" x14ac:dyDescent="0.3">
      <c r="B576" s="3" t="s">
        <v>221</v>
      </c>
      <c r="D576" s="8">
        <f>18%*D541</f>
        <v>24.66</v>
      </c>
      <c r="E576" s="3" t="s">
        <v>222</v>
      </c>
    </row>
    <row r="577" spans="2:7" x14ac:dyDescent="0.3">
      <c r="B577" s="3" t="s">
        <v>223</v>
      </c>
    </row>
    <row r="578" spans="2:7" x14ac:dyDescent="0.3">
      <c r="B578" s="3" t="s">
        <v>224</v>
      </c>
      <c r="D578" s="8">
        <f>(D576*1000)-E572</f>
        <v>18660</v>
      </c>
      <c r="E578" s="3" t="s">
        <v>225</v>
      </c>
    </row>
    <row r="579" spans="2:7" x14ac:dyDescent="0.3">
      <c r="B579" s="3" t="s">
        <v>226</v>
      </c>
      <c r="D579" s="8">
        <v>800</v>
      </c>
      <c r="E579" s="3" t="s">
        <v>201</v>
      </c>
    </row>
    <row r="580" spans="2:7" x14ac:dyDescent="0.3">
      <c r="B580" s="3" t="s">
        <v>210</v>
      </c>
      <c r="D580" s="8">
        <f>D578/D579</f>
        <v>23.324999999999999</v>
      </c>
    </row>
    <row r="581" spans="2:7" x14ac:dyDescent="0.3">
      <c r="B581" s="3" t="s">
        <v>211</v>
      </c>
      <c r="D581" s="8">
        <v>24</v>
      </c>
      <c r="E581" s="3" t="s">
        <v>226</v>
      </c>
    </row>
    <row r="582" spans="2:7" x14ac:dyDescent="0.3">
      <c r="B582" s="86" t="s">
        <v>227</v>
      </c>
      <c r="C582" s="86"/>
      <c r="D582" s="86"/>
      <c r="E582" s="8">
        <f>D581*D579</f>
        <v>19200</v>
      </c>
      <c r="F582" s="8"/>
      <c r="G582" s="3" t="s">
        <v>228</v>
      </c>
    </row>
    <row r="583" spans="2:7" x14ac:dyDescent="0.3">
      <c r="B583" s="3" t="s">
        <v>217</v>
      </c>
      <c r="D583" s="8">
        <f>D571+D581</f>
        <v>34</v>
      </c>
    </row>
    <row r="585" spans="2:7" x14ac:dyDescent="0.3">
      <c r="B585" s="5" t="s">
        <v>229</v>
      </c>
      <c r="C585" s="5"/>
    </row>
    <row r="586" spans="2:7" x14ac:dyDescent="0.3">
      <c r="B586" s="86" t="s">
        <v>230</v>
      </c>
      <c r="C586" s="86"/>
      <c r="D586" s="86"/>
      <c r="E586" s="8">
        <v>100810</v>
      </c>
      <c r="F586" s="8"/>
      <c r="G586" s="3" t="s">
        <v>201</v>
      </c>
    </row>
    <row r="587" spans="2:7" x14ac:dyDescent="0.3">
      <c r="B587" s="3" t="s">
        <v>209</v>
      </c>
      <c r="D587" s="8">
        <v>1000</v>
      </c>
      <c r="E587" s="3" t="s">
        <v>201</v>
      </c>
    </row>
    <row r="588" spans="2:7" x14ac:dyDescent="0.3">
      <c r="B588" s="3" t="s">
        <v>210</v>
      </c>
      <c r="D588" s="8">
        <f>E586/D587</f>
        <v>100.81</v>
      </c>
    </row>
    <row r="589" spans="2:7" x14ac:dyDescent="0.3">
      <c r="B589" s="3" t="s">
        <v>211</v>
      </c>
      <c r="D589" s="8">
        <v>101</v>
      </c>
      <c r="E589" s="3" t="s">
        <v>226</v>
      </c>
    </row>
    <row r="590" spans="2:7" x14ac:dyDescent="0.3">
      <c r="B590" s="86" t="s">
        <v>227</v>
      </c>
      <c r="C590" s="86"/>
      <c r="D590" s="86"/>
      <c r="E590" s="8">
        <f>D589*D587</f>
        <v>101000</v>
      </c>
      <c r="F590" s="8"/>
      <c r="G590" s="3" t="s">
        <v>231</v>
      </c>
    </row>
    <row r="591" spans="2:7" x14ac:dyDescent="0.3">
      <c r="B591" s="3" t="s">
        <v>232</v>
      </c>
      <c r="D591" s="8">
        <f>D583+D589</f>
        <v>135</v>
      </c>
    </row>
    <row r="592" spans="2:7" x14ac:dyDescent="0.3">
      <c r="D592" s="3">
        <f>D589/5</f>
        <v>20.2</v>
      </c>
    </row>
    <row r="593" spans="2:10" x14ac:dyDescent="0.3">
      <c r="D593" s="3" t="s">
        <v>291</v>
      </c>
      <c r="E593" s="3" t="s">
        <v>275</v>
      </c>
    </row>
    <row r="594" spans="2:10" x14ac:dyDescent="0.3">
      <c r="B594" s="3" t="s">
        <v>288</v>
      </c>
      <c r="D594" s="3">
        <v>21</v>
      </c>
      <c r="E594" s="3">
        <f>D583+D594</f>
        <v>55</v>
      </c>
    </row>
    <row r="595" spans="2:10" x14ac:dyDescent="0.3">
      <c r="B595" s="3" t="s">
        <v>287</v>
      </c>
      <c r="D595" s="3">
        <v>20</v>
      </c>
      <c r="E595" s="3">
        <f>E594+D595</f>
        <v>75</v>
      </c>
    </row>
    <row r="596" spans="2:10" x14ac:dyDescent="0.3">
      <c r="B596" s="3" t="s">
        <v>286</v>
      </c>
      <c r="D596" s="3">
        <v>20</v>
      </c>
      <c r="E596" s="3">
        <f>E595+D596</f>
        <v>95</v>
      </c>
    </row>
    <row r="597" spans="2:10" x14ac:dyDescent="0.3">
      <c r="B597" s="3" t="s">
        <v>290</v>
      </c>
      <c r="D597" s="3">
        <v>20</v>
      </c>
      <c r="E597" s="3">
        <f>E596+D597</f>
        <v>115</v>
      </c>
    </row>
    <row r="598" spans="2:10" x14ac:dyDescent="0.3">
      <c r="B598" s="3" t="s">
        <v>289</v>
      </c>
      <c r="D598" s="3">
        <v>20</v>
      </c>
      <c r="E598" s="3">
        <f>E597+D598</f>
        <v>135</v>
      </c>
    </row>
    <row r="600" spans="2:10" x14ac:dyDescent="0.3">
      <c r="B600" s="5" t="s">
        <v>233</v>
      </c>
      <c r="C600" s="5"/>
    </row>
    <row r="601" spans="2:10" x14ac:dyDescent="0.3">
      <c r="B601" s="3" t="s">
        <v>234</v>
      </c>
    </row>
    <row r="602" spans="2:10" x14ac:dyDescent="0.3">
      <c r="B602" s="86" t="s">
        <v>235</v>
      </c>
      <c r="C602" s="86"/>
      <c r="D602" s="86"/>
      <c r="E602" s="8">
        <f>8%*D541</f>
        <v>10.96</v>
      </c>
      <c r="F602" s="8"/>
      <c r="G602" s="3" t="s">
        <v>8</v>
      </c>
    </row>
    <row r="603" spans="2:10" x14ac:dyDescent="0.3">
      <c r="B603" s="86" t="s">
        <v>236</v>
      </c>
      <c r="C603" s="86"/>
      <c r="D603" s="86"/>
      <c r="E603" s="86"/>
      <c r="G603" s="8">
        <f>D591</f>
        <v>135</v>
      </c>
      <c r="H603" s="8"/>
      <c r="I603" s="8"/>
      <c r="J603" s="8"/>
    </row>
    <row r="604" spans="2:10" x14ac:dyDescent="0.3">
      <c r="B604" s="3" t="s">
        <v>209</v>
      </c>
      <c r="D604" s="8">
        <v>600</v>
      </c>
      <c r="E604" s="3" t="s">
        <v>201</v>
      </c>
    </row>
    <row r="605" spans="2:10" x14ac:dyDescent="0.3">
      <c r="B605" s="3" t="s">
        <v>342</v>
      </c>
      <c r="D605" s="8">
        <f>E602/(D604/1000)</f>
        <v>18.266666666666669</v>
      </c>
      <c r="E605" s="3" t="s">
        <v>343</v>
      </c>
      <c r="F605" s="3">
        <v>18</v>
      </c>
    </row>
    <row r="606" spans="2:10" x14ac:dyDescent="0.3">
      <c r="D606" s="8">
        <f>(D541*1000)-E572-E582-E590</f>
        <v>10800</v>
      </c>
    </row>
    <row r="607" spans="2:10" x14ac:dyDescent="0.3">
      <c r="B607" s="3" t="s">
        <v>217</v>
      </c>
      <c r="D607" s="8">
        <f>D591+(D606/D560)</f>
        <v>153</v>
      </c>
    </row>
    <row r="609" spans="2:10" x14ac:dyDescent="0.3">
      <c r="B609" s="12" t="s">
        <v>237</v>
      </c>
      <c r="C609" s="12"/>
      <c r="D609" s="12" t="s">
        <v>238</v>
      </c>
      <c r="E609" s="12" t="s">
        <v>239</v>
      </c>
      <c r="F609" s="12"/>
      <c r="G609" s="12" t="s">
        <v>240</v>
      </c>
      <c r="H609" s="8"/>
      <c r="I609" s="8"/>
      <c r="J609" s="8"/>
    </row>
    <row r="610" spans="2:10" x14ac:dyDescent="0.3">
      <c r="B610" s="12" t="s">
        <v>241</v>
      </c>
      <c r="C610" s="12"/>
      <c r="D610" s="20">
        <f>D559</f>
        <v>3.4814499999999997</v>
      </c>
      <c r="E610" s="6">
        <f>D562</f>
        <v>7</v>
      </c>
      <c r="F610" s="6"/>
      <c r="G610" s="6">
        <f>D564</f>
        <v>7</v>
      </c>
    </row>
    <row r="611" spans="2:10" ht="28.8" x14ac:dyDescent="0.3">
      <c r="B611" s="36" t="s">
        <v>242</v>
      </c>
      <c r="C611" s="36"/>
      <c r="D611" s="6">
        <f>D570</f>
        <v>1800</v>
      </c>
      <c r="E611" s="6">
        <f>D568</f>
        <v>3</v>
      </c>
      <c r="F611" s="6"/>
      <c r="G611" s="6">
        <f>D571</f>
        <v>10</v>
      </c>
    </row>
    <row r="612" spans="2:10" ht="43.2" x14ac:dyDescent="0.3">
      <c r="B612" s="36" t="s">
        <v>243</v>
      </c>
      <c r="C612" s="36"/>
      <c r="D612" s="6">
        <f>D576</f>
        <v>24.66</v>
      </c>
      <c r="E612" s="6">
        <f>D581</f>
        <v>24</v>
      </c>
      <c r="F612" s="6"/>
      <c r="G612" s="6">
        <f>D583</f>
        <v>34</v>
      </c>
    </row>
    <row r="613" spans="2:10" x14ac:dyDescent="0.3">
      <c r="B613" s="36" t="s">
        <v>244</v>
      </c>
      <c r="C613" s="36"/>
      <c r="D613" s="6">
        <f>E586</f>
        <v>100810</v>
      </c>
      <c r="E613" s="6">
        <f>D589</f>
        <v>101</v>
      </c>
      <c r="F613" s="6"/>
      <c r="G613" s="6">
        <f>D591</f>
        <v>135</v>
      </c>
    </row>
    <row r="614" spans="2:10" ht="43.2" x14ac:dyDescent="0.3">
      <c r="B614" s="36" t="s">
        <v>245</v>
      </c>
      <c r="C614" s="36"/>
      <c r="D614" s="6">
        <f>E602</f>
        <v>10.96</v>
      </c>
      <c r="E614" s="6">
        <f>G603</f>
        <v>135</v>
      </c>
      <c r="F614" s="6"/>
      <c r="G614" s="6"/>
    </row>
    <row r="618" spans="2:10" x14ac:dyDescent="0.3">
      <c r="B618" s="5" t="s">
        <v>271</v>
      </c>
      <c r="C618" s="5"/>
    </row>
    <row r="619" spans="2:10" x14ac:dyDescent="0.3">
      <c r="B619" s="3" t="s">
        <v>272</v>
      </c>
      <c r="D619" s="3" t="s">
        <v>10</v>
      </c>
      <c r="E619" s="3">
        <f>(D545/500)+0.48</f>
        <v>0.76495999999999997</v>
      </c>
      <c r="G619" s="3" t="s">
        <v>8</v>
      </c>
    </row>
    <row r="620" spans="2:10" x14ac:dyDescent="0.3">
      <c r="E620" s="3">
        <v>800</v>
      </c>
      <c r="G620" s="3" t="s">
        <v>201</v>
      </c>
    </row>
    <row r="622" spans="2:10" x14ac:dyDescent="0.3">
      <c r="B622" s="5" t="s">
        <v>273</v>
      </c>
      <c r="C622" s="5"/>
    </row>
    <row r="623" spans="2:10" x14ac:dyDescent="0.3">
      <c r="B623" s="3" t="s">
        <v>284</v>
      </c>
      <c r="D623" s="3" t="s">
        <v>10</v>
      </c>
      <c r="E623" s="3" t="s">
        <v>274</v>
      </c>
    </row>
    <row r="625" spans="2:7" x14ac:dyDescent="0.3">
      <c r="D625" s="3" t="s">
        <v>10</v>
      </c>
      <c r="E625" s="3">
        <f>0.35 * D16</f>
        <v>3.4814499999999997</v>
      </c>
      <c r="G625" s="3" t="s">
        <v>8</v>
      </c>
    </row>
    <row r="626" spans="2:7" x14ac:dyDescent="0.3">
      <c r="E626" s="3">
        <f>E625 * 1000</f>
        <v>3481.45</v>
      </c>
      <c r="G626" s="3" t="s">
        <v>201</v>
      </c>
    </row>
    <row r="627" spans="2:7" x14ac:dyDescent="0.3">
      <c r="E627" s="3">
        <f>E626/600</f>
        <v>5.8024166666666668</v>
      </c>
      <c r="G627" s="3" t="s">
        <v>275</v>
      </c>
    </row>
    <row r="628" spans="2:7" x14ac:dyDescent="0.3">
      <c r="B628" s="3" t="s">
        <v>285</v>
      </c>
    </row>
    <row r="629" spans="2:7" x14ac:dyDescent="0.3">
      <c r="E629" s="3">
        <v>6</v>
      </c>
      <c r="G629" s="3" t="s">
        <v>275</v>
      </c>
    </row>
    <row r="630" spans="2:7" x14ac:dyDescent="0.3">
      <c r="E630" s="3">
        <f>6*600</f>
        <v>3600</v>
      </c>
      <c r="G630" s="3" t="s">
        <v>201</v>
      </c>
    </row>
    <row r="631" spans="2:7" x14ac:dyDescent="0.3">
      <c r="B631" s="3" t="s">
        <v>280</v>
      </c>
      <c r="E631" s="3">
        <v>4</v>
      </c>
      <c r="G631" s="3" t="s">
        <v>275</v>
      </c>
    </row>
    <row r="632" spans="2:7" x14ac:dyDescent="0.3">
      <c r="G632" s="3" t="s">
        <v>201</v>
      </c>
    </row>
    <row r="633" spans="2:7" x14ac:dyDescent="0.3">
      <c r="G633" s="3" t="s">
        <v>201</v>
      </c>
    </row>
    <row r="634" spans="2:7" x14ac:dyDescent="0.3">
      <c r="B634" s="3" t="s">
        <v>281</v>
      </c>
    </row>
    <row r="637" spans="2:7" x14ac:dyDescent="0.3">
      <c r="B637" s="5" t="s">
        <v>276</v>
      </c>
      <c r="C637" s="5"/>
    </row>
    <row r="638" spans="2:7" x14ac:dyDescent="0.3">
      <c r="B638" s="3" t="s">
        <v>277</v>
      </c>
      <c r="E638" s="3" t="s">
        <v>8</v>
      </c>
    </row>
    <row r="639" spans="2:7" x14ac:dyDescent="0.3">
      <c r="E639" s="3" t="s">
        <v>201</v>
      </c>
    </row>
    <row r="641" spans="2:7" x14ac:dyDescent="0.3">
      <c r="B641" s="3" t="s">
        <v>278</v>
      </c>
    </row>
    <row r="642" spans="2:7" x14ac:dyDescent="0.3">
      <c r="E642" s="3" t="s">
        <v>201</v>
      </c>
    </row>
    <row r="645" spans="2:7" x14ac:dyDescent="0.3">
      <c r="B645" s="5" t="s">
        <v>279</v>
      </c>
      <c r="C645" s="5"/>
    </row>
    <row r="646" spans="2:7" x14ac:dyDescent="0.3">
      <c r="B646" s="3" t="s">
        <v>340</v>
      </c>
      <c r="C646" s="5"/>
    </row>
    <row r="647" spans="2:7" x14ac:dyDescent="0.3">
      <c r="B647" s="3" t="s">
        <v>282</v>
      </c>
    </row>
    <row r="648" spans="2:7" x14ac:dyDescent="0.3">
      <c r="B648" s="3" t="s">
        <v>283</v>
      </c>
    </row>
    <row r="649" spans="2:7" x14ac:dyDescent="0.3">
      <c r="B649" s="3" t="s">
        <v>293</v>
      </c>
      <c r="D649" s="3" t="s">
        <v>10</v>
      </c>
      <c r="E649" s="3">
        <f>350+45*D542</f>
        <v>1416.5</v>
      </c>
      <c r="G649" s="3" t="s">
        <v>201</v>
      </c>
    </row>
    <row r="650" spans="2:7" x14ac:dyDescent="0.3">
      <c r="B650" s="3" t="s">
        <v>292</v>
      </c>
      <c r="D650" s="3" t="s">
        <v>10</v>
      </c>
      <c r="E650" s="3">
        <v>1000</v>
      </c>
      <c r="G650" s="3" t="s">
        <v>201</v>
      </c>
    </row>
    <row r="651" spans="2:7" x14ac:dyDescent="0.3">
      <c r="D651" s="3" t="s">
        <v>10</v>
      </c>
      <c r="E651" s="3" t="s">
        <v>337</v>
      </c>
    </row>
    <row r="652" spans="2:7" x14ac:dyDescent="0.3">
      <c r="D652" s="3" t="s">
        <v>10</v>
      </c>
      <c r="E652" s="3">
        <f>D14/15</f>
        <v>1.5799999999999998</v>
      </c>
    </row>
    <row r="654" spans="2:7" x14ac:dyDescent="0.3">
      <c r="B654" s="5" t="s">
        <v>339</v>
      </c>
    </row>
    <row r="655" spans="2:7" x14ac:dyDescent="0.3">
      <c r="B655" s="3" t="s">
        <v>340</v>
      </c>
    </row>
    <row r="665" spans="2:10" ht="15.6" x14ac:dyDescent="0.3">
      <c r="B665" s="2" t="s">
        <v>300</v>
      </c>
    </row>
    <row r="666" spans="2:10" s="47" customFormat="1" ht="15.6" x14ac:dyDescent="0.3">
      <c r="B666" s="1" t="s">
        <v>367</v>
      </c>
      <c r="C666" s="1" t="s">
        <v>368</v>
      </c>
    </row>
    <row r="667" spans="2:10" ht="15.6" x14ac:dyDescent="0.3">
      <c r="C667" s="1" t="s">
        <v>369</v>
      </c>
    </row>
    <row r="669" spans="2:10" ht="15.6" x14ac:dyDescent="0.3">
      <c r="B669" s="2" t="s">
        <v>315</v>
      </c>
    </row>
    <row r="670" spans="2:10" ht="15.6" x14ac:dyDescent="0.3">
      <c r="B670" s="62" t="s">
        <v>316</v>
      </c>
      <c r="C670" s="63" t="s">
        <v>10</v>
      </c>
      <c r="D670" s="63">
        <v>4.5</v>
      </c>
      <c r="E670" s="64" t="s">
        <v>8</v>
      </c>
      <c r="J670" s="41"/>
    </row>
    <row r="671" spans="2:10" s="47" customFormat="1" ht="15.6" x14ac:dyDescent="0.3">
      <c r="B671" s="1" t="s">
        <v>361</v>
      </c>
      <c r="J671" s="41"/>
    </row>
    <row r="672" spans="2:10" s="47" customFormat="1" ht="15.6" x14ac:dyDescent="0.3">
      <c r="B672" s="1"/>
      <c r="J672" s="41"/>
    </row>
    <row r="673" spans="2:10" ht="15.6" x14ac:dyDescent="0.3">
      <c r="B673" s="62" t="s">
        <v>317</v>
      </c>
      <c r="C673" s="63" t="s">
        <v>10</v>
      </c>
      <c r="D673" s="63">
        <f>D14</f>
        <v>23.7</v>
      </c>
      <c r="E673" s="64" t="s">
        <v>8</v>
      </c>
    </row>
    <row r="674" spans="2:10" s="47" customFormat="1" x14ac:dyDescent="0.3">
      <c r="B674" s="3" t="s">
        <v>362</v>
      </c>
      <c r="C674" s="41"/>
      <c r="J674" s="41"/>
    </row>
    <row r="675" spans="2:10" s="47" customFormat="1" ht="16.2" thickBot="1" x14ac:dyDescent="0.35">
      <c r="B675" s="1"/>
      <c r="J675" s="41"/>
    </row>
    <row r="676" spans="2:10" ht="16.8" thickTop="1" thickBot="1" x14ac:dyDescent="0.35">
      <c r="B676" s="71" t="s">
        <v>318</v>
      </c>
      <c r="C676" s="72" t="s">
        <v>10</v>
      </c>
      <c r="D676" s="72">
        <f>0.15 * D673</f>
        <v>3.5549999999999997</v>
      </c>
      <c r="E676" s="73" t="s">
        <v>8</v>
      </c>
      <c r="J676" s="41"/>
    </row>
    <row r="677" spans="2:10" ht="15.6" thickTop="1" thickBot="1" x14ac:dyDescent="0.35">
      <c r="B677" s="74" t="s">
        <v>319</v>
      </c>
      <c r="C677" s="75" t="s">
        <v>10</v>
      </c>
      <c r="D677" s="75">
        <f>0.2 * D673</f>
        <v>4.74</v>
      </c>
      <c r="E677" s="76" t="s">
        <v>8</v>
      </c>
      <c r="J677" s="41"/>
    </row>
    <row r="678" spans="2:10" ht="29.4" thickTop="1" x14ac:dyDescent="0.3">
      <c r="B678" s="66" t="s">
        <v>314</v>
      </c>
      <c r="C678" s="67" t="s">
        <v>10</v>
      </c>
      <c r="D678" s="67" t="s">
        <v>312</v>
      </c>
      <c r="E678" s="68" t="s">
        <v>313</v>
      </c>
      <c r="H678" s="41"/>
      <c r="I678" s="41"/>
    </row>
    <row r="679" spans="2:10" ht="15" thickBot="1" x14ac:dyDescent="0.35">
      <c r="B679" s="69"/>
      <c r="C679" s="70" t="s">
        <v>10</v>
      </c>
      <c r="D679" s="70">
        <f>D670/D673</f>
        <v>0.189873417721519</v>
      </c>
      <c r="E679" s="65" t="str">
        <f>IF(D679&lt;=0.18,"Tidak memenuhi",IF(D679&gt;=0.2,"Tidak memenuhi","Memenuhi"))</f>
        <v>Memenuhi</v>
      </c>
    </row>
    <row r="680" spans="2:10" s="47" customFormat="1" ht="29.4" thickTop="1" x14ac:dyDescent="0.3">
      <c r="B680" s="81" t="s">
        <v>366</v>
      </c>
      <c r="C680" s="82" t="s">
        <v>10</v>
      </c>
      <c r="D680" s="80" t="s">
        <v>323</v>
      </c>
      <c r="E680" s="57"/>
      <c r="F680" s="57"/>
    </row>
    <row r="681" spans="2:10" x14ac:dyDescent="0.3">
      <c r="B681" s="41"/>
    </row>
    <row r="682" spans="2:10" x14ac:dyDescent="0.3">
      <c r="B682" s="46" t="s">
        <v>320</v>
      </c>
    </row>
    <row r="683" spans="2:10" x14ac:dyDescent="0.3">
      <c r="B683" s="3" t="s">
        <v>321</v>
      </c>
      <c r="C683" s="3" t="s">
        <v>10</v>
      </c>
      <c r="D683" s="77">
        <v>5</v>
      </c>
      <c r="E683" s="3" t="s">
        <v>8</v>
      </c>
    </row>
    <row r="684" spans="2:10" x14ac:dyDescent="0.3">
      <c r="B684" s="3" t="s">
        <v>322</v>
      </c>
      <c r="C684" s="3" t="s">
        <v>10</v>
      </c>
      <c r="D684" s="3">
        <f>D13</f>
        <v>137</v>
      </c>
      <c r="E684" s="3" t="s">
        <v>8</v>
      </c>
    </row>
    <row r="685" spans="2:10" x14ac:dyDescent="0.3">
      <c r="B685" s="3" t="s">
        <v>324</v>
      </c>
      <c r="C685" s="3" t="s">
        <v>10</v>
      </c>
      <c r="D685" s="3">
        <f>0.03 * D684</f>
        <v>4.1099999999999994</v>
      </c>
    </row>
    <row r="686" spans="2:10" x14ac:dyDescent="0.3">
      <c r="B686" s="3" t="s">
        <v>325</v>
      </c>
      <c r="C686" s="3" t="s">
        <v>10</v>
      </c>
      <c r="D686" s="3">
        <f>0.04 * D684</f>
        <v>5.48</v>
      </c>
    </row>
    <row r="687" spans="2:10" ht="28.8" x14ac:dyDescent="0.3">
      <c r="B687" s="3" t="s">
        <v>328</v>
      </c>
      <c r="C687" s="3" t="s">
        <v>10</v>
      </c>
      <c r="D687" s="3" t="s">
        <v>329</v>
      </c>
      <c r="E687" s="41" t="s">
        <v>313</v>
      </c>
      <c r="H687" s="41"/>
      <c r="I687" s="41"/>
    </row>
    <row r="688" spans="2:10" x14ac:dyDescent="0.3">
      <c r="C688" s="3" t="s">
        <v>10</v>
      </c>
      <c r="D688" s="3">
        <f>D683 / D684</f>
        <v>3.6496350364963501E-2</v>
      </c>
      <c r="E688" s="65" t="str">
        <f>IF(D688&lt;=0.03,"Tidak memenuhi",IF(D688&gt;=0.04,"Tidak memenuhi","Memenuhi"))</f>
        <v>Memenuhi</v>
      </c>
    </row>
    <row r="689" spans="2:21" s="47" customFormat="1" ht="28.8" x14ac:dyDescent="0.3">
      <c r="B689" s="47" t="s">
        <v>363</v>
      </c>
      <c r="D689" s="79" t="s">
        <v>364</v>
      </c>
    </row>
    <row r="691" spans="2:21" x14ac:dyDescent="0.3">
      <c r="B691" s="46" t="s">
        <v>334</v>
      </c>
    </row>
    <row r="692" spans="2:21" x14ac:dyDescent="0.3">
      <c r="B692" s="3" t="s">
        <v>327</v>
      </c>
      <c r="C692" s="3" t="s">
        <v>10</v>
      </c>
      <c r="D692" s="77">
        <v>3.5</v>
      </c>
      <c r="E692" s="3" t="s">
        <v>8</v>
      </c>
    </row>
    <row r="693" spans="2:21" x14ac:dyDescent="0.3">
      <c r="B693" s="3" t="s">
        <v>330</v>
      </c>
      <c r="C693" s="3" t="s">
        <v>10</v>
      </c>
      <c r="D693" s="77">
        <v>8</v>
      </c>
      <c r="E693" s="3" t="s">
        <v>8</v>
      </c>
    </row>
    <row r="694" spans="2:21" x14ac:dyDescent="0.3">
      <c r="B694" s="3" t="s">
        <v>332</v>
      </c>
      <c r="C694" s="3" t="s">
        <v>10</v>
      </c>
      <c r="D694" s="3">
        <f>0.4 * D693</f>
        <v>3.2</v>
      </c>
    </row>
    <row r="695" spans="2:21" x14ac:dyDescent="0.3">
      <c r="B695" s="3" t="s">
        <v>333</v>
      </c>
      <c r="C695" s="3" t="s">
        <v>10</v>
      </c>
      <c r="D695" s="3">
        <f>0.5 * D693</f>
        <v>4</v>
      </c>
    </row>
    <row r="696" spans="2:21" ht="28.8" x14ac:dyDescent="0.3">
      <c r="B696" s="3" t="s">
        <v>326</v>
      </c>
      <c r="C696" s="3" t="s">
        <v>10</v>
      </c>
      <c r="D696" s="3" t="s">
        <v>331</v>
      </c>
      <c r="E696" s="41" t="s">
        <v>313</v>
      </c>
      <c r="H696" s="41"/>
      <c r="I696" s="41"/>
    </row>
    <row r="697" spans="2:21" x14ac:dyDescent="0.3">
      <c r="C697" s="3" t="s">
        <v>10</v>
      </c>
      <c r="D697" s="3">
        <f>D692 /D693</f>
        <v>0.4375</v>
      </c>
      <c r="E697" s="65" t="str">
        <f>IF(D697&lt;=0.26,"Tidak memenuhi",IF(D697&gt;=0.55,"Tidak memenuhi","Memenuhi"))</f>
        <v>Memenuhi</v>
      </c>
    </row>
    <row r="698" spans="2:21" ht="28.8" x14ac:dyDescent="0.3">
      <c r="B698" s="3" t="s">
        <v>365</v>
      </c>
      <c r="C698" s="3" t="s">
        <v>10</v>
      </c>
      <c r="D698" s="79" t="s">
        <v>335</v>
      </c>
    </row>
    <row r="700" spans="2:21" ht="43.2" x14ac:dyDescent="0.3">
      <c r="B700" s="61" t="s">
        <v>336</v>
      </c>
      <c r="C700" s="61" t="s">
        <v>186</v>
      </c>
      <c r="D700" s="61" t="s">
        <v>187</v>
      </c>
      <c r="E700" s="61" t="s">
        <v>188</v>
      </c>
      <c r="F700" s="61"/>
      <c r="G700" s="61" t="s">
        <v>294</v>
      </c>
      <c r="H700" s="61"/>
      <c r="I700" s="61"/>
      <c r="J700" s="61" t="s">
        <v>189</v>
      </c>
      <c r="K700" s="61" t="s">
        <v>295</v>
      </c>
      <c r="L700" s="61" t="s">
        <v>190</v>
      </c>
      <c r="M700" s="61" t="s">
        <v>191</v>
      </c>
      <c r="N700" s="61" t="s">
        <v>192</v>
      </c>
      <c r="O700" s="61" t="s">
        <v>263</v>
      </c>
      <c r="P700" s="61" t="s">
        <v>267</v>
      </c>
      <c r="Q700" s="61" t="s">
        <v>270</v>
      </c>
      <c r="R700" s="61" t="s">
        <v>268</v>
      </c>
      <c r="S700" s="61" t="s">
        <v>264</v>
      </c>
      <c r="T700" s="61" t="s">
        <v>265</v>
      </c>
      <c r="U700" s="61" t="s">
        <v>266</v>
      </c>
    </row>
    <row r="701" spans="2:21" x14ac:dyDescent="0.3">
      <c r="B701" s="48">
        <v>1</v>
      </c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</row>
    <row r="702" spans="2:21" x14ac:dyDescent="0.3">
      <c r="B702" s="48">
        <v>2</v>
      </c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</row>
    <row r="703" spans="2:21" x14ac:dyDescent="0.3">
      <c r="B703" s="48">
        <v>3</v>
      </c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</row>
    <row r="704" spans="2:21" x14ac:dyDescent="0.3">
      <c r="B704" s="48">
        <v>4</v>
      </c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</row>
    <row r="705" spans="2:21" x14ac:dyDescent="0.3">
      <c r="B705" s="48">
        <v>5</v>
      </c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</row>
    <row r="706" spans="2:21" x14ac:dyDescent="0.3">
      <c r="B706" s="48">
        <v>6</v>
      </c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</row>
    <row r="707" spans="2:21" x14ac:dyDescent="0.3">
      <c r="B707" s="48">
        <v>7</v>
      </c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</row>
    <row r="708" spans="2:21" x14ac:dyDescent="0.3">
      <c r="B708" s="48">
        <v>8</v>
      </c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</row>
    <row r="709" spans="2:21" x14ac:dyDescent="0.3">
      <c r="B709" s="48">
        <v>9</v>
      </c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</row>
    <row r="710" spans="2:21" x14ac:dyDescent="0.3">
      <c r="B710" s="48">
        <v>10</v>
      </c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</row>
    <row r="711" spans="2:21" x14ac:dyDescent="0.3">
      <c r="B711" s="48">
        <v>11</v>
      </c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</row>
    <row r="712" spans="2:21" x14ac:dyDescent="0.3">
      <c r="B712" s="48">
        <v>12</v>
      </c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</row>
    <row r="713" spans="2:21" x14ac:dyDescent="0.3">
      <c r="B713" s="48">
        <v>13</v>
      </c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</row>
    <row r="714" spans="2:21" x14ac:dyDescent="0.3">
      <c r="B714" s="48">
        <v>14</v>
      </c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</row>
    <row r="715" spans="2:21" x14ac:dyDescent="0.3">
      <c r="B715" s="48">
        <v>15</v>
      </c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</row>
    <row r="716" spans="2:21" x14ac:dyDescent="0.3">
      <c r="B716" s="48">
        <v>16</v>
      </c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</row>
    <row r="717" spans="2:21" x14ac:dyDescent="0.3">
      <c r="B717" s="48">
        <v>17</v>
      </c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</row>
    <row r="718" spans="2:21" x14ac:dyDescent="0.3">
      <c r="B718" s="48">
        <v>18</v>
      </c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</row>
    <row r="719" spans="2:21" x14ac:dyDescent="0.3">
      <c r="B719" s="48">
        <v>19</v>
      </c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</row>
    <row r="720" spans="2:21" x14ac:dyDescent="0.3">
      <c r="B720" s="48">
        <v>20</v>
      </c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</row>
    <row r="721" spans="2:21" x14ac:dyDescent="0.3">
      <c r="B721" s="48">
        <v>21</v>
      </c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</row>
    <row r="722" spans="2:21" x14ac:dyDescent="0.3">
      <c r="B722" s="48">
        <v>22</v>
      </c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</row>
    <row r="723" spans="2:21" x14ac:dyDescent="0.3">
      <c r="B723" s="48">
        <v>23</v>
      </c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</row>
    <row r="724" spans="2:21" x14ac:dyDescent="0.3">
      <c r="B724" s="48">
        <v>24</v>
      </c>
      <c r="C724" s="48"/>
      <c r="D724" s="48"/>
      <c r="E724" s="48"/>
      <c r="F724" s="48"/>
      <c r="G724" s="48"/>
      <c r="H724" s="48">
        <f t="shared" ref="H724:H737" si="5">G725-G723</f>
        <v>0</v>
      </c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</row>
    <row r="725" spans="2:21" x14ac:dyDescent="0.3">
      <c r="B725" s="48">
        <v>25</v>
      </c>
      <c r="C725" s="48"/>
      <c r="D725" s="48"/>
      <c r="E725" s="48"/>
      <c r="F725" s="48"/>
      <c r="G725" s="48"/>
      <c r="H725" s="48">
        <f t="shared" si="5"/>
        <v>0</v>
      </c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</row>
    <row r="726" spans="2:21" x14ac:dyDescent="0.3">
      <c r="B726" s="48">
        <v>26</v>
      </c>
      <c r="C726" s="48"/>
      <c r="D726" s="48"/>
      <c r="E726" s="48"/>
      <c r="F726" s="48"/>
      <c r="G726" s="48"/>
      <c r="H726" s="48">
        <f t="shared" si="5"/>
        <v>0</v>
      </c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</row>
    <row r="727" spans="2:21" x14ac:dyDescent="0.3">
      <c r="B727" s="48">
        <v>27</v>
      </c>
      <c r="C727" s="48"/>
      <c r="D727" s="48"/>
      <c r="E727" s="48"/>
      <c r="F727" s="48"/>
      <c r="G727" s="48"/>
      <c r="H727" s="48">
        <f t="shared" si="5"/>
        <v>0</v>
      </c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</row>
    <row r="728" spans="2:21" x14ac:dyDescent="0.3">
      <c r="B728" s="48">
        <v>28</v>
      </c>
      <c r="C728" s="48"/>
      <c r="D728" s="48"/>
      <c r="E728" s="48"/>
      <c r="F728" s="48"/>
      <c r="G728" s="48"/>
      <c r="H728" s="48">
        <f t="shared" si="5"/>
        <v>0</v>
      </c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</row>
    <row r="729" spans="2:21" x14ac:dyDescent="0.3">
      <c r="B729" s="48">
        <v>29</v>
      </c>
      <c r="C729" s="48"/>
      <c r="D729" s="48"/>
      <c r="E729" s="48"/>
      <c r="F729" s="48"/>
      <c r="G729" s="48"/>
      <c r="H729" s="48">
        <f t="shared" si="5"/>
        <v>0</v>
      </c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</row>
    <row r="730" spans="2:21" x14ac:dyDescent="0.3">
      <c r="B730" s="48">
        <v>30</v>
      </c>
      <c r="C730" s="48"/>
      <c r="D730" s="48"/>
      <c r="E730" s="48"/>
      <c r="F730" s="48"/>
      <c r="G730" s="48"/>
      <c r="H730" s="48">
        <f t="shared" si="5"/>
        <v>0</v>
      </c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</row>
    <row r="731" spans="2:21" x14ac:dyDescent="0.3">
      <c r="B731" s="48">
        <v>31</v>
      </c>
      <c r="C731" s="48"/>
      <c r="D731" s="48"/>
      <c r="E731" s="48"/>
      <c r="F731" s="48"/>
      <c r="G731" s="48"/>
      <c r="H731" s="48">
        <f t="shared" si="5"/>
        <v>0</v>
      </c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</row>
    <row r="732" spans="2:21" x14ac:dyDescent="0.3">
      <c r="B732" s="48">
        <v>32</v>
      </c>
      <c r="C732" s="48"/>
      <c r="D732" s="48"/>
      <c r="E732" s="48"/>
      <c r="F732" s="48"/>
      <c r="G732" s="48"/>
      <c r="H732" s="48">
        <f t="shared" si="5"/>
        <v>0</v>
      </c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</row>
    <row r="733" spans="2:21" x14ac:dyDescent="0.3">
      <c r="B733" s="48">
        <v>33</v>
      </c>
      <c r="C733" s="48"/>
      <c r="D733" s="48"/>
      <c r="E733" s="48"/>
      <c r="F733" s="48"/>
      <c r="G733" s="48"/>
      <c r="H733" s="48">
        <f t="shared" si="5"/>
        <v>8.1074999999999999</v>
      </c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</row>
    <row r="734" spans="2:21" x14ac:dyDescent="0.3">
      <c r="B734" s="48">
        <v>34</v>
      </c>
      <c r="C734" s="48"/>
      <c r="D734" s="48"/>
      <c r="E734" s="48"/>
      <c r="F734" s="48"/>
      <c r="G734" s="48">
        <v>8.1074999999999999</v>
      </c>
      <c r="H734" s="48">
        <f t="shared" si="5"/>
        <v>0</v>
      </c>
      <c r="I734" s="48">
        <v>21.573899999999998</v>
      </c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</row>
    <row r="735" spans="2:21" x14ac:dyDescent="0.3">
      <c r="B735" s="48">
        <v>35</v>
      </c>
      <c r="C735" s="48"/>
      <c r="D735" s="48"/>
      <c r="E735" s="48"/>
      <c r="F735" s="48"/>
      <c r="G735" s="48"/>
      <c r="H735" s="48">
        <f t="shared" si="5"/>
        <v>0.66019999999999968</v>
      </c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</row>
    <row r="736" spans="2:21" x14ac:dyDescent="0.3">
      <c r="B736" s="48">
        <v>36</v>
      </c>
      <c r="C736" s="48"/>
      <c r="D736" s="48"/>
      <c r="E736" s="48"/>
      <c r="F736" s="48"/>
      <c r="G736" s="48">
        <v>8.7676999999999996</v>
      </c>
      <c r="H736" s="48">
        <f t="shared" si="5"/>
        <v>0</v>
      </c>
      <c r="I736" s="48">
        <v>23.435700000000001</v>
      </c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</row>
    <row r="737" spans="2:21" x14ac:dyDescent="0.3">
      <c r="B737" s="48">
        <v>37</v>
      </c>
      <c r="C737" s="48"/>
      <c r="D737" s="48"/>
      <c r="E737" s="48"/>
      <c r="F737" s="48"/>
      <c r="G737" s="48"/>
      <c r="H737" s="48">
        <f t="shared" si="5"/>
        <v>0.5470000000000006</v>
      </c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</row>
    <row r="738" spans="2:21" x14ac:dyDescent="0.3">
      <c r="B738" s="48">
        <v>38</v>
      </c>
      <c r="C738" s="48"/>
      <c r="D738" s="48"/>
      <c r="E738" s="48"/>
      <c r="F738" s="48"/>
      <c r="G738" s="48">
        <v>9.3147000000000002</v>
      </c>
      <c r="H738" s="48">
        <f t="shared" ref="H738:H757" si="6">G739-G737</f>
        <v>0</v>
      </c>
      <c r="I738" s="48">
        <v>24.978200000000001</v>
      </c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</row>
    <row r="739" spans="2:21" x14ac:dyDescent="0.3">
      <c r="B739" s="48">
        <v>39</v>
      </c>
      <c r="C739" s="48"/>
      <c r="D739" s="48"/>
      <c r="E739" s="48"/>
      <c r="F739" s="48"/>
      <c r="G739" s="48"/>
      <c r="H739" s="48">
        <f t="shared" si="6"/>
        <v>0.44239999999999924</v>
      </c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</row>
    <row r="740" spans="2:21" x14ac:dyDescent="0.3">
      <c r="B740" s="48">
        <v>40</v>
      </c>
      <c r="C740" s="48"/>
      <c r="D740" s="48"/>
      <c r="E740" s="48"/>
      <c r="F740" s="48"/>
      <c r="G740" s="48">
        <v>9.7570999999999994</v>
      </c>
      <c r="H740" s="48">
        <f t="shared" si="6"/>
        <v>0</v>
      </c>
      <c r="I740" s="48">
        <v>26.2258</v>
      </c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</row>
    <row r="741" spans="2:21" x14ac:dyDescent="0.3">
      <c r="B741" s="48">
        <v>41</v>
      </c>
      <c r="C741" s="48"/>
      <c r="D741" s="48"/>
      <c r="E741" s="48"/>
      <c r="F741" s="48"/>
      <c r="G741" s="48"/>
      <c r="H741" s="48">
        <f t="shared" si="6"/>
        <v>0.35790000000000077</v>
      </c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</row>
    <row r="742" spans="2:21" x14ac:dyDescent="0.3">
      <c r="B742" s="48">
        <v>42</v>
      </c>
      <c r="C742" s="48"/>
      <c r="D742" s="48"/>
      <c r="E742" s="48"/>
      <c r="F742" s="48"/>
      <c r="G742" s="48">
        <v>10.115</v>
      </c>
      <c r="H742" s="48">
        <f t="shared" si="6"/>
        <v>0</v>
      </c>
      <c r="I742" s="48">
        <v>27.235099999999999</v>
      </c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</row>
    <row r="743" spans="2:21" x14ac:dyDescent="0.3">
      <c r="B743" s="48">
        <v>43</v>
      </c>
      <c r="C743" s="48"/>
      <c r="D743" s="48"/>
      <c r="E743" s="48"/>
      <c r="F743" s="48"/>
      <c r="G743" s="48"/>
      <c r="H743" s="48">
        <f t="shared" si="6"/>
        <v>0.29170000000000051</v>
      </c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</row>
    <row r="744" spans="2:21" x14ac:dyDescent="0.3">
      <c r="B744" s="48">
        <v>44</v>
      </c>
      <c r="C744" s="48"/>
      <c r="D744" s="48"/>
      <c r="E744" s="48"/>
      <c r="F744" s="48"/>
      <c r="G744" s="48">
        <v>10.406700000000001</v>
      </c>
      <c r="H744" s="48">
        <f t="shared" si="6"/>
        <v>0</v>
      </c>
      <c r="I744" s="48">
        <v>28.057700000000001</v>
      </c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</row>
    <row r="745" spans="2:21" x14ac:dyDescent="0.3">
      <c r="B745" s="48">
        <v>45</v>
      </c>
      <c r="C745" s="48"/>
      <c r="D745" s="48"/>
      <c r="E745" s="48"/>
      <c r="F745" s="48"/>
      <c r="G745" s="48"/>
      <c r="H745" s="48">
        <f t="shared" si="6"/>
        <v>0.24239999999999995</v>
      </c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</row>
    <row r="746" spans="2:21" x14ac:dyDescent="0.3">
      <c r="B746" s="48">
        <v>46</v>
      </c>
      <c r="C746" s="48"/>
      <c r="D746" s="48"/>
      <c r="E746" s="48"/>
      <c r="F746" s="48"/>
      <c r="G746" s="48">
        <v>10.649100000000001</v>
      </c>
      <c r="H746" s="48">
        <f t="shared" si="6"/>
        <v>0</v>
      </c>
      <c r="I746" s="48">
        <v>28.741199999999999</v>
      </c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</row>
    <row r="747" spans="2:21" x14ac:dyDescent="0.3">
      <c r="B747" s="48">
        <v>47</v>
      </c>
      <c r="C747" s="48"/>
      <c r="D747" s="48"/>
      <c r="E747" s="48"/>
      <c r="F747" s="48"/>
      <c r="G747" s="48"/>
      <c r="H747" s="48">
        <f t="shared" si="6"/>
        <v>0.20869999999999855</v>
      </c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</row>
    <row r="748" spans="2:21" x14ac:dyDescent="0.3">
      <c r="B748" s="48">
        <v>48</v>
      </c>
      <c r="C748" s="48"/>
      <c r="D748" s="48"/>
      <c r="E748" s="48"/>
      <c r="F748" s="48"/>
      <c r="G748" s="48">
        <v>10.857799999999999</v>
      </c>
      <c r="H748" s="48">
        <f t="shared" si="6"/>
        <v>0</v>
      </c>
      <c r="I748" s="48">
        <v>29.329799999999999</v>
      </c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</row>
    <row r="749" spans="2:21" x14ac:dyDescent="0.3">
      <c r="B749" s="48">
        <v>49</v>
      </c>
      <c r="C749" s="48"/>
      <c r="D749" s="48"/>
      <c r="E749" s="48"/>
      <c r="F749" s="48"/>
      <c r="G749" s="48"/>
      <c r="H749" s="48">
        <f t="shared" si="6"/>
        <v>0.19030000000000058</v>
      </c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</row>
    <row r="750" spans="2:21" x14ac:dyDescent="0.3">
      <c r="B750" s="48">
        <v>50</v>
      </c>
      <c r="C750" s="48"/>
      <c r="D750" s="48"/>
      <c r="E750" s="48"/>
      <c r="F750" s="48"/>
      <c r="G750" s="48">
        <v>11.0481</v>
      </c>
      <c r="H750" s="48">
        <f t="shared" si="6"/>
        <v>0</v>
      </c>
      <c r="I750" s="48">
        <v>29.866399999999999</v>
      </c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</row>
    <row r="751" spans="2:21" x14ac:dyDescent="0.3">
      <c r="B751" s="48">
        <v>51</v>
      </c>
      <c r="C751" s="48"/>
      <c r="D751" s="48"/>
      <c r="E751" s="48"/>
      <c r="F751" s="48"/>
      <c r="G751" s="48"/>
      <c r="H751" s="48">
        <f t="shared" si="6"/>
        <v>0.18430000000000035</v>
      </c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</row>
    <row r="752" spans="2:21" x14ac:dyDescent="0.3">
      <c r="B752" s="48">
        <v>52</v>
      </c>
      <c r="C752" s="48"/>
      <c r="D752" s="48"/>
      <c r="E752" s="48"/>
      <c r="F752" s="48"/>
      <c r="G752" s="48">
        <v>11.2324</v>
      </c>
      <c r="H752" s="48">
        <f t="shared" si="6"/>
        <v>0</v>
      </c>
      <c r="I752" s="48">
        <v>30.386099999999999</v>
      </c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</row>
    <row r="753" spans="2:21" x14ac:dyDescent="0.3">
      <c r="B753" s="48">
        <v>53</v>
      </c>
      <c r="C753" s="48"/>
      <c r="D753" s="48"/>
      <c r="E753" s="48"/>
      <c r="F753" s="48"/>
      <c r="G753" s="48"/>
      <c r="H753" s="48">
        <f t="shared" si="6"/>
        <v>-11.2324</v>
      </c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</row>
    <row r="754" spans="2:21" x14ac:dyDescent="0.3">
      <c r="B754" s="48">
        <v>54</v>
      </c>
      <c r="C754" s="48"/>
      <c r="D754" s="48"/>
      <c r="E754" s="48"/>
      <c r="F754" s="48"/>
      <c r="G754" s="48"/>
      <c r="H754" s="48">
        <f t="shared" si="6"/>
        <v>0</v>
      </c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</row>
    <row r="755" spans="2:21" x14ac:dyDescent="0.3">
      <c r="B755" s="48">
        <v>55</v>
      </c>
      <c r="C755" s="48"/>
      <c r="D755" s="48"/>
      <c r="E755" s="48"/>
      <c r="F755" s="48"/>
      <c r="G755" s="48"/>
      <c r="H755" s="48">
        <f t="shared" si="6"/>
        <v>0</v>
      </c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</row>
    <row r="756" spans="2:21" x14ac:dyDescent="0.3">
      <c r="B756" s="48">
        <v>56</v>
      </c>
      <c r="C756" s="48"/>
      <c r="D756" s="48"/>
      <c r="E756" s="48"/>
      <c r="F756" s="48"/>
      <c r="G756" s="48"/>
      <c r="H756" s="48">
        <f t="shared" si="6"/>
        <v>0</v>
      </c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</row>
    <row r="757" spans="2:21" x14ac:dyDescent="0.3">
      <c r="B757" s="48">
        <v>57</v>
      </c>
      <c r="C757" s="48"/>
      <c r="D757" s="48"/>
      <c r="E757" s="48"/>
      <c r="F757" s="48"/>
      <c r="G757" s="48"/>
      <c r="H757" s="48">
        <f t="shared" si="6"/>
        <v>0</v>
      </c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</row>
    <row r="758" spans="2:21" x14ac:dyDescent="0.3">
      <c r="B758" s="48">
        <v>58</v>
      </c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</row>
    <row r="759" spans="2:21" x14ac:dyDescent="0.3">
      <c r="B759" s="48">
        <v>59</v>
      </c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</row>
    <row r="760" spans="2:21" x14ac:dyDescent="0.3">
      <c r="B760" s="48">
        <v>60</v>
      </c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</row>
    <row r="761" spans="2:21" x14ac:dyDescent="0.3">
      <c r="B761" s="48">
        <v>61</v>
      </c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</row>
    <row r="762" spans="2:21" x14ac:dyDescent="0.3">
      <c r="B762" s="48">
        <v>62</v>
      </c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</row>
    <row r="763" spans="2:21" x14ac:dyDescent="0.3">
      <c r="B763" s="48">
        <v>63</v>
      </c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</row>
    <row r="764" spans="2:21" x14ac:dyDescent="0.3">
      <c r="B764" s="48">
        <v>64</v>
      </c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</row>
    <row r="765" spans="2:21" x14ac:dyDescent="0.3">
      <c r="B765" s="48">
        <v>65</v>
      </c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</row>
    <row r="766" spans="2:21" x14ac:dyDescent="0.3">
      <c r="B766" s="48">
        <v>66</v>
      </c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</row>
    <row r="767" spans="2:21" x14ac:dyDescent="0.3">
      <c r="B767" s="48">
        <v>67</v>
      </c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</row>
    <row r="768" spans="2:21" x14ac:dyDescent="0.3">
      <c r="B768" s="48">
        <v>68</v>
      </c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</row>
    <row r="769" spans="2:21" x14ac:dyDescent="0.3">
      <c r="B769" s="48">
        <v>69</v>
      </c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</row>
    <row r="770" spans="2:21" x14ac:dyDescent="0.3">
      <c r="B770" s="48">
        <v>70</v>
      </c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</row>
    <row r="771" spans="2:21" x14ac:dyDescent="0.3">
      <c r="B771" s="48">
        <v>71</v>
      </c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</row>
    <row r="772" spans="2:21" x14ac:dyDescent="0.3">
      <c r="B772" s="48">
        <v>72</v>
      </c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</row>
    <row r="773" spans="2:21" x14ac:dyDescent="0.3">
      <c r="B773" s="48">
        <v>73</v>
      </c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</row>
    <row r="774" spans="2:21" x14ac:dyDescent="0.3">
      <c r="B774" s="48">
        <v>74</v>
      </c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</row>
    <row r="775" spans="2:21" x14ac:dyDescent="0.3">
      <c r="B775" s="48">
        <v>75</v>
      </c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</row>
    <row r="776" spans="2:21" x14ac:dyDescent="0.3">
      <c r="B776" s="48">
        <v>76</v>
      </c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</row>
    <row r="777" spans="2:21" x14ac:dyDescent="0.3">
      <c r="B777" s="48">
        <v>77</v>
      </c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</row>
    <row r="778" spans="2:21" x14ac:dyDescent="0.3">
      <c r="B778" s="48">
        <v>78</v>
      </c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</row>
    <row r="779" spans="2:21" x14ac:dyDescent="0.3">
      <c r="B779" s="48">
        <v>79</v>
      </c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</row>
    <row r="780" spans="2:21" x14ac:dyDescent="0.3">
      <c r="B780" s="48">
        <v>80</v>
      </c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</row>
    <row r="781" spans="2:21" x14ac:dyDescent="0.3">
      <c r="B781" s="48">
        <v>81</v>
      </c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</row>
    <row r="782" spans="2:21" x14ac:dyDescent="0.3">
      <c r="B782" s="48">
        <v>82</v>
      </c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</row>
    <row r="783" spans="2:21" x14ac:dyDescent="0.3">
      <c r="B783" s="48">
        <v>83</v>
      </c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</row>
    <row r="784" spans="2:21" x14ac:dyDescent="0.3">
      <c r="B784" s="48">
        <v>84</v>
      </c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</row>
    <row r="785" spans="2:21" x14ac:dyDescent="0.3">
      <c r="B785" s="48">
        <v>85</v>
      </c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</row>
    <row r="786" spans="2:21" x14ac:dyDescent="0.3">
      <c r="B786" s="48">
        <v>86</v>
      </c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</row>
    <row r="787" spans="2:21" x14ac:dyDescent="0.3">
      <c r="B787" s="48">
        <v>87</v>
      </c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</row>
    <row r="788" spans="2:21" x14ac:dyDescent="0.3">
      <c r="B788" s="48">
        <v>88</v>
      </c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</row>
    <row r="789" spans="2:21" x14ac:dyDescent="0.3">
      <c r="B789" s="48">
        <v>89</v>
      </c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</row>
    <row r="790" spans="2:21" x14ac:dyDescent="0.3">
      <c r="B790" s="48">
        <v>90</v>
      </c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</row>
    <row r="791" spans="2:21" x14ac:dyDescent="0.3">
      <c r="B791" s="48">
        <v>91</v>
      </c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</row>
    <row r="792" spans="2:21" x14ac:dyDescent="0.3">
      <c r="B792" s="48">
        <v>92</v>
      </c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</row>
    <row r="793" spans="2:21" x14ac:dyDescent="0.3">
      <c r="B793" s="48">
        <v>93</v>
      </c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</row>
    <row r="794" spans="2:21" x14ac:dyDescent="0.3">
      <c r="B794" s="48">
        <v>94</v>
      </c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</row>
    <row r="795" spans="2:21" x14ac:dyDescent="0.3">
      <c r="B795" s="48">
        <v>95</v>
      </c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</row>
    <row r="796" spans="2:21" x14ac:dyDescent="0.3">
      <c r="B796" s="48">
        <v>96</v>
      </c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</row>
    <row r="797" spans="2:21" x14ac:dyDescent="0.3">
      <c r="B797" s="48">
        <v>97</v>
      </c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</row>
    <row r="798" spans="2:21" x14ac:dyDescent="0.3">
      <c r="B798" s="48">
        <v>98</v>
      </c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</row>
    <row r="799" spans="2:21" x14ac:dyDescent="0.3">
      <c r="B799" s="48">
        <v>99</v>
      </c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</row>
    <row r="800" spans="2:21" x14ac:dyDescent="0.3">
      <c r="B800" s="48">
        <v>100</v>
      </c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</row>
    <row r="801" spans="2:21" x14ac:dyDescent="0.3">
      <c r="B801" s="48">
        <v>101</v>
      </c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</row>
    <row r="802" spans="2:21" x14ac:dyDescent="0.3">
      <c r="B802" s="48">
        <v>102</v>
      </c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</row>
    <row r="803" spans="2:21" x14ac:dyDescent="0.3">
      <c r="B803" s="48">
        <v>103</v>
      </c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</row>
    <row r="804" spans="2:21" x14ac:dyDescent="0.3">
      <c r="B804" s="48">
        <v>104</v>
      </c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</row>
    <row r="805" spans="2:21" x14ac:dyDescent="0.3">
      <c r="B805" s="48">
        <v>105</v>
      </c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</row>
    <row r="806" spans="2:21" x14ac:dyDescent="0.3">
      <c r="B806" s="48">
        <v>106</v>
      </c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</row>
    <row r="807" spans="2:21" x14ac:dyDescent="0.3">
      <c r="B807" s="48">
        <v>107</v>
      </c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</row>
    <row r="808" spans="2:21" x14ac:dyDescent="0.3">
      <c r="B808" s="48">
        <v>108</v>
      </c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</row>
    <row r="809" spans="2:21" x14ac:dyDescent="0.3">
      <c r="B809" s="48">
        <v>109</v>
      </c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</row>
    <row r="810" spans="2:21" x14ac:dyDescent="0.3">
      <c r="B810" s="48">
        <v>110</v>
      </c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</row>
    <row r="811" spans="2:21" x14ac:dyDescent="0.3">
      <c r="B811" s="48">
        <v>111</v>
      </c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</row>
    <row r="812" spans="2:21" x14ac:dyDescent="0.3">
      <c r="B812" s="48">
        <v>112</v>
      </c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</row>
    <row r="813" spans="2:21" x14ac:dyDescent="0.3">
      <c r="B813" s="48">
        <v>113</v>
      </c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</row>
    <row r="814" spans="2:21" x14ac:dyDescent="0.3">
      <c r="B814" s="48">
        <v>114</v>
      </c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</row>
    <row r="815" spans="2:21" x14ac:dyDescent="0.3">
      <c r="B815" s="48">
        <v>115</v>
      </c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</row>
    <row r="816" spans="2:21" x14ac:dyDescent="0.3">
      <c r="B816" s="48">
        <v>116</v>
      </c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</row>
    <row r="817" spans="2:21" x14ac:dyDescent="0.3">
      <c r="B817" s="48">
        <v>117</v>
      </c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</row>
    <row r="818" spans="2:21" x14ac:dyDescent="0.3">
      <c r="B818" s="48">
        <v>118</v>
      </c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</row>
    <row r="819" spans="2:21" x14ac:dyDescent="0.3">
      <c r="B819" s="48">
        <v>119</v>
      </c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</row>
    <row r="820" spans="2:21" x14ac:dyDescent="0.3">
      <c r="B820" s="48">
        <v>120</v>
      </c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</row>
    <row r="821" spans="2:21" x14ac:dyDescent="0.3">
      <c r="B821" s="48">
        <v>121</v>
      </c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</row>
    <row r="822" spans="2:21" x14ac:dyDescent="0.3">
      <c r="B822" s="48">
        <v>122</v>
      </c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</row>
    <row r="823" spans="2:21" x14ac:dyDescent="0.3">
      <c r="B823" s="48">
        <v>123</v>
      </c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</row>
    <row r="824" spans="2:21" x14ac:dyDescent="0.3">
      <c r="B824" s="48">
        <v>124</v>
      </c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</row>
    <row r="825" spans="2:21" x14ac:dyDescent="0.3">
      <c r="B825" s="48">
        <v>125</v>
      </c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</row>
    <row r="826" spans="2:21" x14ac:dyDescent="0.3">
      <c r="B826" s="48">
        <v>126</v>
      </c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</row>
    <row r="827" spans="2:21" x14ac:dyDescent="0.3">
      <c r="B827" s="48">
        <v>127</v>
      </c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</row>
    <row r="828" spans="2:21" x14ac:dyDescent="0.3">
      <c r="B828" s="48">
        <v>128</v>
      </c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</row>
    <row r="829" spans="2:21" x14ac:dyDescent="0.3">
      <c r="B829" s="48">
        <v>129</v>
      </c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</row>
    <row r="830" spans="2:21" x14ac:dyDescent="0.3">
      <c r="B830" s="48">
        <v>130</v>
      </c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</row>
    <row r="831" spans="2:21" x14ac:dyDescent="0.3">
      <c r="B831" s="48">
        <v>131</v>
      </c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</row>
    <row r="832" spans="2:21" x14ac:dyDescent="0.3">
      <c r="B832" s="48">
        <v>132</v>
      </c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</row>
    <row r="833" spans="2:21" x14ac:dyDescent="0.3">
      <c r="B833" s="48">
        <v>133</v>
      </c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</row>
    <row r="834" spans="2:21" x14ac:dyDescent="0.3">
      <c r="B834" s="48">
        <v>134</v>
      </c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</row>
    <row r="835" spans="2:21" x14ac:dyDescent="0.3">
      <c r="B835" s="48">
        <v>135</v>
      </c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</row>
    <row r="836" spans="2:21" x14ac:dyDescent="0.3">
      <c r="B836" s="48">
        <v>136</v>
      </c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</row>
    <row r="837" spans="2:21" x14ac:dyDescent="0.3">
      <c r="B837" s="48">
        <v>137</v>
      </c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</row>
    <row r="838" spans="2:21" x14ac:dyDescent="0.3">
      <c r="B838" s="48">
        <v>138</v>
      </c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</row>
    <row r="839" spans="2:21" x14ac:dyDescent="0.3">
      <c r="B839" s="48">
        <v>139</v>
      </c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</row>
    <row r="840" spans="2:21" x14ac:dyDescent="0.3">
      <c r="B840" s="48">
        <v>140</v>
      </c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</row>
    <row r="841" spans="2:21" x14ac:dyDescent="0.3">
      <c r="B841" s="48">
        <v>141</v>
      </c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</row>
    <row r="842" spans="2:21" x14ac:dyDescent="0.3">
      <c r="B842" s="48">
        <v>142</v>
      </c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</row>
    <row r="843" spans="2:21" x14ac:dyDescent="0.3">
      <c r="B843" s="48">
        <v>143</v>
      </c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</row>
    <row r="844" spans="2:21" x14ac:dyDescent="0.3">
      <c r="B844" s="48">
        <v>144</v>
      </c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</row>
    <row r="845" spans="2:21" x14ac:dyDescent="0.3">
      <c r="B845" s="48">
        <v>145</v>
      </c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</row>
    <row r="846" spans="2:21" x14ac:dyDescent="0.3">
      <c r="B846" s="48">
        <v>146</v>
      </c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</row>
    <row r="847" spans="2:21" x14ac:dyDescent="0.3">
      <c r="B847" s="48">
        <v>147</v>
      </c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</row>
    <row r="848" spans="2:21" x14ac:dyDescent="0.3">
      <c r="B848" s="48">
        <v>148</v>
      </c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</row>
    <row r="849" spans="2:21" x14ac:dyDescent="0.3">
      <c r="B849" s="48">
        <v>149</v>
      </c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</row>
    <row r="850" spans="2:21" x14ac:dyDescent="0.3">
      <c r="B850" s="48">
        <v>150</v>
      </c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</row>
    <row r="851" spans="2:21" x14ac:dyDescent="0.3">
      <c r="B851" s="48">
        <v>151</v>
      </c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</row>
    <row r="852" spans="2:21" x14ac:dyDescent="0.3">
      <c r="B852" s="48">
        <v>152</v>
      </c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</row>
    <row r="853" spans="2:21" x14ac:dyDescent="0.3">
      <c r="B853" s="48">
        <v>153</v>
      </c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</row>
    <row r="854" spans="2:21" x14ac:dyDescent="0.3">
      <c r="B854" s="48">
        <v>154</v>
      </c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</row>
    <row r="855" spans="2:21" x14ac:dyDescent="0.3">
      <c r="B855" s="48">
        <v>155</v>
      </c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</row>
    <row r="856" spans="2:21" x14ac:dyDescent="0.3">
      <c r="B856" s="48">
        <v>156</v>
      </c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</row>
    <row r="857" spans="2:21" x14ac:dyDescent="0.3">
      <c r="B857" s="48">
        <v>157</v>
      </c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</row>
    <row r="858" spans="2:21" x14ac:dyDescent="0.3">
      <c r="B858" s="48">
        <v>158</v>
      </c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</row>
    <row r="859" spans="2:21" x14ac:dyDescent="0.3">
      <c r="B859" s="48">
        <v>159</v>
      </c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</row>
    <row r="860" spans="2:21" x14ac:dyDescent="0.3">
      <c r="B860" s="48">
        <v>160</v>
      </c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</row>
    <row r="861" spans="2:21" x14ac:dyDescent="0.3">
      <c r="B861" s="48">
        <v>161</v>
      </c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</row>
    <row r="862" spans="2:21" x14ac:dyDescent="0.3">
      <c r="B862" s="48">
        <v>162</v>
      </c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</row>
    <row r="864" spans="2:21" x14ac:dyDescent="0.3"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</row>
  </sheetData>
  <mergeCells count="19">
    <mergeCell ref="B555:D555"/>
    <mergeCell ref="B556:D556"/>
    <mergeCell ref="B602:D602"/>
    <mergeCell ref="B603:E603"/>
    <mergeCell ref="B279:E279"/>
    <mergeCell ref="B563:D563"/>
    <mergeCell ref="B572:D572"/>
    <mergeCell ref="B582:D582"/>
    <mergeCell ref="B586:D586"/>
    <mergeCell ref="B590:D590"/>
    <mergeCell ref="B552:D552"/>
    <mergeCell ref="B553:D553"/>
    <mergeCell ref="B554:D554"/>
    <mergeCell ref="D9:E9"/>
    <mergeCell ref="B1:E1"/>
    <mergeCell ref="B7:E7"/>
    <mergeCell ref="B20:E20"/>
    <mergeCell ref="E44:G44"/>
    <mergeCell ref="D8:E8"/>
  </mergeCells>
  <conditionalFormatting sqref="F146">
    <cfRule type="containsText" dxfId="8" priority="9" operator="containsText" text="Tidak memenuhi">
      <formula>NOT(ISERROR(SEARCH("Tidak memenuhi",F146)))</formula>
    </cfRule>
  </conditionalFormatting>
  <conditionalFormatting sqref="F200">
    <cfRule type="containsText" dxfId="7" priority="8" operator="containsText" text="Tidak memenuhi">
      <formula>NOT(ISERROR(SEARCH("Tidak memenuhi",F200)))</formula>
    </cfRule>
  </conditionalFormatting>
  <conditionalFormatting sqref="F132">
    <cfRule type="containsText" dxfId="6" priority="7" operator="containsText" text="Tidak memenuhi">
      <formula>NOT(ISERROR(SEARCH("Tidak memenuhi",F132)))</formula>
    </cfRule>
  </conditionalFormatting>
  <conditionalFormatting sqref="F99">
    <cfRule type="containsText" dxfId="5" priority="6" operator="containsText" text="Tidak memenuhi">
      <formula>NOT(ISERROR(SEARCH("Tidak memenuhi",F99)))</formula>
    </cfRule>
  </conditionalFormatting>
  <conditionalFormatting sqref="F213">
    <cfRule type="containsText" dxfId="4" priority="5" operator="containsText" text="Tidak memenuhi">
      <formula>NOT(ISERROR(SEARCH("Tidak memenuhi",F213)))</formula>
    </cfRule>
  </conditionalFormatting>
  <conditionalFormatting sqref="F304">
    <cfRule type="containsText" dxfId="3" priority="4" operator="containsText" text="Tidak memenuhi">
      <formula>NOT(ISERROR(SEARCH("Tidak memenuhi",F304)))</formula>
    </cfRule>
  </conditionalFormatting>
  <conditionalFormatting sqref="E679">
    <cfRule type="containsText" dxfId="2" priority="3" operator="containsText" text="Tidak memenuhi">
      <formula>NOT(ISERROR(SEARCH("Tidak memenuhi",E679)))</formula>
    </cfRule>
  </conditionalFormatting>
  <conditionalFormatting sqref="E688">
    <cfRule type="containsText" dxfId="1" priority="2" operator="containsText" text="Tidak memenuhi">
      <formula>NOT(ISERROR(SEARCH("Tidak memenuhi",E688)))</formula>
    </cfRule>
  </conditionalFormatting>
  <conditionalFormatting sqref="E697">
    <cfRule type="containsText" dxfId="0" priority="1" operator="containsText" text="Tidak memenuhi">
      <formula>NOT(ISERROR(SEARCH("Tidak memenuhi",E697)))</formula>
    </cfRule>
  </conditionalFormatting>
  <pageMargins left="0.7" right="0.7" top="0.75" bottom="0.75" header="0.3" footer="0.3"/>
  <pageSetup paperSize="66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AEDA-4275-494E-9F03-4B488333EA58}">
  <dimension ref="B3:G32"/>
  <sheetViews>
    <sheetView workbookViewId="0">
      <selection activeCell="B19" sqref="B19"/>
    </sheetView>
  </sheetViews>
  <sheetFormatPr defaultRowHeight="14.4" x14ac:dyDescent="0.3"/>
  <cols>
    <col min="1" max="1" width="8.88671875" style="50"/>
    <col min="2" max="2" width="15.5546875" style="50" bestFit="1" customWidth="1"/>
    <col min="3" max="3" width="21.5546875" style="50" customWidth="1"/>
    <col min="4" max="4" width="17" style="50" customWidth="1"/>
    <col min="5" max="16384" width="8.88671875" style="50"/>
  </cols>
  <sheetData>
    <row r="3" spans="2:7" x14ac:dyDescent="0.3">
      <c r="B3" s="88" t="s">
        <v>359</v>
      </c>
      <c r="C3" s="88"/>
      <c r="D3" s="88"/>
      <c r="E3" s="88"/>
      <c r="F3" s="45"/>
      <c r="G3" s="43"/>
    </row>
    <row r="4" spans="2:7" x14ac:dyDescent="0.3">
      <c r="B4" s="42" t="s">
        <v>246</v>
      </c>
      <c r="C4" s="42"/>
      <c r="D4" s="89" t="s">
        <v>247</v>
      </c>
      <c r="E4" s="90"/>
      <c r="F4" s="43"/>
      <c r="G4" s="43"/>
    </row>
    <row r="5" spans="2:7" x14ac:dyDescent="0.3">
      <c r="B5" s="42" t="s">
        <v>2</v>
      </c>
      <c r="C5" s="42"/>
      <c r="D5" s="91" t="s">
        <v>248</v>
      </c>
      <c r="E5" s="92"/>
      <c r="F5" s="41"/>
      <c r="G5" s="43"/>
    </row>
    <row r="6" spans="2:7" x14ac:dyDescent="0.3">
      <c r="B6" s="42"/>
      <c r="C6" s="42"/>
      <c r="D6" s="93"/>
      <c r="E6" s="94"/>
      <c r="F6" s="94"/>
      <c r="G6" s="94"/>
    </row>
    <row r="7" spans="2:7" x14ac:dyDescent="0.3">
      <c r="B7" s="42"/>
      <c r="C7" s="42"/>
      <c r="D7" s="44"/>
      <c r="E7" s="44"/>
      <c r="F7" s="41"/>
      <c r="G7" s="43"/>
    </row>
    <row r="8" spans="2:7" x14ac:dyDescent="0.3">
      <c r="B8" s="42" t="s">
        <v>249</v>
      </c>
      <c r="C8" s="42"/>
      <c r="D8" s="44">
        <v>145.53</v>
      </c>
      <c r="E8" s="44" t="s">
        <v>8</v>
      </c>
      <c r="F8" s="41"/>
      <c r="G8" s="43"/>
    </row>
    <row r="9" spans="2:7" x14ac:dyDescent="0.3">
      <c r="B9" s="42" t="s">
        <v>3</v>
      </c>
      <c r="C9" s="42"/>
      <c r="D9" s="42">
        <v>137</v>
      </c>
      <c r="E9" s="44" t="s">
        <v>8</v>
      </c>
      <c r="F9" s="43"/>
      <c r="G9" s="43"/>
    </row>
    <row r="10" spans="2:7" x14ac:dyDescent="0.3">
      <c r="B10" s="42" t="s">
        <v>4</v>
      </c>
      <c r="C10" s="42"/>
      <c r="D10" s="42">
        <v>23.7</v>
      </c>
      <c r="E10" s="44" t="s">
        <v>8</v>
      </c>
      <c r="F10" s="43"/>
      <c r="G10" s="43"/>
    </row>
    <row r="11" spans="2:7" x14ac:dyDescent="0.3">
      <c r="B11" s="42" t="s">
        <v>5</v>
      </c>
      <c r="C11" s="42"/>
      <c r="D11" s="42">
        <v>13.34</v>
      </c>
      <c r="E11" s="44" t="s">
        <v>8</v>
      </c>
      <c r="F11" s="43"/>
      <c r="G11" s="43"/>
    </row>
    <row r="12" spans="2:7" x14ac:dyDescent="0.3">
      <c r="B12" s="42" t="s">
        <v>6</v>
      </c>
      <c r="C12" s="42"/>
      <c r="D12" s="42">
        <v>9.9469999999999992</v>
      </c>
      <c r="E12" s="44" t="s">
        <v>8</v>
      </c>
      <c r="F12" s="43"/>
      <c r="G12" s="43"/>
    </row>
    <row r="13" spans="2:7" x14ac:dyDescent="0.3">
      <c r="B13" s="42" t="s">
        <v>7</v>
      </c>
      <c r="C13" s="42"/>
      <c r="D13" s="42">
        <v>16.3</v>
      </c>
      <c r="E13" s="42" t="s">
        <v>9</v>
      </c>
      <c r="F13" s="43"/>
      <c r="G13" s="43"/>
    </row>
    <row r="20" spans="2:6" s="53" customFormat="1" ht="72" x14ac:dyDescent="0.3">
      <c r="B20" s="54" t="s">
        <v>345</v>
      </c>
      <c r="C20" s="54" t="s">
        <v>349</v>
      </c>
      <c r="D20" s="53" t="s">
        <v>350</v>
      </c>
      <c r="E20" s="53" t="s">
        <v>351</v>
      </c>
      <c r="F20" s="53" t="s">
        <v>352</v>
      </c>
    </row>
    <row r="21" spans="2:6" s="53" customFormat="1" x14ac:dyDescent="0.3">
      <c r="B21" s="55" t="s">
        <v>201</v>
      </c>
      <c r="C21" s="55">
        <v>1000</v>
      </c>
    </row>
    <row r="22" spans="2:6" x14ac:dyDescent="0.3">
      <c r="B22" s="51" t="s">
        <v>8</v>
      </c>
      <c r="C22" s="51">
        <v>1</v>
      </c>
    </row>
    <row r="23" spans="2:6" x14ac:dyDescent="0.3">
      <c r="B23" s="51" t="s">
        <v>346</v>
      </c>
      <c r="C23" s="51">
        <v>3.2808398950000002</v>
      </c>
    </row>
    <row r="24" spans="2:6" x14ac:dyDescent="0.3">
      <c r="B24" s="51" t="s">
        <v>347</v>
      </c>
      <c r="C24" s="51">
        <v>39.3700787402</v>
      </c>
    </row>
    <row r="25" spans="2:6" x14ac:dyDescent="0.3">
      <c r="B25" s="52" t="s">
        <v>348</v>
      </c>
      <c r="C25" s="52">
        <v>1.0936132983</v>
      </c>
    </row>
    <row r="27" spans="2:6" x14ac:dyDescent="0.3">
      <c r="B27" s="50" t="s">
        <v>353</v>
      </c>
    </row>
    <row r="28" spans="2:6" x14ac:dyDescent="0.3">
      <c r="B28" s="50" t="s">
        <v>354</v>
      </c>
    </row>
    <row r="29" spans="2:6" x14ac:dyDescent="0.3">
      <c r="B29" s="50" t="s">
        <v>355</v>
      </c>
    </row>
    <row r="30" spans="2:6" x14ac:dyDescent="0.3">
      <c r="B30" s="50" t="s">
        <v>358</v>
      </c>
    </row>
    <row r="31" spans="2:6" x14ac:dyDescent="0.3">
      <c r="B31" s="50" t="s">
        <v>356</v>
      </c>
    </row>
    <row r="32" spans="2:6" x14ac:dyDescent="0.3">
      <c r="B32" s="50" t="s">
        <v>357</v>
      </c>
    </row>
  </sheetData>
  <mergeCells count="4">
    <mergeCell ref="B3:E3"/>
    <mergeCell ref="D4:E4"/>
    <mergeCell ref="D5:E5"/>
    <mergeCell ref="D6:G6"/>
  </mergeCells>
  <dataValidations count="1">
    <dataValidation type="list" allowBlank="1" showInputMessage="1" showErrorMessage="1" sqref="E8:E12" xr:uid="{5FC4DBAA-8313-4E01-A5D1-E09846792B96}">
      <formula1>SatuanPanjang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Lines Plan</vt:lpstr>
      <vt:lpstr>Hidden Backend (Input)</vt:lpstr>
      <vt:lpstr>B_m</vt:lpstr>
      <vt:lpstr>H_m</vt:lpstr>
      <vt:lpstr>LOA_m</vt:lpstr>
      <vt:lpstr>LPP_m</vt:lpstr>
      <vt:lpstr>m_to_ft</vt:lpstr>
      <vt:lpstr>m_to_in</vt:lpstr>
      <vt:lpstr>m_to_m</vt:lpstr>
      <vt:lpstr>m_to_yard</vt:lpstr>
      <vt:lpstr>Nominal_satuan_panjang_dari_meter</vt:lpstr>
      <vt:lpstr>Satuan_panjang_data_kapal</vt:lpstr>
      <vt:lpstr>SatuanPanjang</vt:lpstr>
      <vt:lpstr>T_m</vt:lpstr>
      <vt:lpstr>Vs_m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pc</dc:creator>
  <cp:lastModifiedBy>halli bagaffad</cp:lastModifiedBy>
  <cp:lastPrinted>2023-03-28T09:09:39Z</cp:lastPrinted>
  <dcterms:created xsi:type="dcterms:W3CDTF">2020-02-25T02:21:44Z</dcterms:created>
  <dcterms:modified xsi:type="dcterms:W3CDTF">2024-08-03T02:47:54Z</dcterms:modified>
</cp:coreProperties>
</file>