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15 Gabillah\upload-github\practice-ship-20k-dwt-137m-lpp-oil-product-tanker-main\"/>
    </mc:Choice>
  </mc:AlternateContent>
  <xr:revisionPtr revIDLastSave="0" documentId="11_3458333B1D62A439488C2772FCD40D77A209146C" xr6:coauthVersionLast="47" xr6:coauthVersionMax="47" xr10:uidLastSave="{00000000-0000-0000-0000-000000000000}"/>
  <bookViews>
    <workbookView xWindow="-108" yWindow="-108" windowWidth="23256" windowHeight="12456" tabRatio="500" activeTab="1" xr2:uid="{00000000-000D-0000-FFFF-FFFF00000000}"/>
  </bookViews>
  <sheets>
    <sheet name="JARAK" sheetId="1" r:id="rId1"/>
    <sheet name="HARVARLD" sheetId="2" r:id="rId2"/>
    <sheet name="HOLTROP" sheetId="3" r:id="rId3"/>
    <sheet name="EN &amp; GEAR" sheetId="4" r:id="rId4"/>
    <sheet name="PROPELL (0.969)" sheetId="5" r:id="rId5"/>
    <sheet name="EN &amp; GEAR (2)" sheetId="6" r:id="rId6"/>
    <sheet name="EPM" sheetId="7" r:id="rId7"/>
    <sheet name="Poros Prop" sheetId="8" r:id="rId8"/>
    <sheet name="Propeller Gambar" sheetId="9" r:id="rId9"/>
    <sheet name="VRM" sheetId="10" r:id="rId10"/>
    <sheet name="SIMPSON" sheetId="11" r:id="rId11"/>
    <sheet name="BALLAST" sheetId="12" r:id="rId12"/>
    <sheet name="ABK" sheetId="13" r:id="rId13"/>
    <sheet name="PIPA" sheetId="14" r:id="rId14"/>
    <sheet name="OILY BILGE" sheetId="15" r:id="rId15"/>
    <sheet name="HAHAHU" sheetId="16" r:id="rId16"/>
    <sheet name="STORAGE" sheetId="17" r:id="rId17"/>
    <sheet name="Sheet2" sheetId="18" r:id="rId18"/>
    <sheet name="JEJANGKARAN" sheetId="19" r:id="rId19"/>
  </sheets>
  <externalReferences>
    <externalReference r:id="rId20"/>
    <externalReference r:id="rId21"/>
    <externalReference r:id="rId22"/>
  </externalReferences>
  <definedNames>
    <definedName name="_xlnm.Print_Area" localSheetId="1">HARVARLD!$A$1:$P$252</definedName>
  </definedNames>
  <calcPr calcId="0"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264" i="19" l="1"/>
  <c r="C262" i="19"/>
  <c r="B247" i="19"/>
  <c r="B179" i="19"/>
  <c r="B162" i="19"/>
  <c r="C158" i="19"/>
  <c r="B133" i="19"/>
  <c r="C120" i="19"/>
  <c r="C119" i="19"/>
  <c r="C118" i="19"/>
  <c r="B103" i="19"/>
  <c r="F88" i="19"/>
  <c r="C77" i="19"/>
  <c r="D73" i="19"/>
  <c r="F53" i="19"/>
  <c r="D14" i="19"/>
  <c r="D13" i="19"/>
  <c r="D12" i="19"/>
  <c r="D10" i="19"/>
  <c r="D9" i="19"/>
  <c r="D8" i="19"/>
  <c r="D7" i="19"/>
  <c r="B123" i="18"/>
  <c r="B122" i="18"/>
  <c r="E118" i="18"/>
  <c r="B118" i="18"/>
  <c r="F96" i="18"/>
  <c r="F95" i="18"/>
  <c r="F94" i="18"/>
  <c r="F93" i="18"/>
  <c r="F92" i="18"/>
  <c r="F91" i="18"/>
  <c r="B84" i="18"/>
  <c r="E72" i="18"/>
  <c r="E71" i="18"/>
  <c r="E70" i="18"/>
  <c r="E69" i="18"/>
  <c r="E68" i="18"/>
  <c r="E67" i="18"/>
  <c r="J60" i="18"/>
  <c r="F60" i="18"/>
  <c r="J59" i="18"/>
  <c r="F59" i="18"/>
  <c r="J58" i="18"/>
  <c r="F58" i="18"/>
  <c r="J57" i="18"/>
  <c r="F57" i="18"/>
  <c r="J56" i="18"/>
  <c r="F56" i="18"/>
  <c r="J55" i="18"/>
  <c r="F55" i="18"/>
  <c r="E48" i="18"/>
  <c r="E47" i="18"/>
  <c r="E46" i="18"/>
  <c r="E45" i="18"/>
  <c r="E44" i="18"/>
  <c r="E43" i="18"/>
  <c r="M20" i="18"/>
  <c r="N12" i="18"/>
  <c r="M12" i="18"/>
  <c r="L12" i="18"/>
  <c r="J12" i="18"/>
  <c r="E12" i="18"/>
  <c r="N11" i="18"/>
  <c r="M11" i="18"/>
  <c r="L11" i="18"/>
  <c r="J11" i="18"/>
  <c r="E11" i="18"/>
  <c r="N10" i="18"/>
  <c r="M10" i="18"/>
  <c r="L10" i="18"/>
  <c r="J10" i="18"/>
  <c r="E10" i="18"/>
  <c r="N9" i="18"/>
  <c r="M9" i="18"/>
  <c r="L9" i="18"/>
  <c r="J9" i="18"/>
  <c r="E9" i="18"/>
  <c r="N8" i="18"/>
  <c r="M8" i="18"/>
  <c r="L8" i="18"/>
  <c r="J8" i="18"/>
  <c r="E8" i="18"/>
  <c r="N7" i="18"/>
  <c r="M7" i="18"/>
  <c r="L7" i="18"/>
  <c r="J7" i="18"/>
  <c r="E7" i="18"/>
  <c r="L33" i="17"/>
  <c r="I27" i="17"/>
  <c r="I25" i="17"/>
  <c r="B24" i="17"/>
  <c r="M11" i="17"/>
  <c r="M10" i="17"/>
  <c r="M9" i="17"/>
  <c r="M8" i="17"/>
  <c r="M5" i="17"/>
  <c r="I456" i="16"/>
  <c r="F411" i="16"/>
  <c r="D406" i="16"/>
  <c r="D405" i="16"/>
  <c r="D404" i="16"/>
  <c r="D403" i="16"/>
  <c r="D402" i="16"/>
  <c r="D401" i="16"/>
  <c r="D400" i="16"/>
  <c r="D399" i="16"/>
  <c r="F398" i="16"/>
  <c r="D398" i="16"/>
  <c r="D397" i="16"/>
  <c r="D396" i="16"/>
  <c r="D395" i="16"/>
  <c r="D394" i="16"/>
  <c r="D393" i="16"/>
  <c r="D392" i="16"/>
  <c r="D391" i="16"/>
  <c r="D390" i="16"/>
  <c r="D389" i="16"/>
  <c r="D388" i="16"/>
  <c r="D387" i="16"/>
  <c r="D386" i="16"/>
  <c r="D385" i="16"/>
  <c r="D384" i="16"/>
  <c r="D383" i="16"/>
  <c r="D382" i="16"/>
  <c r="D381" i="16"/>
  <c r="D380" i="16"/>
  <c r="D379" i="16"/>
  <c r="D378" i="16"/>
  <c r="D377" i="16"/>
  <c r="D376" i="16"/>
  <c r="D375" i="16"/>
  <c r="D374" i="16"/>
  <c r="D373" i="16"/>
  <c r="D372" i="16"/>
  <c r="D371" i="16"/>
  <c r="D370" i="16"/>
  <c r="D369" i="16"/>
  <c r="D368" i="16"/>
  <c r="D367" i="16"/>
  <c r="D366" i="16"/>
  <c r="D365" i="16"/>
  <c r="D364" i="16"/>
  <c r="D363" i="16"/>
  <c r="D362" i="16"/>
  <c r="D361" i="16"/>
  <c r="D360" i="16"/>
  <c r="D359" i="16"/>
  <c r="D358" i="16"/>
  <c r="D357" i="16"/>
  <c r="D356" i="16"/>
  <c r="D355" i="16"/>
  <c r="I289" i="16"/>
  <c r="B214" i="16"/>
  <c r="B213" i="16"/>
  <c r="B212" i="16"/>
  <c r="B211" i="16"/>
  <c r="B210" i="16"/>
  <c r="B209" i="16"/>
  <c r="B208" i="16"/>
  <c r="B207" i="16"/>
  <c r="B206" i="16"/>
  <c r="B205" i="16"/>
  <c r="B204" i="16"/>
  <c r="B203" i="16"/>
  <c r="B177" i="16"/>
  <c r="B176" i="16"/>
  <c r="B175" i="16"/>
  <c r="B174" i="16"/>
  <c r="B173" i="16"/>
  <c r="B172" i="16"/>
  <c r="B171" i="16"/>
  <c r="B170" i="16"/>
  <c r="B169" i="16"/>
  <c r="B168" i="16"/>
  <c r="B167" i="16"/>
  <c r="B166" i="16"/>
  <c r="H147" i="16"/>
  <c r="F144" i="16"/>
  <c r="H143" i="16"/>
  <c r="G142" i="16"/>
  <c r="M141" i="16"/>
  <c r="G141" i="16"/>
  <c r="G140" i="16"/>
  <c r="G139" i="16"/>
  <c r="G138" i="16"/>
  <c r="G137" i="16"/>
  <c r="G136" i="16"/>
  <c r="G135" i="16"/>
  <c r="G134" i="16"/>
  <c r="G133" i="16"/>
  <c r="G132" i="16"/>
  <c r="G131" i="16"/>
  <c r="F126" i="16"/>
  <c r="F125" i="16"/>
  <c r="F124" i="16"/>
  <c r="F123" i="16"/>
  <c r="F122" i="16"/>
  <c r="F106" i="16"/>
  <c r="F105" i="16"/>
  <c r="F104" i="16"/>
  <c r="F103" i="16"/>
  <c r="F102" i="16"/>
  <c r="F101" i="16"/>
  <c r="F100" i="16"/>
  <c r="F99" i="16"/>
  <c r="F98" i="16"/>
  <c r="F97" i="16"/>
  <c r="F96" i="16"/>
  <c r="F95" i="16"/>
  <c r="B89" i="16"/>
  <c r="C71" i="16"/>
  <c r="B71" i="16"/>
  <c r="C70" i="16"/>
  <c r="B70" i="16"/>
  <c r="C69" i="16"/>
  <c r="B69" i="16"/>
  <c r="C68" i="16"/>
  <c r="B68" i="16"/>
  <c r="C67" i="16"/>
  <c r="B67" i="16"/>
  <c r="C66" i="16"/>
  <c r="B66" i="16"/>
  <c r="C65" i="16"/>
  <c r="B65" i="16"/>
  <c r="C64" i="16"/>
  <c r="B64" i="16"/>
  <c r="C63" i="16"/>
  <c r="B63" i="16"/>
  <c r="C62" i="16"/>
  <c r="B62" i="16"/>
  <c r="C61" i="16"/>
  <c r="B61" i="16"/>
  <c r="C60" i="16"/>
  <c r="B60" i="16"/>
  <c r="H53" i="16"/>
  <c r="D53" i="16"/>
  <c r="H52" i="16"/>
  <c r="D52" i="16"/>
  <c r="H51" i="16"/>
  <c r="D51" i="16"/>
  <c r="H50" i="16"/>
  <c r="D50" i="16"/>
  <c r="H49" i="16"/>
  <c r="D49" i="16"/>
  <c r="H48" i="16"/>
  <c r="D48" i="16"/>
  <c r="H47" i="16"/>
  <c r="D47" i="16"/>
  <c r="H46" i="16"/>
  <c r="D46" i="16"/>
  <c r="H45" i="16"/>
  <c r="D45" i="16"/>
  <c r="H44" i="16"/>
  <c r="D44" i="16"/>
  <c r="H43" i="16"/>
  <c r="D43" i="16"/>
  <c r="H42" i="16"/>
  <c r="D42" i="16"/>
  <c r="J36" i="16"/>
  <c r="F35" i="16"/>
  <c r="F34" i="16"/>
  <c r="F33" i="16"/>
  <c r="F32" i="16"/>
  <c r="F31" i="16"/>
  <c r="F30" i="16"/>
  <c r="F29" i="16"/>
  <c r="F28" i="16"/>
  <c r="F27" i="16"/>
  <c r="F26" i="16"/>
  <c r="F25" i="16"/>
  <c r="F24" i="16"/>
  <c r="M18" i="16"/>
  <c r="L18" i="16"/>
  <c r="J18" i="16"/>
  <c r="E18" i="16"/>
  <c r="L17" i="16"/>
  <c r="J17" i="16"/>
  <c r="E17" i="16"/>
  <c r="M16" i="16"/>
  <c r="L16" i="16"/>
  <c r="J16" i="16"/>
  <c r="E16" i="16"/>
  <c r="M15" i="16"/>
  <c r="L15" i="16"/>
  <c r="J15" i="16"/>
  <c r="E15" i="16"/>
  <c r="L14" i="16"/>
  <c r="J14" i="16"/>
  <c r="E14" i="16"/>
  <c r="M13" i="16"/>
  <c r="L13" i="16"/>
  <c r="J13" i="16"/>
  <c r="E13" i="16"/>
  <c r="M12" i="16"/>
  <c r="J12" i="16"/>
  <c r="E12" i="16"/>
  <c r="M11" i="16"/>
  <c r="L11" i="16"/>
  <c r="J11" i="16"/>
  <c r="E11" i="16"/>
  <c r="M10" i="16"/>
  <c r="J10" i="16"/>
  <c r="E10" i="16"/>
  <c r="M9" i="16"/>
  <c r="L9" i="16"/>
  <c r="J9" i="16"/>
  <c r="E9" i="16"/>
  <c r="M8" i="16"/>
  <c r="J8" i="16"/>
  <c r="E8" i="16"/>
  <c r="N7" i="16"/>
  <c r="M7" i="16"/>
  <c r="L7" i="16"/>
  <c r="J7" i="16"/>
  <c r="E7" i="16"/>
  <c r="H170" i="15"/>
  <c r="H169" i="15"/>
  <c r="H168" i="15"/>
  <c r="H167" i="15"/>
  <c r="H166" i="15"/>
  <c r="H165" i="15"/>
  <c r="F152" i="15"/>
  <c r="F149" i="15"/>
  <c r="H138" i="15"/>
  <c r="H137" i="15"/>
  <c r="H136" i="15"/>
  <c r="H135" i="15"/>
  <c r="H134" i="15"/>
  <c r="F123" i="15"/>
  <c r="F120" i="15"/>
  <c r="F103" i="15"/>
  <c r="E93" i="15"/>
  <c r="D78" i="15"/>
  <c r="D73" i="15"/>
  <c r="D69" i="15"/>
  <c r="E29" i="15"/>
  <c r="E15" i="15"/>
  <c r="E14" i="15"/>
  <c r="E13" i="15"/>
  <c r="E11" i="15"/>
  <c r="E10" i="15"/>
  <c r="E9" i="15"/>
  <c r="E8" i="15"/>
  <c r="E5" i="15"/>
  <c r="I137" i="14"/>
  <c r="I136" i="14"/>
  <c r="I105" i="14"/>
  <c r="I104" i="14"/>
  <c r="I103" i="14"/>
  <c r="F78" i="14"/>
  <c r="F58" i="14"/>
  <c r="E15" i="14"/>
  <c r="E14" i="14"/>
  <c r="E13" i="14"/>
  <c r="E11" i="14"/>
  <c r="E10" i="14"/>
  <c r="E9" i="14"/>
  <c r="E8" i="14"/>
  <c r="E5" i="14"/>
  <c r="F41" i="13"/>
  <c r="I141" i="12"/>
  <c r="I140" i="12"/>
  <c r="I139" i="12"/>
  <c r="I138" i="12"/>
  <c r="I112" i="12"/>
  <c r="I111" i="12"/>
  <c r="I110" i="12"/>
  <c r="I109" i="12"/>
  <c r="I108" i="12"/>
  <c r="H36" i="12"/>
  <c r="E19" i="12"/>
  <c r="E18" i="12"/>
  <c r="E17" i="12"/>
  <c r="E15" i="12"/>
  <c r="E14" i="12"/>
  <c r="E13" i="12"/>
  <c r="E12" i="12"/>
  <c r="E9" i="12"/>
  <c r="E407" i="11"/>
  <c r="F401" i="11"/>
  <c r="F400" i="11"/>
  <c r="F399" i="11"/>
  <c r="F398" i="11"/>
  <c r="F397" i="11"/>
  <c r="C397" i="11"/>
  <c r="D390" i="11"/>
  <c r="E380" i="11"/>
  <c r="F374" i="11"/>
  <c r="F373" i="11"/>
  <c r="F372" i="11"/>
  <c r="F371" i="11"/>
  <c r="F370" i="11"/>
  <c r="C370" i="11"/>
  <c r="D363" i="11"/>
  <c r="E353" i="11"/>
  <c r="F347" i="11"/>
  <c r="F346" i="11"/>
  <c r="F345" i="11"/>
  <c r="F344" i="11"/>
  <c r="F343" i="11"/>
  <c r="C343" i="11"/>
  <c r="D336" i="11"/>
  <c r="E326" i="11"/>
  <c r="F320" i="11"/>
  <c r="F319" i="11"/>
  <c r="F318" i="11"/>
  <c r="F317" i="11"/>
  <c r="F316" i="11"/>
  <c r="C316" i="11"/>
  <c r="D314" i="11"/>
  <c r="D309" i="11"/>
  <c r="E299" i="11"/>
  <c r="F293" i="11"/>
  <c r="F292" i="11"/>
  <c r="F291" i="11"/>
  <c r="F290" i="11"/>
  <c r="F289" i="11"/>
  <c r="C289" i="11"/>
  <c r="D287" i="11"/>
  <c r="D283" i="11"/>
  <c r="D282" i="11"/>
  <c r="E272" i="11"/>
  <c r="F268" i="11"/>
  <c r="F267" i="11"/>
  <c r="F266" i="11"/>
  <c r="F265" i="11"/>
  <c r="F264" i="11"/>
  <c r="E263" i="11"/>
  <c r="F262" i="11"/>
  <c r="C262" i="11"/>
  <c r="D255" i="11"/>
  <c r="E245" i="11"/>
  <c r="F241" i="11"/>
  <c r="F240" i="11"/>
  <c r="F239" i="11"/>
  <c r="F238" i="11"/>
  <c r="F237" i="11"/>
  <c r="F236" i="11"/>
  <c r="F235" i="11"/>
  <c r="C235" i="11"/>
  <c r="D233" i="11"/>
  <c r="D229" i="11"/>
  <c r="E219" i="11"/>
  <c r="F215" i="11"/>
  <c r="F214" i="11"/>
  <c r="F213" i="11"/>
  <c r="F212" i="11"/>
  <c r="F211" i="11"/>
  <c r="F210" i="11"/>
  <c r="F209" i="11"/>
  <c r="D204" i="11"/>
  <c r="E192" i="11"/>
  <c r="F188" i="11"/>
  <c r="F187" i="11"/>
  <c r="F186" i="11"/>
  <c r="F185" i="11"/>
  <c r="F184" i="11"/>
  <c r="F183" i="11"/>
  <c r="F182" i="11"/>
  <c r="D177" i="11"/>
  <c r="E167" i="11"/>
  <c r="F163" i="11"/>
  <c r="F162" i="11"/>
  <c r="F161" i="11"/>
  <c r="F160" i="11"/>
  <c r="F159" i="11"/>
  <c r="F158" i="11"/>
  <c r="F157" i="11"/>
  <c r="D152" i="11"/>
  <c r="E142" i="11"/>
  <c r="F138" i="11"/>
  <c r="F137" i="11"/>
  <c r="F136" i="11"/>
  <c r="F135" i="11"/>
  <c r="F134" i="11"/>
  <c r="F133" i="11"/>
  <c r="F132" i="11"/>
  <c r="D127" i="11"/>
  <c r="E117" i="11"/>
  <c r="F113" i="11"/>
  <c r="F112" i="11"/>
  <c r="F111" i="11"/>
  <c r="F110" i="11"/>
  <c r="F109" i="11"/>
  <c r="F108" i="11"/>
  <c r="F107" i="11"/>
  <c r="D102" i="11"/>
  <c r="E92" i="11"/>
  <c r="F88" i="11"/>
  <c r="F87" i="11"/>
  <c r="F86" i="11"/>
  <c r="F85" i="11"/>
  <c r="F84" i="11"/>
  <c r="F83" i="11"/>
  <c r="F82" i="11"/>
  <c r="D77" i="11"/>
  <c r="E67" i="11"/>
  <c r="F63" i="11"/>
  <c r="F62" i="11"/>
  <c r="F61" i="11"/>
  <c r="F60" i="11"/>
  <c r="F59" i="11"/>
  <c r="F58" i="11"/>
  <c r="F57" i="11"/>
  <c r="C57" i="11"/>
  <c r="D52" i="11"/>
  <c r="E42" i="11"/>
  <c r="F38" i="11"/>
  <c r="F37" i="11"/>
  <c r="F36" i="11"/>
  <c r="F35" i="11"/>
  <c r="F34" i="11"/>
  <c r="F33" i="11"/>
  <c r="F32" i="11"/>
  <c r="C32" i="11"/>
  <c r="D27" i="11"/>
  <c r="E17" i="11"/>
  <c r="G16" i="11"/>
  <c r="F13" i="11"/>
  <c r="F12" i="11"/>
  <c r="F11" i="11"/>
  <c r="F10" i="11"/>
  <c r="F9" i="11"/>
  <c r="F8" i="11"/>
  <c r="F7" i="11"/>
  <c r="F6" i="11"/>
  <c r="F150" i="10"/>
  <c r="E129" i="10"/>
  <c r="E125" i="10"/>
  <c r="U50" i="10"/>
  <c r="D23" i="10"/>
  <c r="E16" i="10"/>
  <c r="E14" i="10"/>
  <c r="E13" i="10"/>
  <c r="E12" i="10"/>
  <c r="E9" i="10"/>
  <c r="E8" i="10"/>
  <c r="E7" i="10"/>
  <c r="E6" i="10"/>
  <c r="Y151" i="9"/>
  <c r="F145" i="9"/>
  <c r="F144" i="9"/>
  <c r="F143" i="9"/>
  <c r="F142" i="9"/>
  <c r="F141" i="9"/>
  <c r="F140" i="9"/>
  <c r="F139" i="9"/>
  <c r="F138" i="9"/>
  <c r="F137" i="9"/>
  <c r="K127" i="9"/>
  <c r="B117" i="9"/>
  <c r="I56" i="9"/>
  <c r="H56" i="9"/>
  <c r="F56" i="9"/>
  <c r="D56" i="9"/>
  <c r="B56" i="9"/>
  <c r="I55" i="9"/>
  <c r="H55" i="9"/>
  <c r="F55" i="9"/>
  <c r="D55" i="9"/>
  <c r="B55" i="9"/>
  <c r="I54" i="9"/>
  <c r="H54" i="9"/>
  <c r="F54" i="9"/>
  <c r="D54" i="9"/>
  <c r="B54" i="9"/>
  <c r="I53" i="9"/>
  <c r="H53" i="9"/>
  <c r="F53" i="9"/>
  <c r="D53" i="9"/>
  <c r="B53" i="9"/>
  <c r="I52" i="9"/>
  <c r="H52" i="9"/>
  <c r="F52" i="9"/>
  <c r="D52" i="9"/>
  <c r="B52" i="9"/>
  <c r="I51" i="9"/>
  <c r="H51" i="9"/>
  <c r="F51" i="9"/>
  <c r="D51" i="9"/>
  <c r="B51" i="9"/>
  <c r="I50" i="9"/>
  <c r="H50" i="9"/>
  <c r="F50" i="9"/>
  <c r="D50" i="9"/>
  <c r="B50" i="9"/>
  <c r="I49" i="9"/>
  <c r="H49" i="9"/>
  <c r="F49" i="9"/>
  <c r="D49" i="9"/>
  <c r="B49" i="9"/>
  <c r="I48" i="9"/>
  <c r="H48" i="9"/>
  <c r="F48" i="9"/>
  <c r="D48" i="9"/>
  <c r="B48" i="9"/>
  <c r="D625" i="8"/>
  <c r="C609" i="8"/>
  <c r="D523" i="8"/>
  <c r="C445" i="8"/>
  <c r="E418" i="8"/>
  <c r="K169" i="8"/>
  <c r="C88" i="8"/>
  <c r="D248" i="7"/>
  <c r="D246" i="7"/>
  <c r="D245" i="7"/>
  <c r="D244" i="7"/>
  <c r="D243" i="7"/>
  <c r="D242" i="7"/>
  <c r="D241" i="7"/>
  <c r="E240" i="7"/>
  <c r="D240" i="7"/>
  <c r="D239" i="7"/>
  <c r="D238" i="7"/>
  <c r="D237" i="7"/>
  <c r="D236" i="7"/>
  <c r="D235" i="7"/>
  <c r="D234" i="7"/>
  <c r="D233" i="7"/>
  <c r="T226" i="7"/>
  <c r="Q226" i="7"/>
  <c r="D182" i="7"/>
  <c r="G181" i="7"/>
  <c r="D181" i="7"/>
  <c r="G180" i="7"/>
  <c r="D180" i="7"/>
  <c r="G179" i="7"/>
  <c r="D179" i="7"/>
  <c r="O168" i="7"/>
  <c r="J166" i="7"/>
  <c r="G165" i="7"/>
  <c r="F165" i="7"/>
  <c r="E165" i="7"/>
  <c r="D165" i="7"/>
  <c r="C165" i="7"/>
  <c r="Q147" i="7"/>
  <c r="D145" i="7"/>
  <c r="D144" i="7"/>
  <c r="D143" i="7"/>
  <c r="D142" i="7"/>
  <c r="D141" i="7"/>
  <c r="D140" i="7"/>
  <c r="D139" i="7"/>
  <c r="G138" i="7"/>
  <c r="F138" i="7"/>
  <c r="E138" i="7"/>
  <c r="D138" i="7"/>
  <c r="C138" i="7"/>
  <c r="K98" i="7"/>
  <c r="K97" i="7"/>
  <c r="K96" i="7"/>
  <c r="K95" i="7"/>
  <c r="K94" i="7"/>
  <c r="K93" i="7"/>
  <c r="K92" i="7"/>
  <c r="K90" i="7"/>
  <c r="D66" i="7"/>
  <c r="D65" i="7"/>
  <c r="D64" i="7"/>
  <c r="D63" i="7"/>
  <c r="D62" i="7"/>
  <c r="D61" i="7"/>
  <c r="D60" i="7"/>
  <c r="D59" i="7"/>
  <c r="D58" i="7"/>
  <c r="D57" i="7"/>
  <c r="D56" i="7"/>
  <c r="D14" i="7"/>
  <c r="C50" i="6"/>
  <c r="C21" i="6"/>
  <c r="C18" i="6"/>
  <c r="C14" i="6"/>
  <c r="C12" i="6"/>
  <c r="C7" i="6"/>
  <c r="H272" i="5"/>
  <c r="H225" i="5"/>
  <c r="H224" i="5"/>
  <c r="I174" i="5"/>
  <c r="H174" i="5"/>
  <c r="I173" i="5"/>
  <c r="H173" i="5"/>
  <c r="I172" i="5"/>
  <c r="H172" i="5"/>
  <c r="I171" i="5"/>
  <c r="H171" i="5"/>
  <c r="I170" i="5"/>
  <c r="H170" i="5"/>
  <c r="I169" i="5"/>
  <c r="H169" i="5"/>
  <c r="I168" i="5"/>
  <c r="H168" i="5"/>
  <c r="I167" i="5"/>
  <c r="H167" i="5"/>
  <c r="I166" i="5"/>
  <c r="H166" i="5"/>
  <c r="I165" i="5"/>
  <c r="H165" i="5"/>
  <c r="I164" i="5"/>
  <c r="H164" i="5"/>
  <c r="I163" i="5"/>
  <c r="H163" i="5"/>
  <c r="I162" i="5"/>
  <c r="H162" i="5"/>
  <c r="I161" i="5"/>
  <c r="H161" i="5"/>
  <c r="I160" i="5"/>
  <c r="H160" i="5"/>
  <c r="I159" i="5"/>
  <c r="H159" i="5"/>
  <c r="I158" i="5"/>
  <c r="H158" i="5"/>
  <c r="I157" i="5"/>
  <c r="H157" i="5"/>
  <c r="G137" i="5"/>
  <c r="G136" i="5"/>
  <c r="G135" i="5"/>
  <c r="G134" i="5"/>
  <c r="G133" i="5"/>
  <c r="G132" i="5"/>
  <c r="G131" i="5"/>
  <c r="G130" i="5"/>
  <c r="G129" i="5"/>
  <c r="G128" i="5"/>
  <c r="G127" i="5"/>
  <c r="G126" i="5"/>
  <c r="G125" i="5"/>
  <c r="G124" i="5"/>
  <c r="G123" i="5"/>
  <c r="P122" i="5"/>
  <c r="G122" i="5"/>
  <c r="P121" i="5"/>
  <c r="G121" i="5"/>
  <c r="P120" i="5"/>
  <c r="G120" i="5"/>
  <c r="P119" i="5"/>
  <c r="J115" i="5"/>
  <c r="D49" i="5"/>
  <c r="D48" i="5"/>
  <c r="D47" i="5"/>
  <c r="D46" i="5"/>
  <c r="D43" i="5"/>
  <c r="H42" i="5"/>
  <c r="D41" i="5"/>
  <c r="D39" i="5"/>
  <c r="D38" i="5"/>
  <c r="E32" i="5"/>
  <c r="D32" i="5"/>
  <c r="D31" i="5"/>
  <c r="D29" i="5"/>
  <c r="D25" i="5"/>
  <c r="D24" i="5"/>
  <c r="D23" i="5"/>
  <c r="D21" i="5"/>
  <c r="D20" i="5"/>
  <c r="D19" i="5"/>
  <c r="D18" i="5"/>
  <c r="E15" i="5"/>
  <c r="E14" i="5"/>
  <c r="E13" i="5"/>
  <c r="E11" i="5"/>
  <c r="E10" i="5"/>
  <c r="E9" i="5"/>
  <c r="E8" i="5"/>
  <c r="J7" i="5"/>
  <c r="J6" i="5"/>
  <c r="J4" i="5"/>
  <c r="C50" i="4"/>
  <c r="C25" i="4"/>
  <c r="C22" i="4"/>
  <c r="C18" i="4"/>
  <c r="C14" i="4"/>
  <c r="C12" i="4"/>
  <c r="C7" i="4"/>
  <c r="E293" i="3"/>
  <c r="E290" i="3"/>
  <c r="F143" i="3"/>
  <c r="D79" i="3"/>
  <c r="H46" i="3"/>
  <c r="E17" i="3"/>
  <c r="E15" i="3"/>
  <c r="E14" i="3"/>
  <c r="E13" i="3"/>
  <c r="E11" i="3"/>
  <c r="E10" i="3"/>
  <c r="E9" i="3"/>
  <c r="J8" i="3"/>
  <c r="E8" i="3"/>
  <c r="J5" i="3"/>
  <c r="C104" i="1"/>
  <c r="G94" i="1"/>
  <c r="G89" i="1"/>
  <c r="C84" i="1"/>
  <c r="C83" i="1"/>
  <c r="D75" i="1"/>
  <c r="C70" i="1"/>
  <c r="C68" i="1"/>
  <c r="C63" i="1"/>
  <c r="C62" i="1"/>
  <c r="C43" i="1"/>
  <c r="C27" i="1"/>
  <c r="C26" i="1"/>
  <c r="C25" i="1"/>
  <c r="K230" i="2"/>
  <c r="F193" i="2"/>
  <c r="I184" i="2"/>
  <c r="T102" i="2"/>
  <c r="S102" i="2"/>
  <c r="S100" i="2"/>
  <c r="F98" i="2"/>
  <c r="J89" i="2"/>
  <c r="R71" i="2"/>
  <c r="R70" i="2"/>
  <c r="F26" i="2"/>
  <c r="N25" i="2"/>
  <c r="K25" i="2"/>
  <c r="F24" i="2"/>
  <c r="F19" i="2"/>
  <c r="F17" i="2"/>
  <c r="F6" i="2"/>
  <c r="C159" i="19" l="1"/>
  <c r="E160" i="19" s="1"/>
  <c r="B166" i="19" s="1"/>
  <c r="B170" i="19" s="1"/>
  <c r="B135" i="19"/>
  <c r="B143" i="19" s="1"/>
  <c r="C121" i="19"/>
  <c r="B125" i="19" s="1"/>
  <c r="B146" i="19" s="1"/>
  <c r="B150" i="19" s="1"/>
  <c r="B105" i="19"/>
  <c r="B89" i="19"/>
  <c r="B81" i="19"/>
  <c r="H35" i="19"/>
  <c r="B35" i="19"/>
  <c r="D4" i="19"/>
  <c r="B124" i="18"/>
  <c r="B129" i="18" s="1"/>
  <c r="B130" i="18" s="1"/>
  <c r="E119" i="18"/>
  <c r="F110" i="18"/>
  <c r="F109" i="18"/>
  <c r="F108" i="18"/>
  <c r="F107" i="18"/>
  <c r="F106" i="18"/>
  <c r="F105" i="18"/>
  <c r="F97" i="18"/>
  <c r="D96" i="18"/>
  <c r="D110" i="18" s="1"/>
  <c r="C96" i="18"/>
  <c r="C110" i="18" s="1"/>
  <c r="D95" i="18"/>
  <c r="D109" i="18" s="1"/>
  <c r="C95" i="18"/>
  <c r="C109" i="18" s="1"/>
  <c r="D94" i="18"/>
  <c r="D108" i="18" s="1"/>
  <c r="C94" i="18"/>
  <c r="C108" i="18" s="1"/>
  <c r="D93" i="18"/>
  <c r="D107" i="18" s="1"/>
  <c r="C93" i="18"/>
  <c r="C107" i="18" s="1"/>
  <c r="D92" i="18"/>
  <c r="D106" i="18" s="1"/>
  <c r="C92" i="18"/>
  <c r="C106" i="18" s="1"/>
  <c r="D91" i="18"/>
  <c r="D105" i="18" s="1"/>
  <c r="G69" i="18"/>
  <c r="E93" i="18" s="1"/>
  <c r="E107" i="18" s="1"/>
  <c r="G68" i="18"/>
  <c r="E92" i="18" s="1"/>
  <c r="E106" i="18" s="1"/>
  <c r="G67" i="18"/>
  <c r="O7" i="18"/>
  <c r="P7" i="18" s="1"/>
  <c r="M12" i="17"/>
  <c r="F404" i="16"/>
  <c r="O14" i="16"/>
  <c r="P14" i="16" s="1"/>
  <c r="O13" i="16"/>
  <c r="P13" i="16" s="1"/>
  <c r="H171" i="15"/>
  <c r="E174" i="15" s="1"/>
  <c r="D51" i="14"/>
  <c r="D70" i="14" s="1"/>
  <c r="F397" i="16"/>
  <c r="F396" i="16"/>
  <c r="F395" i="16"/>
  <c r="F394" i="16"/>
  <c r="F393" i="16"/>
  <c r="F392" i="16"/>
  <c r="F391" i="16"/>
  <c r="F390" i="16"/>
  <c r="F389" i="16"/>
  <c r="F388" i="16"/>
  <c r="F387" i="16"/>
  <c r="F386" i="16"/>
  <c r="F385" i="16"/>
  <c r="F384" i="16"/>
  <c r="F383" i="16"/>
  <c r="F382" i="16"/>
  <c r="F381" i="16"/>
  <c r="F380" i="16"/>
  <c r="F379" i="16"/>
  <c r="F378" i="16"/>
  <c r="F377" i="16"/>
  <c r="F376" i="16"/>
  <c r="F375" i="16"/>
  <c r="F374" i="16"/>
  <c r="F373" i="16"/>
  <c r="F372" i="16"/>
  <c r="F371" i="16"/>
  <c r="F370" i="16"/>
  <c r="F369" i="16"/>
  <c r="F368" i="16"/>
  <c r="F367" i="16"/>
  <c r="F366" i="16"/>
  <c r="F365" i="16"/>
  <c r="F364" i="16"/>
  <c r="F363" i="16"/>
  <c r="F362" i="16"/>
  <c r="F361" i="16"/>
  <c r="F360" i="16"/>
  <c r="F359" i="16"/>
  <c r="F358" i="16"/>
  <c r="F357" i="16"/>
  <c r="F356" i="16"/>
  <c r="F355" i="16"/>
  <c r="K289" i="16"/>
  <c r="B178" i="16"/>
  <c r="B183" i="16" s="1"/>
  <c r="B184" i="16" s="1"/>
  <c r="G143" i="16"/>
  <c r="B289" i="11"/>
  <c r="F121" i="16"/>
  <c r="F120" i="16"/>
  <c r="F119" i="16"/>
  <c r="F118" i="16"/>
  <c r="F117" i="16"/>
  <c r="F116" i="16"/>
  <c r="F115" i="16"/>
  <c r="F107" i="16"/>
  <c r="D106" i="16"/>
  <c r="D126" i="16" s="1"/>
  <c r="C106" i="16"/>
  <c r="C126" i="16" s="1"/>
  <c r="D105" i="16"/>
  <c r="D125" i="16" s="1"/>
  <c r="C105" i="16"/>
  <c r="C125" i="16" s="1"/>
  <c r="D104" i="16"/>
  <c r="D124" i="16" s="1"/>
  <c r="C104" i="16"/>
  <c r="C124" i="16" s="1"/>
  <c r="D103" i="16"/>
  <c r="D123" i="16" s="1"/>
  <c r="C103" i="16"/>
  <c r="C123" i="16" s="1"/>
  <c r="D102" i="16"/>
  <c r="D122" i="16" s="1"/>
  <c r="C102" i="16"/>
  <c r="C122" i="16" s="1"/>
  <c r="D101" i="16"/>
  <c r="D121" i="16" s="1"/>
  <c r="C101" i="16"/>
  <c r="C121" i="16" s="1"/>
  <c r="D100" i="16"/>
  <c r="D120" i="16" s="1"/>
  <c r="C100" i="16"/>
  <c r="C120" i="16" s="1"/>
  <c r="D99" i="16"/>
  <c r="D119" i="16" s="1"/>
  <c r="C99" i="16"/>
  <c r="C119" i="16" s="1"/>
  <c r="D98" i="16"/>
  <c r="D118" i="16" s="1"/>
  <c r="C98" i="16"/>
  <c r="C118" i="16" s="1"/>
  <c r="D97" i="16"/>
  <c r="D117" i="16" s="1"/>
  <c r="C97" i="16"/>
  <c r="C117" i="16" s="1"/>
  <c r="D96" i="16"/>
  <c r="D116" i="16" s="1"/>
  <c r="C96" i="16"/>
  <c r="C116" i="16" s="1"/>
  <c r="D95" i="16"/>
  <c r="D115" i="16" s="1"/>
  <c r="C95" i="16"/>
  <c r="C115" i="16" s="1"/>
  <c r="E71" i="16"/>
  <c r="G71" i="16" s="1"/>
  <c r="E106" i="16" s="1"/>
  <c r="E126" i="16" s="1"/>
  <c r="E70" i="16"/>
  <c r="G70" i="16" s="1"/>
  <c r="E105" i="16" s="1"/>
  <c r="E125" i="16" s="1"/>
  <c r="E69" i="16"/>
  <c r="G69" i="16" s="1"/>
  <c r="E104" i="16" s="1"/>
  <c r="E124" i="16" s="1"/>
  <c r="E68" i="16"/>
  <c r="G68" i="16" s="1"/>
  <c r="E103" i="16" s="1"/>
  <c r="E123" i="16" s="1"/>
  <c r="E67" i="16"/>
  <c r="G67" i="16" s="1"/>
  <c r="E102" i="16" s="1"/>
  <c r="E122" i="16" s="1"/>
  <c r="E66" i="16"/>
  <c r="G66" i="16" s="1"/>
  <c r="E101" i="16" s="1"/>
  <c r="E121" i="16" s="1"/>
  <c r="E65" i="16"/>
  <c r="G65" i="16" s="1"/>
  <c r="E100" i="16" s="1"/>
  <c r="E120" i="16" s="1"/>
  <c r="E64" i="16"/>
  <c r="G64" i="16" s="1"/>
  <c r="E99" i="16" s="1"/>
  <c r="E119" i="16" s="1"/>
  <c r="E63" i="16"/>
  <c r="G63" i="16" s="1"/>
  <c r="E98" i="16" s="1"/>
  <c r="E118" i="16" s="1"/>
  <c r="E62" i="16"/>
  <c r="G62" i="16" s="1"/>
  <c r="E97" i="16" s="1"/>
  <c r="E117" i="16" s="1"/>
  <c r="E61" i="16"/>
  <c r="G61" i="16" s="1"/>
  <c r="E96" i="16" s="1"/>
  <c r="E116" i="16" s="1"/>
  <c r="E60" i="16"/>
  <c r="G60" i="16" s="1"/>
  <c r="H54" i="16"/>
  <c r="D107" i="16" s="1"/>
  <c r="F36" i="16"/>
  <c r="C107" i="16" s="1"/>
  <c r="O18" i="16"/>
  <c r="P18" i="16" s="1"/>
  <c r="B106" i="16" s="1"/>
  <c r="B126" i="16" s="1"/>
  <c r="G126" i="16" s="1"/>
  <c r="H126" i="16" s="1"/>
  <c r="O10" i="16"/>
  <c r="P10" i="16" s="1"/>
  <c r="B98" i="16" s="1"/>
  <c r="B118" i="16" s="1"/>
  <c r="G118" i="16" s="1"/>
  <c r="H118" i="16" s="1"/>
  <c r="O9" i="16"/>
  <c r="P9" i="16" s="1"/>
  <c r="B97" i="16" s="1"/>
  <c r="B117" i="16" s="1"/>
  <c r="G117" i="16" s="1"/>
  <c r="H117" i="16" s="1"/>
  <c r="D52" i="14"/>
  <c r="D71" i="14" s="1"/>
  <c r="F323" i="11"/>
  <c r="D256" i="11"/>
  <c r="F242" i="11"/>
  <c r="H139" i="15"/>
  <c r="E141" i="15" s="1"/>
  <c r="F125" i="15"/>
  <c r="D74" i="15"/>
  <c r="D230" i="11"/>
  <c r="E247" i="11" s="1"/>
  <c r="F216" i="11"/>
  <c r="D207" i="11"/>
  <c r="D205" i="11"/>
  <c r="E221" i="11" s="1"/>
  <c r="E223" i="11" s="1"/>
  <c r="E224" i="11" s="1"/>
  <c r="F189" i="11"/>
  <c r="D178" i="11"/>
  <c r="E194" i="11" s="1"/>
  <c r="E196" i="11" s="1"/>
  <c r="E197" i="11" s="1"/>
  <c r="F164" i="11"/>
  <c r="D153" i="11"/>
  <c r="E169" i="11" s="1"/>
  <c r="E171" i="11" s="1"/>
  <c r="E172" i="11" s="1"/>
  <c r="F139" i="11"/>
  <c r="D128" i="11"/>
  <c r="E144" i="11" s="1"/>
  <c r="E146" i="11" s="1"/>
  <c r="E147" i="11" s="1"/>
  <c r="F114" i="11"/>
  <c r="D103" i="11"/>
  <c r="E119" i="11" s="1"/>
  <c r="F89" i="11"/>
  <c r="D78" i="11"/>
  <c r="E94" i="11" s="1"/>
  <c r="E96" i="11" s="1"/>
  <c r="E97" i="11" s="1"/>
  <c r="F64" i="11"/>
  <c r="D53" i="11"/>
  <c r="F39" i="11"/>
  <c r="D28" i="11"/>
  <c r="F14" i="11"/>
  <c r="E21" i="11" s="1"/>
  <c r="D133" i="10"/>
  <c r="E3" i="10"/>
  <c r="I145" i="9"/>
  <c r="I144" i="9"/>
  <c r="I143" i="9"/>
  <c r="I142" i="9"/>
  <c r="I141" i="9"/>
  <c r="I140" i="9"/>
  <c r="I139" i="9"/>
  <c r="I138" i="9"/>
  <c r="I137" i="9"/>
  <c r="M127" i="9"/>
  <c r="B119" i="9"/>
  <c r="E237" i="7"/>
  <c r="E234" i="7"/>
  <c r="D5" i="7"/>
  <c r="D24" i="3"/>
  <c r="J10" i="3"/>
  <c r="C71" i="1"/>
  <c r="O11" i="16"/>
  <c r="P11" i="16" s="1"/>
  <c r="B99" i="16" s="1"/>
  <c r="B119" i="16" s="1"/>
  <c r="G119" i="16" s="1"/>
  <c r="H119" i="16" s="1"/>
  <c r="O7" i="16"/>
  <c r="P7" i="16" s="1"/>
  <c r="D35" i="15"/>
  <c r="D39" i="15" s="1"/>
  <c r="D43" i="15" s="1"/>
  <c r="D44" i="15" s="1"/>
  <c r="H158" i="15" s="1"/>
  <c r="G81" i="12"/>
  <c r="D82" i="12" s="1"/>
  <c r="D391" i="11"/>
  <c r="E409" i="11" s="1"/>
  <c r="D368" i="11"/>
  <c r="F350" i="11"/>
  <c r="D337" i="11"/>
  <c r="E355" i="11" s="1"/>
  <c r="E301" i="11"/>
  <c r="E303" i="11" s="1"/>
  <c r="E304" i="11" s="1"/>
  <c r="D29" i="10"/>
  <c r="G619" i="8"/>
  <c r="E248" i="7"/>
  <c r="J248" i="7" s="1"/>
  <c r="E243" i="7"/>
  <c r="J243" i="7" s="1"/>
  <c r="E241" i="7"/>
  <c r="J241" i="7" s="1"/>
  <c r="J240" i="7"/>
  <c r="E239" i="7"/>
  <c r="J239" i="7" s="1"/>
  <c r="E238" i="7"/>
  <c r="J238" i="7" s="1"/>
  <c r="E236" i="7"/>
  <c r="J236" i="7" s="1"/>
  <c r="E233" i="7"/>
  <c r="J233" i="7" s="1"/>
  <c r="G139" i="7"/>
  <c r="G140" i="7" s="1"/>
  <c r="G141" i="7" s="1"/>
  <c r="G142" i="7" s="1"/>
  <c r="G143" i="7" s="1"/>
  <c r="E139" i="7"/>
  <c r="E140" i="7" s="1"/>
  <c r="E141" i="7" s="1"/>
  <c r="E142" i="7" s="1"/>
  <c r="E143" i="7" s="1"/>
  <c r="E144" i="7" s="1"/>
  <c r="D193" i="3"/>
  <c r="D187" i="3"/>
  <c r="D110" i="3"/>
  <c r="D107" i="3" s="1"/>
  <c r="D524" i="8"/>
  <c r="C35" i="8"/>
  <c r="C84" i="8" s="1"/>
  <c r="E246" i="7"/>
  <c r="J246" i="7" s="1"/>
  <c r="E245" i="7"/>
  <c r="J245" i="7" s="1"/>
  <c r="E244" i="7"/>
  <c r="J244" i="7" s="1"/>
  <c r="E242" i="7"/>
  <c r="J242" i="7" s="1"/>
  <c r="E235" i="7"/>
  <c r="J235" i="7" s="1"/>
  <c r="F139" i="7"/>
  <c r="F140" i="7" s="1"/>
  <c r="F141" i="7" s="1"/>
  <c r="F142" i="7" s="1"/>
  <c r="F143" i="7" s="1"/>
  <c r="C139" i="7"/>
  <c r="C140" i="7" s="1"/>
  <c r="C141" i="7" s="1"/>
  <c r="C142" i="7" s="1"/>
  <c r="C143" i="7" s="1"/>
  <c r="C144" i="7" s="1"/>
  <c r="D6" i="7"/>
  <c r="C22" i="6"/>
  <c r="E5" i="3"/>
  <c r="F212" i="2"/>
  <c r="S72" i="2"/>
  <c r="D41" i="2"/>
  <c r="F20" i="2"/>
  <c r="C91" i="18"/>
  <c r="C105" i="18" s="1"/>
  <c r="G71" i="18"/>
  <c r="E95" i="18" s="1"/>
  <c r="E109" i="18" s="1"/>
  <c r="E49" i="18"/>
  <c r="C97" i="18" s="1"/>
  <c r="O12" i="18"/>
  <c r="P12" i="18" s="1"/>
  <c r="B96" i="18" s="1"/>
  <c r="B110" i="18" s="1"/>
  <c r="G110" i="18" s="1"/>
  <c r="H110" i="18" s="1"/>
  <c r="I110" i="18" s="1"/>
  <c r="J110" i="18" s="1"/>
  <c r="O9" i="18"/>
  <c r="P9" i="18" s="1"/>
  <c r="B93" i="18" s="1"/>
  <c r="B107" i="18" s="1"/>
  <c r="G107" i="18" s="1"/>
  <c r="H107" i="18" s="1"/>
  <c r="I107" i="18" s="1"/>
  <c r="J107" i="18" s="1"/>
  <c r="B27" i="17"/>
  <c r="F403" i="16"/>
  <c r="F401" i="16"/>
  <c r="O17" i="16"/>
  <c r="P17" i="16" s="1"/>
  <c r="B105" i="16" s="1"/>
  <c r="B125" i="16" s="1"/>
  <c r="F377" i="11"/>
  <c r="F296" i="11"/>
  <c r="B292" i="11"/>
  <c r="F206" i="7"/>
  <c r="O169" i="7"/>
  <c r="O170" i="7" s="1"/>
  <c r="O171" i="7" s="1"/>
  <c r="O172" i="7" s="1"/>
  <c r="O173" i="7" s="1"/>
  <c r="O174" i="7" s="1"/>
  <c r="O175" i="7" s="1"/>
  <c r="L166" i="7"/>
  <c r="G166" i="7"/>
  <c r="G167" i="7" s="1"/>
  <c r="G168" i="7" s="1"/>
  <c r="F166" i="7"/>
  <c r="F167" i="7" s="1"/>
  <c r="F168" i="7" s="1"/>
  <c r="F169" i="7" s="1"/>
  <c r="F170" i="7" s="1"/>
  <c r="F171" i="7" s="1"/>
  <c r="F172" i="7" s="1"/>
  <c r="E166" i="7"/>
  <c r="E167" i="7" s="1"/>
  <c r="E168" i="7" s="1"/>
  <c r="E169" i="7" s="1"/>
  <c r="E170" i="7" s="1"/>
  <c r="E171" i="7" s="1"/>
  <c r="E172" i="7" s="1"/>
  <c r="D166" i="7"/>
  <c r="D167" i="7" s="1"/>
  <c r="D168" i="7" s="1"/>
  <c r="D169" i="7" s="1"/>
  <c r="D170" i="7" s="1"/>
  <c r="D171" i="7" s="1"/>
  <c r="D172" i="7" s="1"/>
  <c r="C166" i="7"/>
  <c r="C167" i="7" s="1"/>
  <c r="C168" i="7" s="1"/>
  <c r="C169" i="7" s="1"/>
  <c r="C170" i="7" s="1"/>
  <c r="C171" i="7" s="1"/>
  <c r="C172" i="7" s="1"/>
  <c r="Q148" i="7"/>
  <c r="Q149" i="7" s="1"/>
  <c r="Q150" i="7" s="1"/>
  <c r="Q151" i="7" s="1"/>
  <c r="Q152" i="7" s="1"/>
  <c r="Q153" i="7" s="1"/>
  <c r="Q154" i="7" s="1"/>
  <c r="C25" i="6"/>
  <c r="E287" i="3"/>
  <c r="F8" i="2"/>
  <c r="O10" i="18"/>
  <c r="P10" i="18" s="1"/>
  <c r="B94" i="18" s="1"/>
  <c r="B108" i="18" s="1"/>
  <c r="O8" i="18"/>
  <c r="P8" i="18" s="1"/>
  <c r="B92" i="18" s="1"/>
  <c r="B106" i="18" s="1"/>
  <c r="G106" i="18" s="1"/>
  <c r="H106" i="18" s="1"/>
  <c r="I106" i="18" s="1"/>
  <c r="J106" i="18" s="1"/>
  <c r="F406" i="16"/>
  <c r="F399" i="16"/>
  <c r="O12" i="16"/>
  <c r="P12" i="16" s="1"/>
  <c r="B100" i="16" s="1"/>
  <c r="B120" i="16" s="1"/>
  <c r="G120" i="16" s="1"/>
  <c r="H120" i="16" s="1"/>
  <c r="I106" i="14"/>
  <c r="D110" i="14" s="1"/>
  <c r="D364" i="11"/>
  <c r="E382" i="11" s="1"/>
  <c r="D310" i="11"/>
  <c r="F263" i="11"/>
  <c r="E249" i="11"/>
  <c r="E250" i="11" s="1"/>
  <c r="E103" i="10"/>
  <c r="E104" i="10" s="1"/>
  <c r="D276" i="5"/>
  <c r="D275" i="5"/>
  <c r="D205" i="5"/>
  <c r="G101" i="5"/>
  <c r="E101" i="5"/>
  <c r="H100" i="5"/>
  <c r="G100" i="5"/>
  <c r="E100" i="5"/>
  <c r="H99" i="5"/>
  <c r="E99" i="5"/>
  <c r="G97" i="5"/>
  <c r="G95" i="5"/>
  <c r="G94" i="5"/>
  <c r="G93" i="5"/>
  <c r="C48" i="4"/>
  <c r="D40" i="5" s="1"/>
  <c r="C26" i="4"/>
  <c r="I24" i="17"/>
  <c r="B17" i="17"/>
  <c r="B21" i="17" s="1"/>
  <c r="F410" i="16"/>
  <c r="F413" i="16" s="1"/>
  <c r="F405" i="16"/>
  <c r="F402" i="16"/>
  <c r="F400" i="16"/>
  <c r="O16" i="16"/>
  <c r="P16" i="16" s="1"/>
  <c r="B104" i="16" s="1"/>
  <c r="B124" i="16" s="1"/>
  <c r="G124" i="16" s="1"/>
  <c r="H124" i="16" s="1"/>
  <c r="O15" i="16"/>
  <c r="P15" i="16" s="1"/>
  <c r="B103" i="16" s="1"/>
  <c r="B123" i="16" s="1"/>
  <c r="G123" i="16" s="1"/>
  <c r="H123" i="16" s="1"/>
  <c r="O8" i="16"/>
  <c r="P8" i="16" s="1"/>
  <c r="B96" i="16" s="1"/>
  <c r="B116" i="16" s="1"/>
  <c r="G116" i="16" s="1"/>
  <c r="H116" i="16" s="1"/>
  <c r="F404" i="11"/>
  <c r="D395" i="11"/>
  <c r="D341" i="11"/>
  <c r="B291" i="11"/>
  <c r="K115" i="5"/>
  <c r="K117" i="5" s="1"/>
  <c r="H104" i="5"/>
  <c r="G104" i="5"/>
  <c r="E104" i="5"/>
  <c r="H103" i="5"/>
  <c r="G103" i="5"/>
  <c r="E103" i="5"/>
  <c r="H102" i="5"/>
  <c r="G102" i="5"/>
  <c r="E102" i="5"/>
  <c r="H101" i="5"/>
  <c r="G99" i="5"/>
  <c r="H98" i="5"/>
  <c r="G98" i="5"/>
  <c r="E98" i="5"/>
  <c r="H97" i="5"/>
  <c r="E97" i="5"/>
  <c r="H96" i="5"/>
  <c r="G96" i="5"/>
  <c r="E96" i="5"/>
  <c r="H95" i="5"/>
  <c r="E95" i="5"/>
  <c r="H94" i="5"/>
  <c r="E94" i="5"/>
  <c r="H93" i="5"/>
  <c r="E93" i="5"/>
  <c r="G273" i="3"/>
  <c r="C39" i="1"/>
  <c r="C41" i="1" s="1"/>
  <c r="D11" i="1"/>
  <c r="F211" i="2"/>
  <c r="F197" i="2"/>
  <c r="D37" i="2"/>
  <c r="F54" i="2" s="1"/>
  <c r="F7" i="2"/>
  <c r="G72" i="18"/>
  <c r="E96" i="18" s="1"/>
  <c r="E110" i="18" s="1"/>
  <c r="G70" i="18"/>
  <c r="E94" i="18" s="1"/>
  <c r="E108" i="18" s="1"/>
  <c r="J61" i="18"/>
  <c r="D97" i="18" s="1"/>
  <c r="M21" i="18"/>
  <c r="O11" i="18"/>
  <c r="P11" i="18" s="1"/>
  <c r="B95" i="18" s="1"/>
  <c r="B109" i="18" s="1"/>
  <c r="G109" i="18" s="1"/>
  <c r="H109" i="18" s="1"/>
  <c r="I109" i="18" s="1"/>
  <c r="J109" i="18" s="1"/>
  <c r="D34" i="14"/>
  <c r="B293" i="11"/>
  <c r="B290" i="11"/>
  <c r="F269" i="11"/>
  <c r="D260" i="11"/>
  <c r="D77" i="10"/>
  <c r="D85" i="10" s="1"/>
  <c r="D33" i="10"/>
  <c r="H92" i="5"/>
  <c r="G92" i="5"/>
  <c r="E92" i="5"/>
  <c r="H91" i="5"/>
  <c r="G91" i="5"/>
  <c r="E91" i="5"/>
  <c r="H90" i="5"/>
  <c r="G90" i="5"/>
  <c r="E90" i="5"/>
  <c r="H89" i="5"/>
  <c r="G89" i="5"/>
  <c r="E89" i="5"/>
  <c r="H88" i="5"/>
  <c r="G88" i="5"/>
  <c r="E88" i="5"/>
  <c r="H87" i="5"/>
  <c r="G87" i="5"/>
  <c r="E87" i="5"/>
  <c r="D84" i="5"/>
  <c r="D56" i="5"/>
  <c r="D42" i="5"/>
  <c r="D33" i="5"/>
  <c r="D30" i="5"/>
  <c r="D28" i="5"/>
  <c r="D22" i="5"/>
  <c r="J8" i="5"/>
  <c r="E5" i="5"/>
  <c r="C29" i="4"/>
  <c r="I138" i="14"/>
  <c r="D142" i="14" s="1"/>
  <c r="D23" i="14"/>
  <c r="I142" i="12"/>
  <c r="D145" i="12" s="1"/>
  <c r="I113" i="12"/>
  <c r="D116" i="12" s="1"/>
  <c r="B82" i="19" l="1"/>
  <c r="B93" i="19"/>
  <c r="B109" i="19" s="1"/>
  <c r="B113" i="19" s="1"/>
  <c r="G73" i="18"/>
  <c r="E97" i="18" s="1"/>
  <c r="E91" i="18"/>
  <c r="E105" i="18" s="1"/>
  <c r="P13" i="18"/>
  <c r="B97" i="18" s="1"/>
  <c r="B98" i="18" s="1"/>
  <c r="B91" i="18"/>
  <c r="B105" i="18" s="1"/>
  <c r="G105" i="18" s="1"/>
  <c r="D75" i="14"/>
  <c r="D74" i="14"/>
  <c r="G72" i="16"/>
  <c r="E107" i="16" s="1"/>
  <c r="E95" i="16"/>
  <c r="E115" i="16" s="1"/>
  <c r="I126" i="16"/>
  <c r="J126" i="16" s="1"/>
  <c r="C159" i="16" s="1"/>
  <c r="D287" i="16"/>
  <c r="I118" i="16"/>
  <c r="J118" i="16" s="1"/>
  <c r="C151" i="16" s="1"/>
  <c r="D279" i="16"/>
  <c r="I117" i="16"/>
  <c r="J117" i="16" s="1"/>
  <c r="D278" i="16"/>
  <c r="B264" i="11"/>
  <c r="B262" i="11"/>
  <c r="B265" i="11"/>
  <c r="B263" i="11"/>
  <c r="C263" i="11" s="1"/>
  <c r="C264" i="11" s="1"/>
  <c r="C265" i="11" s="1"/>
  <c r="B267" i="11"/>
  <c r="B266" i="11"/>
  <c r="B268" i="11"/>
  <c r="E274" i="11"/>
  <c r="E276" i="11" s="1"/>
  <c r="E277" i="11" s="1"/>
  <c r="F127" i="15"/>
  <c r="F130" i="15" s="1"/>
  <c r="G143" i="15" s="1"/>
  <c r="F154" i="15"/>
  <c r="F156" i="15" s="1"/>
  <c r="E161" i="15" s="1"/>
  <c r="G176" i="15" s="1"/>
  <c r="D82" i="15"/>
  <c r="D83" i="15"/>
  <c r="D87" i="15" s="1"/>
  <c r="B57" i="11"/>
  <c r="B58" i="11"/>
  <c r="C58" i="11" s="1"/>
  <c r="B59" i="11"/>
  <c r="B60" i="11"/>
  <c r="B61" i="11"/>
  <c r="B62" i="11"/>
  <c r="B63" i="11"/>
  <c r="E69" i="11"/>
  <c r="E71" i="11" s="1"/>
  <c r="E72" i="11" s="1"/>
  <c r="B82" i="11"/>
  <c r="B83" i="11"/>
  <c r="C83" i="11" s="1"/>
  <c r="B84" i="11"/>
  <c r="B85" i="11"/>
  <c r="B86" i="11"/>
  <c r="B87" i="11"/>
  <c r="B88" i="11"/>
  <c r="B107" i="11"/>
  <c r="B108" i="11"/>
  <c r="C108" i="11" s="1"/>
  <c r="B109" i="11"/>
  <c r="B110" i="11"/>
  <c r="B111" i="11"/>
  <c r="B112" i="11"/>
  <c r="B113" i="11"/>
  <c r="B132" i="11"/>
  <c r="B133" i="11"/>
  <c r="C133" i="11" s="1"/>
  <c r="B134" i="11"/>
  <c r="B135" i="11"/>
  <c r="B136" i="11"/>
  <c r="B137" i="11"/>
  <c r="B138" i="11"/>
  <c r="B157" i="11"/>
  <c r="B158" i="11"/>
  <c r="C158" i="11" s="1"/>
  <c r="C159" i="11" s="1"/>
  <c r="B159" i="11"/>
  <c r="B160" i="11"/>
  <c r="B161" i="11"/>
  <c r="B162" i="11"/>
  <c r="B163" i="11"/>
  <c r="B182" i="11"/>
  <c r="B183" i="11"/>
  <c r="C183" i="11" s="1"/>
  <c r="B184" i="11"/>
  <c r="B185" i="11"/>
  <c r="B186" i="11"/>
  <c r="B187" i="11"/>
  <c r="B188" i="11"/>
  <c r="B209" i="11"/>
  <c r="B210" i="11"/>
  <c r="C210" i="11" s="1"/>
  <c r="B211" i="11"/>
  <c r="B212" i="11"/>
  <c r="B213" i="11"/>
  <c r="B214" i="11"/>
  <c r="B215" i="11"/>
  <c r="B235" i="11"/>
  <c r="B236" i="11"/>
  <c r="C236" i="11" s="1"/>
  <c r="B237" i="11"/>
  <c r="B238" i="11"/>
  <c r="B239" i="11"/>
  <c r="B240" i="11"/>
  <c r="B241" i="11"/>
  <c r="B32" i="11"/>
  <c r="B33" i="11"/>
  <c r="C33" i="11" s="1"/>
  <c r="B34" i="11"/>
  <c r="B35" i="11"/>
  <c r="B36" i="11"/>
  <c r="B37" i="11"/>
  <c r="B38" i="11"/>
  <c r="E44" i="11"/>
  <c r="E46" i="11" s="1"/>
  <c r="E47" i="11" s="1"/>
  <c r="I119" i="16"/>
  <c r="J119" i="16" s="1"/>
  <c r="C152" i="16" s="1"/>
  <c r="D280" i="16"/>
  <c r="P19" i="16"/>
  <c r="B107" i="16" s="1"/>
  <c r="B95" i="16"/>
  <c r="B115" i="16" s="1"/>
  <c r="D119" i="10"/>
  <c r="D120" i="10" s="1"/>
  <c r="E96" i="10"/>
  <c r="E100" i="10"/>
  <c r="E101" i="10" s="1"/>
  <c r="D620" i="8"/>
  <c r="D621" i="8" s="1"/>
  <c r="D628" i="8"/>
  <c r="D629" i="8" s="1"/>
  <c r="E142" i="3"/>
  <c r="G142" i="3" s="1"/>
  <c r="I26" i="17"/>
  <c r="B28" i="17"/>
  <c r="D209" i="7"/>
  <c r="E209" i="7" s="1"/>
  <c r="D210" i="7"/>
  <c r="E210" i="7" s="1"/>
  <c r="D211" i="7"/>
  <c r="E211" i="7" s="1"/>
  <c r="D212" i="7"/>
  <c r="E212" i="7" s="1"/>
  <c r="D213" i="7"/>
  <c r="E213" i="7" s="1"/>
  <c r="D214" i="7"/>
  <c r="E214" i="7" s="1"/>
  <c r="D215" i="7"/>
  <c r="E215" i="7" s="1"/>
  <c r="D216" i="7"/>
  <c r="E216" i="7" s="1"/>
  <c r="D217" i="7"/>
  <c r="E217" i="7" s="1"/>
  <c r="D218" i="7"/>
  <c r="E218" i="7" s="1"/>
  <c r="D219" i="7"/>
  <c r="E219" i="7" s="1"/>
  <c r="D220" i="7"/>
  <c r="E220" i="7" s="1"/>
  <c r="D221" i="7"/>
  <c r="E221" i="7" s="1"/>
  <c r="D222" i="7"/>
  <c r="E222" i="7" s="1"/>
  <c r="D223" i="7"/>
  <c r="E223" i="7" s="1"/>
  <c r="J223" i="7" s="1"/>
  <c r="G169" i="7"/>
  <c r="G170" i="7" s="1"/>
  <c r="G171" i="7" s="1"/>
  <c r="G172" i="7" s="1"/>
  <c r="G182" i="7"/>
  <c r="C29" i="6"/>
  <c r="C26" i="6"/>
  <c r="F9" i="2"/>
  <c r="E6" i="14"/>
  <c r="M6" i="17"/>
  <c r="F10" i="2"/>
  <c r="F28" i="2"/>
  <c r="F59" i="2"/>
  <c r="E6" i="3"/>
  <c r="E4" i="10"/>
  <c r="D5" i="19"/>
  <c r="F12" i="2"/>
  <c r="D46" i="2"/>
  <c r="E10" i="12"/>
  <c r="D27" i="12" s="1"/>
  <c r="D34" i="12" s="1"/>
  <c r="D37" i="12" s="1"/>
  <c r="D42" i="12" s="1"/>
  <c r="D46" i="12" s="1"/>
  <c r="D53" i="12" s="1"/>
  <c r="E6" i="5"/>
  <c r="E6" i="15"/>
  <c r="I120" i="16"/>
  <c r="J120" i="16" s="1"/>
  <c r="C153" i="16" s="1"/>
  <c r="D281" i="16"/>
  <c r="B317" i="11"/>
  <c r="C317" i="11" s="1"/>
  <c r="B319" i="11"/>
  <c r="B320" i="11"/>
  <c r="B343" i="11"/>
  <c r="B398" i="11"/>
  <c r="C398" i="11" s="1"/>
  <c r="E328" i="11"/>
  <c r="E330" i="11" s="1"/>
  <c r="E331" i="11" s="1"/>
  <c r="B344" i="11"/>
  <c r="C344" i="11" s="1"/>
  <c r="B318" i="11"/>
  <c r="B346" i="11"/>
  <c r="B347" i="11"/>
  <c r="B370" i="11"/>
  <c r="B372" i="11"/>
  <c r="B397" i="11"/>
  <c r="B399" i="11"/>
  <c r="B401" i="11"/>
  <c r="B316" i="11"/>
  <c r="B345" i="11"/>
  <c r="B374" i="11"/>
  <c r="B400" i="11"/>
  <c r="B371" i="11"/>
  <c r="C371" i="11" s="1"/>
  <c r="C372" i="11" s="1"/>
  <c r="C373" i="11" s="1"/>
  <c r="C374" i="11" s="1"/>
  <c r="C375" i="11" s="1"/>
  <c r="C376" i="11" s="1"/>
  <c r="B373" i="11"/>
  <c r="D331" i="5"/>
  <c r="D339" i="5" s="1"/>
  <c r="D17" i="7"/>
  <c r="E5" i="9"/>
  <c r="D16" i="7"/>
  <c r="E90" i="7" s="1"/>
  <c r="D5" i="9"/>
  <c r="I124" i="16"/>
  <c r="J124" i="16" s="1"/>
  <c r="C157" i="16" s="1"/>
  <c r="D285" i="16"/>
  <c r="D284" i="16"/>
  <c r="I123" i="16"/>
  <c r="J123" i="16" s="1"/>
  <c r="C156" i="16" s="1"/>
  <c r="I116" i="16"/>
  <c r="J116" i="16" s="1"/>
  <c r="D277" i="16"/>
  <c r="D17" i="1"/>
  <c r="D21" i="1" s="1"/>
  <c r="C114" i="1" s="1"/>
  <c r="C117" i="1" s="1"/>
  <c r="C24" i="1"/>
  <c r="D128" i="1"/>
  <c r="F221" i="2"/>
  <c r="F223" i="2" s="1"/>
  <c r="D211" i="5"/>
  <c r="F201" i="2"/>
  <c r="D335" i="5" s="1"/>
  <c r="D4" i="7"/>
  <c r="D88" i="10"/>
  <c r="D41" i="10"/>
  <c r="D55" i="10"/>
  <c r="D63" i="10" s="1"/>
  <c r="F178" i="5"/>
  <c r="G178" i="5" s="1"/>
  <c r="F179" i="5"/>
  <c r="G179" i="5" s="1"/>
  <c r="F180" i="5"/>
  <c r="G180" i="5" s="1"/>
  <c r="F181" i="5"/>
  <c r="G181" i="5" s="1"/>
  <c r="F182" i="5"/>
  <c r="G182" i="5" s="1"/>
  <c r="F183" i="5"/>
  <c r="G183" i="5" s="1"/>
  <c r="F184" i="5"/>
  <c r="G184" i="5" s="1"/>
  <c r="F185" i="5"/>
  <c r="G185" i="5" s="1"/>
  <c r="F186" i="5"/>
  <c r="G186" i="5" s="1"/>
  <c r="F187" i="5"/>
  <c r="G187" i="5" s="1"/>
  <c r="F188" i="5"/>
  <c r="G188" i="5" s="1"/>
  <c r="F189" i="5"/>
  <c r="G189" i="5" s="1"/>
  <c r="F190" i="5"/>
  <c r="G190" i="5" s="1"/>
  <c r="F191" i="5"/>
  <c r="G191" i="5" s="1"/>
  <c r="F192" i="5"/>
  <c r="G192" i="5" s="1"/>
  <c r="F193" i="5"/>
  <c r="G193" i="5" s="1"/>
  <c r="F194" i="5"/>
  <c r="G194" i="5" s="1"/>
  <c r="F195" i="5"/>
  <c r="G195" i="5" s="1"/>
  <c r="F87" i="5"/>
  <c r="F88" i="5"/>
  <c r="F89" i="5"/>
  <c r="F90" i="5"/>
  <c r="F91" i="5"/>
  <c r="F92" i="5"/>
  <c r="F93" i="5"/>
  <c r="F94" i="5"/>
  <c r="F95" i="5"/>
  <c r="F97" i="5"/>
  <c r="F102" i="5"/>
  <c r="F103" i="5"/>
  <c r="F104" i="5"/>
  <c r="F96" i="5"/>
  <c r="F98" i="5"/>
  <c r="F99" i="5"/>
  <c r="F100" i="5"/>
  <c r="F101" i="5"/>
  <c r="D63" i="5"/>
  <c r="D319" i="5"/>
  <c r="D7" i="7"/>
  <c r="C33" i="4"/>
  <c r="C30" i="4"/>
  <c r="D89" i="14"/>
  <c r="D94" i="14"/>
  <c r="D43" i="14"/>
  <c r="B193" i="19"/>
  <c r="E121" i="11"/>
  <c r="E122" i="11" s="1"/>
  <c r="E411" i="11"/>
  <c r="E412" i="11" s="1"/>
  <c r="F407" i="16"/>
  <c r="C214" i="16"/>
  <c r="C212" i="16"/>
  <c r="C211" i="16"/>
  <c r="C208" i="16"/>
  <c r="C207" i="16"/>
  <c r="C206" i="16"/>
  <c r="C205" i="16"/>
  <c r="C204" i="16"/>
  <c r="J237" i="7"/>
  <c r="B102" i="16"/>
  <c r="B122" i="16" s="1"/>
  <c r="G122" i="16" s="1"/>
  <c r="H122" i="16" s="1"/>
  <c r="B101" i="16"/>
  <c r="B121" i="16" s="1"/>
  <c r="G121" i="16" s="1"/>
  <c r="H121" i="16" s="1"/>
  <c r="J234" i="7"/>
  <c r="D21" i="3"/>
  <c r="E145" i="7"/>
  <c r="C145" i="7"/>
  <c r="G144" i="7"/>
  <c r="G145" i="7" s="1"/>
  <c r="F144" i="7"/>
  <c r="F145" i="7" s="1"/>
  <c r="F14" i="2"/>
  <c r="G108" i="18"/>
  <c r="H108" i="18" s="1"/>
  <c r="I108" i="18" s="1"/>
  <c r="J108" i="18" s="1"/>
  <c r="G125" i="16"/>
  <c r="H125" i="16" s="1"/>
  <c r="E384" i="11"/>
  <c r="E385" i="11" s="1"/>
  <c r="E357" i="11"/>
  <c r="E358" i="11" s="1"/>
  <c r="C290" i="11"/>
  <c r="C291" i="11" s="1"/>
  <c r="C292" i="11" s="1"/>
  <c r="C293" i="11" s="1"/>
  <c r="C294" i="11" s="1"/>
  <c r="C295" i="11" s="1"/>
  <c r="E285" i="3"/>
  <c r="D153" i="3"/>
  <c r="D203" i="3" s="1"/>
  <c r="T100" i="2"/>
  <c r="H105" i="18" l="1"/>
  <c r="I105" i="18" s="1"/>
  <c r="J105" i="18" s="1"/>
  <c r="G111" i="18"/>
  <c r="H111" i="18" s="1"/>
  <c r="E287" i="16"/>
  <c r="B302" i="16" s="1"/>
  <c r="E279" i="16"/>
  <c r="B294" i="16" s="1"/>
  <c r="C150" i="16"/>
  <c r="E278" i="16"/>
  <c r="B293" i="16" s="1"/>
  <c r="E280" i="16"/>
  <c r="B295" i="16" s="1"/>
  <c r="E106" i="10"/>
  <c r="E97" i="10"/>
  <c r="B29" i="17"/>
  <c r="I28" i="17"/>
  <c r="C33" i="6"/>
  <c r="C30" i="6"/>
  <c r="C25" i="8" s="1"/>
  <c r="C26" i="8" s="1"/>
  <c r="E7" i="14"/>
  <c r="F49" i="14"/>
  <c r="D50" i="14" s="1"/>
  <c r="E12" i="3"/>
  <c r="D11" i="19"/>
  <c r="E16" i="12"/>
  <c r="E12" i="15"/>
  <c r="E12" i="14"/>
  <c r="E12" i="5"/>
  <c r="E11" i="10"/>
  <c r="F29" i="2"/>
  <c r="F137" i="2"/>
  <c r="F144" i="2" s="1"/>
  <c r="F148" i="2" s="1"/>
  <c r="H61" i="2"/>
  <c r="D83" i="2"/>
  <c r="J83" i="2" s="1"/>
  <c r="D221" i="3"/>
  <c r="D41" i="3"/>
  <c r="D49" i="3" s="1"/>
  <c r="D156" i="3"/>
  <c r="D28" i="3"/>
  <c r="D32" i="3" s="1"/>
  <c r="D36" i="3"/>
  <c r="E281" i="3" s="1"/>
  <c r="E283" i="3" s="1"/>
  <c r="D134" i="3"/>
  <c r="D196" i="3"/>
  <c r="D198" i="3"/>
  <c r="D228" i="3"/>
  <c r="D15" i="19"/>
  <c r="B31" i="19"/>
  <c r="B43" i="19" s="1"/>
  <c r="I46" i="19" s="1"/>
  <c r="B39" i="19"/>
  <c r="D9" i="7"/>
  <c r="D59" i="12"/>
  <c r="D60" i="12" s="1"/>
  <c r="D61" i="12" s="1"/>
  <c r="F63" i="12" s="1"/>
  <c r="D155" i="12"/>
  <c r="D54" i="12"/>
  <c r="E281" i="16"/>
  <c r="B296" i="16" s="1"/>
  <c r="B112" i="9"/>
  <c r="E285" i="16"/>
  <c r="B300" i="16" s="1"/>
  <c r="E284" i="16"/>
  <c r="B299" i="16" s="1"/>
  <c r="C149" i="16"/>
  <c r="E277" i="16"/>
  <c r="B292" i="16" s="1"/>
  <c r="C56" i="1"/>
  <c r="C58" i="1" s="1"/>
  <c r="C60" i="1" s="1"/>
  <c r="C75" i="1"/>
  <c r="C29" i="1"/>
  <c r="D48" i="10"/>
  <c r="D51" i="10"/>
  <c r="D30" i="11" s="1"/>
  <c r="D45" i="10"/>
  <c r="D66" i="10"/>
  <c r="D69" i="10"/>
  <c r="D221" i="5"/>
  <c r="F221" i="5" s="1"/>
  <c r="D277" i="5"/>
  <c r="D64" i="5"/>
  <c r="D220" i="5"/>
  <c r="C37" i="4"/>
  <c r="C34" i="4"/>
  <c r="D127" i="14"/>
  <c r="D122" i="14"/>
  <c r="D131" i="14" s="1"/>
  <c r="D146" i="14" s="1"/>
  <c r="B231" i="19"/>
  <c r="B241" i="19" s="1"/>
  <c r="C210" i="19"/>
  <c r="C211" i="19" s="1"/>
  <c r="B214" i="19" s="1"/>
  <c r="B197" i="19"/>
  <c r="B216" i="19" s="1"/>
  <c r="C210" i="16"/>
  <c r="D283" i="16"/>
  <c r="I122" i="16"/>
  <c r="J122" i="16" s="1"/>
  <c r="C155" i="16" s="1"/>
  <c r="C209" i="16"/>
  <c r="I121" i="16"/>
  <c r="J121" i="16" s="1"/>
  <c r="C154" i="16" s="1"/>
  <c r="D282" i="16"/>
  <c r="E11" i="12"/>
  <c r="E7" i="5"/>
  <c r="J107" i="2"/>
  <c r="M7" i="17"/>
  <c r="D6" i="19"/>
  <c r="E7" i="15"/>
  <c r="E5" i="10"/>
  <c r="E15" i="10" s="1"/>
  <c r="E7" i="3"/>
  <c r="F15" i="2"/>
  <c r="C213" i="16"/>
  <c r="D286" i="16"/>
  <c r="I125" i="16"/>
  <c r="J125" i="16" s="1"/>
  <c r="C184" i="11"/>
  <c r="C185" i="11" s="1"/>
  <c r="C186" i="11" s="1"/>
  <c r="C187" i="11" s="1"/>
  <c r="C188" i="11" s="1"/>
  <c r="C211" i="11"/>
  <c r="C212" i="11" s="1"/>
  <c r="C213" i="11" s="1"/>
  <c r="C214" i="11" s="1"/>
  <c r="C215" i="11" s="1"/>
  <c r="C237" i="11"/>
  <c r="C238" i="11" s="1"/>
  <c r="C239" i="11" s="1"/>
  <c r="C240" i="11" s="1"/>
  <c r="C241" i="11" s="1"/>
  <c r="C34" i="11"/>
  <c r="C35" i="11" s="1"/>
  <c r="C36" i="11" s="1"/>
  <c r="C37" i="11" s="1"/>
  <c r="C38" i="11" s="1"/>
  <c r="B108" i="16"/>
  <c r="G115" i="16"/>
  <c r="J209" i="7"/>
  <c r="J210" i="7"/>
  <c r="J211" i="7"/>
  <c r="J212" i="7"/>
  <c r="J213" i="7"/>
  <c r="J214" i="7"/>
  <c r="J215" i="7"/>
  <c r="J216" i="7"/>
  <c r="J217" i="7"/>
  <c r="J218" i="7"/>
  <c r="J219" i="7"/>
  <c r="J220" i="7"/>
  <c r="J221" i="7"/>
  <c r="J222" i="7"/>
  <c r="C318" i="11"/>
  <c r="C319" i="11" s="1"/>
  <c r="C320" i="11" s="1"/>
  <c r="C321" i="11" s="1"/>
  <c r="C322" i="11" s="1"/>
  <c r="C399" i="11"/>
  <c r="C400" i="11" s="1"/>
  <c r="C401" i="11" s="1"/>
  <c r="C402" i="11" s="1"/>
  <c r="C403" i="11" s="1"/>
  <c r="D414" i="11"/>
  <c r="C345" i="11"/>
  <c r="C346" i="11" s="1"/>
  <c r="C347" i="11" s="1"/>
  <c r="C348" i="11" s="1"/>
  <c r="C349" i="11" s="1"/>
  <c r="D91" i="10"/>
  <c r="D98" i="14"/>
  <c r="D114" i="14" s="1"/>
  <c r="C266" i="11"/>
  <c r="C267" i="11" s="1"/>
  <c r="C268" i="11" s="1"/>
  <c r="G177" i="15"/>
  <c r="G178" i="15" s="1"/>
  <c r="C59" i="11"/>
  <c r="C60" i="11" s="1"/>
  <c r="C61" i="11" s="1"/>
  <c r="C62" i="11" s="1"/>
  <c r="C63" i="11" s="1"/>
  <c r="D199" i="11"/>
  <c r="C84" i="11"/>
  <c r="C85" i="11" s="1"/>
  <c r="C86" i="11" s="1"/>
  <c r="C87" i="11" s="1"/>
  <c r="C88" i="11" s="1"/>
  <c r="C109" i="11"/>
  <c r="C110" i="11" s="1"/>
  <c r="C111" i="11" s="1"/>
  <c r="C112" i="11" s="1"/>
  <c r="C113" i="11" s="1"/>
  <c r="C134" i="11"/>
  <c r="C135" i="11" s="1"/>
  <c r="C136" i="11" s="1"/>
  <c r="C137" i="11" s="1"/>
  <c r="C138" i="11" s="1"/>
  <c r="C160" i="11"/>
  <c r="C161" i="11" s="1"/>
  <c r="C162" i="11" s="1"/>
  <c r="C163" i="11" s="1"/>
  <c r="I111" i="18" l="1"/>
  <c r="B127" i="18"/>
  <c r="C149" i="18"/>
  <c r="C150" i="18"/>
  <c r="C151" i="18"/>
  <c r="C152" i="18"/>
  <c r="C153" i="18"/>
  <c r="C154" i="18"/>
  <c r="D114" i="10"/>
  <c r="C42" i="17"/>
  <c r="C41" i="17"/>
  <c r="C43" i="17"/>
  <c r="C34" i="6"/>
  <c r="C37" i="6"/>
  <c r="C27" i="8"/>
  <c r="C82" i="8"/>
  <c r="D55" i="14"/>
  <c r="D56" i="14"/>
  <c r="D255" i="2"/>
  <c r="D257" i="2" s="1"/>
  <c r="E10" i="10"/>
  <c r="N83" i="2"/>
  <c r="D137" i="3"/>
  <c r="E141" i="3"/>
  <c r="D232" i="3"/>
  <c r="E294" i="3"/>
  <c r="D99" i="12"/>
  <c r="D94" i="12"/>
  <c r="D102" i="12" s="1"/>
  <c r="D120" i="12" s="1"/>
  <c r="D131" i="12"/>
  <c r="D126" i="12"/>
  <c r="D134" i="12" s="1"/>
  <c r="D149" i="12" s="1"/>
  <c r="D243" i="5"/>
  <c r="D244" i="5"/>
  <c r="D245" i="5"/>
  <c r="D246" i="5"/>
  <c r="D247" i="5"/>
  <c r="D248" i="5"/>
  <c r="D249" i="5"/>
  <c r="D250" i="5"/>
  <c r="D251" i="5"/>
  <c r="D252" i="5"/>
  <c r="D253" i="5"/>
  <c r="D254" i="5"/>
  <c r="D255" i="5"/>
  <c r="D256" i="5"/>
  <c r="D257" i="5"/>
  <c r="D258" i="5"/>
  <c r="D259" i="5"/>
  <c r="D260" i="5"/>
  <c r="F277" i="5"/>
  <c r="C5" i="9" s="1"/>
  <c r="D18" i="7"/>
  <c r="F245" i="8" s="1"/>
  <c r="I87" i="5"/>
  <c r="D157" i="5" s="1"/>
  <c r="E157" i="5" s="1"/>
  <c r="I88" i="5"/>
  <c r="D158" i="5" s="1"/>
  <c r="E158" i="5" s="1"/>
  <c r="I89" i="5"/>
  <c r="D159" i="5" s="1"/>
  <c r="E159" i="5" s="1"/>
  <c r="I90" i="5"/>
  <c r="D160" i="5" s="1"/>
  <c r="E160" i="5" s="1"/>
  <c r="I91" i="5"/>
  <c r="D161" i="5" s="1"/>
  <c r="E161" i="5" s="1"/>
  <c r="I92" i="5"/>
  <c r="D162" i="5" s="1"/>
  <c r="E162" i="5" s="1"/>
  <c r="I94" i="5"/>
  <c r="D164" i="5" s="1"/>
  <c r="E164" i="5" s="1"/>
  <c r="I99" i="5"/>
  <c r="D169" i="5" s="1"/>
  <c r="E169" i="5" s="1"/>
  <c r="I101" i="5"/>
  <c r="D171" i="5" s="1"/>
  <c r="E171" i="5" s="1"/>
  <c r="I102" i="5"/>
  <c r="D172" i="5" s="1"/>
  <c r="E172" i="5" s="1"/>
  <c r="I103" i="5"/>
  <c r="D173" i="5" s="1"/>
  <c r="E173" i="5" s="1"/>
  <c r="I104" i="5"/>
  <c r="D174" i="5" s="1"/>
  <c r="E174" i="5" s="1"/>
  <c r="I93" i="5"/>
  <c r="D163" i="5" s="1"/>
  <c r="E163" i="5" s="1"/>
  <c r="I95" i="5"/>
  <c r="D165" i="5" s="1"/>
  <c r="E165" i="5" s="1"/>
  <c r="I96" i="5"/>
  <c r="D166" i="5" s="1"/>
  <c r="E166" i="5" s="1"/>
  <c r="I97" i="5"/>
  <c r="D167" i="5" s="1"/>
  <c r="E167" i="5" s="1"/>
  <c r="I98" i="5"/>
  <c r="D168" i="5" s="1"/>
  <c r="E168" i="5" s="1"/>
  <c r="I100" i="5"/>
  <c r="D170" i="5" s="1"/>
  <c r="E170" i="5" s="1"/>
  <c r="F186" i="7"/>
  <c r="C41" i="4"/>
  <c r="C42" i="4" s="1"/>
  <c r="C38" i="4"/>
  <c r="D73" i="5"/>
  <c r="D95" i="5"/>
  <c r="D96" i="5"/>
  <c r="D98" i="5"/>
  <c r="D100" i="5"/>
  <c r="D101" i="5"/>
  <c r="D87" i="5"/>
  <c r="D88" i="5"/>
  <c r="D89" i="5"/>
  <c r="D90" i="5"/>
  <c r="D91" i="5"/>
  <c r="D92" i="5"/>
  <c r="D93" i="5"/>
  <c r="D94" i="5"/>
  <c r="D97" i="5"/>
  <c r="D99" i="5"/>
  <c r="D102" i="5"/>
  <c r="D103" i="5"/>
  <c r="D104" i="5"/>
  <c r="B252" i="19"/>
  <c r="B257" i="19"/>
  <c r="E283" i="16"/>
  <c r="B298" i="16" s="1"/>
  <c r="E282" i="16"/>
  <c r="B297" i="16" s="1"/>
  <c r="F108" i="2"/>
  <c r="F115" i="2" s="1"/>
  <c r="F112" i="2"/>
  <c r="E16" i="3"/>
  <c r="I14" i="3"/>
  <c r="J14" i="3" s="1"/>
  <c r="G189" i="3"/>
  <c r="D190" i="3" s="1"/>
  <c r="E286" i="16"/>
  <c r="B301" i="16" s="1"/>
  <c r="C158" i="16"/>
  <c r="G127" i="16"/>
  <c r="H127" i="16" s="1"/>
  <c r="H115" i="16"/>
  <c r="E150" i="14"/>
  <c r="K134" i="16"/>
  <c r="J111" i="18" l="1"/>
  <c r="B128" i="18"/>
  <c r="B131" i="18" s="1"/>
  <c r="B143" i="18" s="1"/>
  <c r="B160" i="18" s="1"/>
  <c r="B161" i="18" s="1"/>
  <c r="C38" i="6"/>
  <c r="C41" i="6"/>
  <c r="C42" i="6" s="1"/>
  <c r="C36" i="8"/>
  <c r="C94" i="8"/>
  <c r="C95" i="8" s="1"/>
  <c r="F98" i="8" s="1"/>
  <c r="E371" i="8"/>
  <c r="D142" i="10"/>
  <c r="D153" i="10" s="1"/>
  <c r="D150" i="10"/>
  <c r="D156" i="10"/>
  <c r="D164" i="10" s="1"/>
  <c r="D165" i="10" s="1"/>
  <c r="D166" i="10" s="1"/>
  <c r="D162" i="10"/>
  <c r="F102" i="2"/>
  <c r="F101" i="2"/>
  <c r="G141" i="3"/>
  <c r="G143" i="3" s="1"/>
  <c r="E143" i="3"/>
  <c r="D178" i="5"/>
  <c r="F157" i="5"/>
  <c r="G157" i="5" s="1"/>
  <c r="D179" i="5"/>
  <c r="F158" i="5"/>
  <c r="G158" i="5" s="1"/>
  <c r="D180" i="5"/>
  <c r="F159" i="5"/>
  <c r="G159" i="5" s="1"/>
  <c r="D181" i="5"/>
  <c r="F160" i="5"/>
  <c r="G160" i="5" s="1"/>
  <c r="D182" i="5"/>
  <c r="F161" i="5"/>
  <c r="G161" i="5" s="1"/>
  <c r="D183" i="5"/>
  <c r="F162" i="5"/>
  <c r="G162" i="5" s="1"/>
  <c r="D185" i="5"/>
  <c r="F164" i="5"/>
  <c r="G164" i="5" s="1"/>
  <c r="D190" i="5"/>
  <c r="F169" i="5"/>
  <c r="G169" i="5" s="1"/>
  <c r="D192" i="5"/>
  <c r="F171" i="5"/>
  <c r="G171" i="5" s="1"/>
  <c r="D193" i="5"/>
  <c r="F172" i="5"/>
  <c r="G172" i="5" s="1"/>
  <c r="D194" i="5"/>
  <c r="F173" i="5"/>
  <c r="G173" i="5" s="1"/>
  <c r="D195" i="5"/>
  <c r="F174" i="5"/>
  <c r="G174" i="5" s="1"/>
  <c r="D184" i="5"/>
  <c r="F163" i="5"/>
  <c r="G163" i="5" s="1"/>
  <c r="D186" i="5"/>
  <c r="F165" i="5"/>
  <c r="G165" i="5" s="1"/>
  <c r="D187" i="5"/>
  <c r="F166" i="5"/>
  <c r="G166" i="5" s="1"/>
  <c r="D188" i="5"/>
  <c r="F167" i="5"/>
  <c r="G167" i="5" s="1"/>
  <c r="D189" i="5"/>
  <c r="F168" i="5"/>
  <c r="G168" i="5" s="1"/>
  <c r="D191" i="5"/>
  <c r="F170" i="5"/>
  <c r="G170" i="5" s="1"/>
  <c r="J100" i="5"/>
  <c r="J99" i="5"/>
  <c r="J104" i="5"/>
  <c r="J103" i="5"/>
  <c r="J102" i="5"/>
  <c r="J101" i="5"/>
  <c r="J98" i="5"/>
  <c r="J97" i="5"/>
  <c r="J96" i="5"/>
  <c r="J95" i="5"/>
  <c r="J94" i="5"/>
  <c r="J93" i="5"/>
  <c r="J92" i="5"/>
  <c r="J91" i="5"/>
  <c r="J90" i="5"/>
  <c r="J89" i="5"/>
  <c r="J88" i="5"/>
  <c r="J87" i="5"/>
  <c r="D79" i="5"/>
  <c r="D45" i="3"/>
  <c r="D83" i="3" s="1"/>
  <c r="D160" i="3"/>
  <c r="D163" i="3" s="1"/>
  <c r="D208" i="3" s="1"/>
  <c r="D302" i="3"/>
  <c r="E292" i="3"/>
  <c r="I127" i="16"/>
  <c r="J127" i="16" s="1"/>
  <c r="C147" i="16" s="1"/>
  <c r="L146" i="16"/>
  <c r="B181" i="16"/>
  <c r="C203" i="16"/>
  <c r="C215" i="16" s="1"/>
  <c r="C216" i="16" s="1"/>
  <c r="I115" i="16"/>
  <c r="D276" i="16"/>
  <c r="F120" i="2"/>
  <c r="F121" i="2" s="1"/>
  <c r="F127" i="2" s="1"/>
  <c r="F132" i="2" s="1"/>
  <c r="F166" i="2" s="1"/>
  <c r="D152" i="12"/>
  <c r="D156" i="12" s="1"/>
  <c r="C155" i="18"/>
  <c r="C44" i="17"/>
  <c r="C283" i="8" l="1"/>
  <c r="C452" i="8"/>
  <c r="D159" i="10"/>
  <c r="D161" i="10"/>
  <c r="E178" i="5"/>
  <c r="I243" i="5"/>
  <c r="K243" i="5" s="1"/>
  <c r="E179" i="5"/>
  <c r="I244" i="5"/>
  <c r="K244" i="5" s="1"/>
  <c r="E180" i="5"/>
  <c r="I245" i="5"/>
  <c r="K245" i="5" s="1"/>
  <c r="E181" i="5"/>
  <c r="I246" i="5"/>
  <c r="K246" i="5" s="1"/>
  <c r="E182" i="5"/>
  <c r="I247" i="5"/>
  <c r="K247" i="5" s="1"/>
  <c r="E183" i="5"/>
  <c r="I248" i="5"/>
  <c r="K248" i="5" s="1"/>
  <c r="E185" i="5"/>
  <c r="I250" i="5"/>
  <c r="K250" i="5" s="1"/>
  <c r="E190" i="5"/>
  <c r="I255" i="5"/>
  <c r="K255" i="5" s="1"/>
  <c r="E192" i="5"/>
  <c r="I257" i="5"/>
  <c r="K257" i="5" s="1"/>
  <c r="E193" i="5"/>
  <c r="I258" i="5"/>
  <c r="K258" i="5" s="1"/>
  <c r="E194" i="5"/>
  <c r="I259" i="5"/>
  <c r="K259" i="5" s="1"/>
  <c r="E195" i="5"/>
  <c r="I260" i="5"/>
  <c r="K260" i="5" s="1"/>
  <c r="E184" i="5"/>
  <c r="I249" i="5"/>
  <c r="K249" i="5" s="1"/>
  <c r="E186" i="5"/>
  <c r="I251" i="5"/>
  <c r="K251" i="5" s="1"/>
  <c r="E187" i="5"/>
  <c r="I252" i="5"/>
  <c r="K252" i="5" s="1"/>
  <c r="E188" i="5"/>
  <c r="I253" i="5"/>
  <c r="K253" i="5" s="1"/>
  <c r="E189" i="5"/>
  <c r="I254" i="5"/>
  <c r="K254" i="5" s="1"/>
  <c r="E191" i="5"/>
  <c r="I256" i="5"/>
  <c r="K256" i="5" s="1"/>
  <c r="K87" i="5"/>
  <c r="K88" i="5"/>
  <c r="K89" i="5"/>
  <c r="K90" i="5"/>
  <c r="K91" i="5"/>
  <c r="K94" i="5"/>
  <c r="K95" i="5"/>
  <c r="K97" i="5"/>
  <c r="K99" i="5"/>
  <c r="K101" i="5"/>
  <c r="K102" i="5"/>
  <c r="K103" i="5"/>
  <c r="K104" i="5"/>
  <c r="M119" i="5"/>
  <c r="D120" i="5"/>
  <c r="M120" i="5"/>
  <c r="D121" i="5"/>
  <c r="M121" i="5"/>
  <c r="D122" i="5"/>
  <c r="M122" i="5"/>
  <c r="D123" i="5"/>
  <c r="D124" i="5"/>
  <c r="D125" i="5"/>
  <c r="D126" i="5"/>
  <c r="D127" i="5"/>
  <c r="D128" i="5"/>
  <c r="D129" i="5"/>
  <c r="D130" i="5"/>
  <c r="D131" i="5"/>
  <c r="D132" i="5"/>
  <c r="D133" i="5"/>
  <c r="D134" i="5"/>
  <c r="D135" i="5"/>
  <c r="D136" i="5"/>
  <c r="D137" i="5"/>
  <c r="K92" i="5"/>
  <c r="K93" i="5"/>
  <c r="K96" i="5"/>
  <c r="K98" i="5"/>
  <c r="K100" i="5"/>
  <c r="D87" i="3"/>
  <c r="E296" i="3"/>
  <c r="D299" i="3" s="1"/>
  <c r="D303" i="3" s="1"/>
  <c r="D304" i="3" s="1"/>
  <c r="J286" i="16"/>
  <c r="K286" i="16" s="1"/>
  <c r="C301" i="16" s="1"/>
  <c r="J282" i="16"/>
  <c r="K282" i="16" s="1"/>
  <c r="C297" i="16" s="1"/>
  <c r="N147" i="16"/>
  <c r="J283" i="16"/>
  <c r="K283" i="16" s="1"/>
  <c r="C298" i="16" s="1"/>
  <c r="J277" i="16"/>
  <c r="K277" i="16" s="1"/>
  <c r="C292" i="16" s="1"/>
  <c r="J284" i="16"/>
  <c r="K284" i="16" s="1"/>
  <c r="C299" i="16" s="1"/>
  <c r="J281" i="16"/>
  <c r="K281" i="16" s="1"/>
  <c r="C296" i="16" s="1"/>
  <c r="J280" i="16"/>
  <c r="K280" i="16" s="1"/>
  <c r="C295" i="16" s="1"/>
  <c r="J278" i="16"/>
  <c r="K278" i="16" s="1"/>
  <c r="C293" i="16" s="1"/>
  <c r="J279" i="16"/>
  <c r="K279" i="16" s="1"/>
  <c r="C294" i="16" s="1"/>
  <c r="J287" i="16"/>
  <c r="K287" i="16" s="1"/>
  <c r="C302" i="16" s="1"/>
  <c r="N146" i="16"/>
  <c r="J285" i="16"/>
  <c r="K285" i="16" s="1"/>
  <c r="C300" i="16" s="1"/>
  <c r="H273" i="16"/>
  <c r="B182" i="16"/>
  <c r="B185" i="16" s="1"/>
  <c r="B197" i="16" s="1"/>
  <c r="F215" i="16" s="1"/>
  <c r="D185" i="16"/>
  <c r="B221" i="16"/>
  <c r="B222" i="16" s="1"/>
  <c r="J115" i="16"/>
  <c r="I159" i="16"/>
  <c r="E276" i="16"/>
  <c r="B291" i="16" s="1"/>
  <c r="J276" i="16"/>
  <c r="K276" i="16" s="1"/>
  <c r="C291" i="16" s="1"/>
  <c r="D10" i="7"/>
  <c r="F170" i="2"/>
  <c r="F171" i="2" s="1"/>
  <c r="F186" i="2"/>
  <c r="D146" i="3"/>
  <c r="D149" i="3" s="1"/>
  <c r="E283" i="8" l="1"/>
  <c r="E452" i="8"/>
  <c r="F243" i="5"/>
  <c r="H178" i="5"/>
  <c r="E243" i="5"/>
  <c r="H243" i="5" s="1"/>
  <c r="L243" i="5" s="1"/>
  <c r="D274" i="5"/>
  <c r="D15" i="7" s="1"/>
  <c r="D290" i="5"/>
  <c r="D291" i="5"/>
  <c r="D292" i="5"/>
  <c r="D293" i="5"/>
  <c r="D294" i="5"/>
  <c r="D295" i="5"/>
  <c r="D296" i="5"/>
  <c r="D297" i="5"/>
  <c r="D298" i="5"/>
  <c r="D299" i="5"/>
  <c r="D300" i="5"/>
  <c r="D301" i="5"/>
  <c r="D302" i="5"/>
  <c r="D303" i="5"/>
  <c r="D304" i="5"/>
  <c r="D305" i="5"/>
  <c r="D306" i="5"/>
  <c r="D307" i="5"/>
  <c r="F244" i="5"/>
  <c r="H179" i="5"/>
  <c r="E244" i="5"/>
  <c r="H244" i="5" s="1"/>
  <c r="L244" i="5" s="1"/>
  <c r="F245" i="5"/>
  <c r="H180" i="5"/>
  <c r="E245" i="5"/>
  <c r="H245" i="5" s="1"/>
  <c r="L245" i="5" s="1"/>
  <c r="F246" i="5"/>
  <c r="H181" i="5"/>
  <c r="E246" i="5"/>
  <c r="H246" i="5" s="1"/>
  <c r="L246" i="5" s="1"/>
  <c r="F247" i="5"/>
  <c r="H182" i="5"/>
  <c r="E247" i="5"/>
  <c r="H247" i="5" s="1"/>
  <c r="L247" i="5" s="1"/>
  <c r="F248" i="5"/>
  <c r="H183" i="5"/>
  <c r="E248" i="5"/>
  <c r="H248" i="5" s="1"/>
  <c r="L248" i="5" s="1"/>
  <c r="F250" i="5"/>
  <c r="H185" i="5"/>
  <c r="E250" i="5"/>
  <c r="H250" i="5" s="1"/>
  <c r="L250" i="5" s="1"/>
  <c r="F255" i="5"/>
  <c r="H190" i="5"/>
  <c r="E255" i="5"/>
  <c r="H255" i="5" s="1"/>
  <c r="L255" i="5" s="1"/>
  <c r="F257" i="5"/>
  <c r="H192" i="5"/>
  <c r="E257" i="5"/>
  <c r="H257" i="5" s="1"/>
  <c r="L257" i="5" s="1"/>
  <c r="F258" i="5"/>
  <c r="H193" i="5"/>
  <c r="E258" i="5"/>
  <c r="H258" i="5" s="1"/>
  <c r="L258" i="5" s="1"/>
  <c r="F259" i="5"/>
  <c r="H194" i="5"/>
  <c r="E259" i="5"/>
  <c r="H259" i="5" s="1"/>
  <c r="L259" i="5" s="1"/>
  <c r="F260" i="5"/>
  <c r="H195" i="5"/>
  <c r="E260" i="5"/>
  <c r="H260" i="5" s="1"/>
  <c r="L260" i="5" s="1"/>
  <c r="F249" i="5"/>
  <c r="H184" i="5"/>
  <c r="E249" i="5"/>
  <c r="H249" i="5" s="1"/>
  <c r="L249" i="5" s="1"/>
  <c r="F251" i="5"/>
  <c r="H186" i="5"/>
  <c r="E251" i="5"/>
  <c r="H251" i="5" s="1"/>
  <c r="L251" i="5" s="1"/>
  <c r="F252" i="5"/>
  <c r="H187" i="5"/>
  <c r="E252" i="5"/>
  <c r="H252" i="5" s="1"/>
  <c r="L252" i="5" s="1"/>
  <c r="F253" i="5"/>
  <c r="H188" i="5"/>
  <c r="E253" i="5"/>
  <c r="H253" i="5" s="1"/>
  <c r="L253" i="5" s="1"/>
  <c r="F254" i="5"/>
  <c r="H189" i="5"/>
  <c r="E254" i="5"/>
  <c r="H254" i="5" s="1"/>
  <c r="L254" i="5" s="1"/>
  <c r="F256" i="5"/>
  <c r="H191" i="5"/>
  <c r="E256" i="5"/>
  <c r="H256" i="5" s="1"/>
  <c r="L256" i="5" s="1"/>
  <c r="L134" i="16"/>
  <c r="C148" i="16"/>
  <c r="G178" i="2"/>
  <c r="D210" i="5"/>
  <c r="D214" i="5" s="1"/>
  <c r="D21" i="7"/>
  <c r="D39" i="7" s="1"/>
  <c r="D47" i="7" s="1"/>
  <c r="D237" i="3"/>
  <c r="D246" i="3" s="1"/>
  <c r="E254" i="3" s="1"/>
  <c r="G243" i="5" l="1"/>
  <c r="F290" i="5" s="1"/>
  <c r="D41" i="8"/>
  <c r="H290" i="5"/>
  <c r="D193" i="7"/>
  <c r="D194" i="7" s="1"/>
  <c r="D187" i="7"/>
  <c r="D188" i="7" s="1"/>
  <c r="H188" i="7" s="1"/>
  <c r="F209" i="7"/>
  <c r="G209" i="7" s="1"/>
  <c r="H209" i="7" s="1"/>
  <c r="I209" i="7" s="1"/>
  <c r="K209" i="7" s="1"/>
  <c r="F210" i="7"/>
  <c r="G210" i="7" s="1"/>
  <c r="H210" i="7" s="1"/>
  <c r="I210" i="7" s="1"/>
  <c r="K210" i="7" s="1"/>
  <c r="F211" i="7"/>
  <c r="G211" i="7" s="1"/>
  <c r="H211" i="7" s="1"/>
  <c r="I211" i="7" s="1"/>
  <c r="K211" i="7" s="1"/>
  <c r="F212" i="7"/>
  <c r="G212" i="7" s="1"/>
  <c r="H212" i="7" s="1"/>
  <c r="I212" i="7" s="1"/>
  <c r="K212" i="7" s="1"/>
  <c r="F213" i="7"/>
  <c r="G213" i="7" s="1"/>
  <c r="H213" i="7" s="1"/>
  <c r="I213" i="7" s="1"/>
  <c r="K213" i="7" s="1"/>
  <c r="F214" i="7"/>
  <c r="G214" i="7" s="1"/>
  <c r="H214" i="7" s="1"/>
  <c r="I214" i="7" s="1"/>
  <c r="K214" i="7" s="1"/>
  <c r="F215" i="7"/>
  <c r="G215" i="7" s="1"/>
  <c r="H215" i="7" s="1"/>
  <c r="I215" i="7" s="1"/>
  <c r="K215" i="7" s="1"/>
  <c r="F216" i="7"/>
  <c r="G216" i="7" s="1"/>
  <c r="H216" i="7" s="1"/>
  <c r="I216" i="7" s="1"/>
  <c r="K216" i="7" s="1"/>
  <c r="F217" i="7"/>
  <c r="G217" i="7" s="1"/>
  <c r="H217" i="7" s="1"/>
  <c r="I217" i="7" s="1"/>
  <c r="K217" i="7" s="1"/>
  <c r="F218" i="7"/>
  <c r="G218" i="7" s="1"/>
  <c r="H218" i="7" s="1"/>
  <c r="I218" i="7" s="1"/>
  <c r="K218" i="7" s="1"/>
  <c r="F219" i="7"/>
  <c r="G219" i="7" s="1"/>
  <c r="H219" i="7" s="1"/>
  <c r="I219" i="7" s="1"/>
  <c r="K219" i="7" s="1"/>
  <c r="F220" i="7"/>
  <c r="G220" i="7" s="1"/>
  <c r="H220" i="7" s="1"/>
  <c r="I220" i="7" s="1"/>
  <c r="K220" i="7" s="1"/>
  <c r="F221" i="7"/>
  <c r="G221" i="7" s="1"/>
  <c r="H221" i="7" s="1"/>
  <c r="I221" i="7" s="1"/>
  <c r="K221" i="7" s="1"/>
  <c r="F248" i="7"/>
  <c r="G248" i="7" s="1"/>
  <c r="H248" i="7" s="1"/>
  <c r="I248" i="7" s="1"/>
  <c r="K248" i="7" s="1"/>
  <c r="F245" i="7"/>
  <c r="G245" i="7" s="1"/>
  <c r="H245" i="7" s="1"/>
  <c r="I245" i="7" s="1"/>
  <c r="K245" i="7" s="1"/>
  <c r="F246" i="7"/>
  <c r="G246" i="7" s="1"/>
  <c r="H246" i="7" s="1"/>
  <c r="I246" i="7" s="1"/>
  <c r="K246" i="7" s="1"/>
  <c r="F222" i="7"/>
  <c r="G222" i="7" s="1"/>
  <c r="H222" i="7" s="1"/>
  <c r="I222" i="7" s="1"/>
  <c r="K222" i="7" s="1"/>
  <c r="F223" i="7"/>
  <c r="G223" i="7" s="1"/>
  <c r="H223" i="7" s="1"/>
  <c r="I223" i="7" s="1"/>
  <c r="K223" i="7" s="1"/>
  <c r="F233" i="7"/>
  <c r="G233" i="7" s="1"/>
  <c r="H233" i="7" s="1"/>
  <c r="I233" i="7" s="1"/>
  <c r="K233" i="7" s="1"/>
  <c r="F236" i="7"/>
  <c r="G236" i="7" s="1"/>
  <c r="H236" i="7" s="1"/>
  <c r="I236" i="7" s="1"/>
  <c r="K236" i="7" s="1"/>
  <c r="F239" i="7"/>
  <c r="G239" i="7" s="1"/>
  <c r="H239" i="7" s="1"/>
  <c r="I239" i="7" s="1"/>
  <c r="K239" i="7" s="1"/>
  <c r="F243" i="7"/>
  <c r="G243" i="7" s="1"/>
  <c r="H243" i="7" s="1"/>
  <c r="I243" i="7" s="1"/>
  <c r="K243" i="7" s="1"/>
  <c r="C136" i="8"/>
  <c r="C138" i="8"/>
  <c r="F234" i="7"/>
  <c r="G234" i="7" s="1"/>
  <c r="H234" i="7" s="1"/>
  <c r="I234" i="7" s="1"/>
  <c r="K234" i="7" s="1"/>
  <c r="F235" i="7"/>
  <c r="G235" i="7" s="1"/>
  <c r="H235" i="7" s="1"/>
  <c r="I235" i="7" s="1"/>
  <c r="K235" i="7" s="1"/>
  <c r="F237" i="7"/>
  <c r="G237" i="7" s="1"/>
  <c r="H237" i="7" s="1"/>
  <c r="I237" i="7" s="1"/>
  <c r="K237" i="7" s="1"/>
  <c r="F238" i="7"/>
  <c r="G238" i="7" s="1"/>
  <c r="H238" i="7" s="1"/>
  <c r="I238" i="7" s="1"/>
  <c r="K238" i="7" s="1"/>
  <c r="F240" i="7"/>
  <c r="G240" i="7" s="1"/>
  <c r="H240" i="7" s="1"/>
  <c r="I240" i="7" s="1"/>
  <c r="K240" i="7" s="1"/>
  <c r="F241" i="7"/>
  <c r="G241" i="7" s="1"/>
  <c r="H241" i="7" s="1"/>
  <c r="I241" i="7" s="1"/>
  <c r="K241" i="7" s="1"/>
  <c r="F242" i="7"/>
  <c r="G242" i="7" s="1"/>
  <c r="H242" i="7" s="1"/>
  <c r="I242" i="7" s="1"/>
  <c r="K242" i="7" s="1"/>
  <c r="F244" i="7"/>
  <c r="G244" i="7" s="1"/>
  <c r="H244" i="7" s="1"/>
  <c r="I244" i="7" s="1"/>
  <c r="K244" i="7" s="1"/>
  <c r="B5" i="9"/>
  <c r="G244" i="5"/>
  <c r="F291" i="5" s="1"/>
  <c r="H291" i="5"/>
  <c r="G245" i="5"/>
  <c r="F292" i="5" s="1"/>
  <c r="H292" i="5"/>
  <c r="G246" i="5"/>
  <c r="F293" i="5" s="1"/>
  <c r="H293" i="5"/>
  <c r="G247" i="5"/>
  <c r="F294" i="5" s="1"/>
  <c r="H294" i="5"/>
  <c r="G248" i="5"/>
  <c r="F295" i="5" s="1"/>
  <c r="H295" i="5"/>
  <c r="G250" i="5"/>
  <c r="F297" i="5" s="1"/>
  <c r="H297" i="5"/>
  <c r="G255" i="5"/>
  <c r="F302" i="5" s="1"/>
  <c r="H302" i="5"/>
  <c r="G257" i="5"/>
  <c r="F304" i="5" s="1"/>
  <c r="H304" i="5"/>
  <c r="G258" i="5"/>
  <c r="F305" i="5" s="1"/>
  <c r="H305" i="5"/>
  <c r="G259" i="5"/>
  <c r="F306" i="5" s="1"/>
  <c r="H306" i="5"/>
  <c r="G260" i="5"/>
  <c r="F307" i="5" s="1"/>
  <c r="H307" i="5"/>
  <c r="G249" i="5"/>
  <c r="F296" i="5" s="1"/>
  <c r="H296" i="5"/>
  <c r="G251" i="5"/>
  <c r="F298" i="5" s="1"/>
  <c r="H298" i="5"/>
  <c r="G252" i="5"/>
  <c r="F299" i="5" s="1"/>
  <c r="H299" i="5"/>
  <c r="G253" i="5"/>
  <c r="F300" i="5" s="1"/>
  <c r="H300" i="5"/>
  <c r="G254" i="5"/>
  <c r="F301" i="5" s="1"/>
  <c r="H301" i="5"/>
  <c r="G256" i="5"/>
  <c r="F303" i="5" s="1"/>
  <c r="H303" i="5"/>
  <c r="F183" i="2"/>
  <c r="D318" i="5"/>
  <c r="D315" i="5" s="1"/>
  <c r="D24" i="7"/>
  <c r="D42" i="7" s="1"/>
  <c r="D49" i="7" s="1"/>
  <c r="E290" i="5"/>
  <c r="E291" i="5"/>
  <c r="E292" i="5"/>
  <c r="E293" i="5"/>
  <c r="E294" i="5"/>
  <c r="E295" i="5"/>
  <c r="E296" i="5"/>
  <c r="G296" i="5" s="1"/>
  <c r="E297" i="5"/>
  <c r="G297" i="5" s="1"/>
  <c r="E298" i="5"/>
  <c r="G298" i="5" s="1"/>
  <c r="E299" i="5"/>
  <c r="G299" i="5" s="1"/>
  <c r="E300" i="5"/>
  <c r="G300" i="5" s="1"/>
  <c r="E301" i="5"/>
  <c r="G301" i="5" s="1"/>
  <c r="E302" i="5"/>
  <c r="G302" i="5" s="1"/>
  <c r="E303" i="5"/>
  <c r="G303" i="5" s="1"/>
  <c r="E304" i="5"/>
  <c r="G304" i="5" s="1"/>
  <c r="E305" i="5"/>
  <c r="G305" i="5" s="1"/>
  <c r="E306" i="5"/>
  <c r="G306" i="5" s="1"/>
  <c r="E307" i="5"/>
  <c r="G307" i="5" s="1"/>
  <c r="E56" i="7"/>
  <c r="E57" i="7"/>
  <c r="E58" i="7"/>
  <c r="E59" i="7"/>
  <c r="E66" i="7"/>
  <c r="E65" i="7"/>
  <c r="E60" i="7"/>
  <c r="E61" i="7"/>
  <c r="E62" i="7"/>
  <c r="E63" i="7"/>
  <c r="E64" i="7"/>
  <c r="D306" i="3"/>
  <c r="D319" i="3" s="1"/>
  <c r="E333" i="3" s="1"/>
  <c r="E340" i="3" s="1"/>
  <c r="E255" i="3"/>
  <c r="D310" i="3"/>
  <c r="C44" i="8" l="1"/>
  <c r="F297" i="8"/>
  <c r="C300" i="8" s="1"/>
  <c r="C307" i="8" s="1"/>
  <c r="H350" i="8"/>
  <c r="H354" i="8" s="1"/>
  <c r="D247" i="7"/>
  <c r="H194" i="7"/>
  <c r="C144" i="8"/>
  <c r="G120" i="8" s="1"/>
  <c r="C150" i="8"/>
  <c r="G121" i="8" s="1"/>
  <c r="G122" i="8"/>
  <c r="C166" i="8"/>
  <c r="G125" i="8" s="1"/>
  <c r="C170" i="8"/>
  <c r="G126" i="8" s="1"/>
  <c r="C174" i="8"/>
  <c r="G127" i="8" s="1"/>
  <c r="G5" i="9"/>
  <c r="C48" i="9"/>
  <c r="J48" i="9"/>
  <c r="C49" i="9"/>
  <c r="J49" i="9"/>
  <c r="C50" i="9"/>
  <c r="J50" i="9"/>
  <c r="C51" i="9"/>
  <c r="J51" i="9"/>
  <c r="C52" i="9"/>
  <c r="J52" i="9"/>
  <c r="C53" i="9"/>
  <c r="J53" i="9"/>
  <c r="C54" i="9"/>
  <c r="J54" i="9"/>
  <c r="C55" i="9"/>
  <c r="J55" i="9"/>
  <c r="C56" i="9"/>
  <c r="J56" i="9"/>
  <c r="I5" i="9"/>
  <c r="B6" i="9"/>
  <c r="B111" i="9"/>
  <c r="B113" i="9" s="1"/>
  <c r="B114" i="9" s="1"/>
  <c r="F125" i="9"/>
  <c r="G125" i="9" s="1"/>
  <c r="F126" i="9"/>
  <c r="G126" i="9" s="1"/>
  <c r="F127" i="9"/>
  <c r="G127" i="9" s="1"/>
  <c r="F128" i="9"/>
  <c r="G128" i="9" s="1"/>
  <c r="F129" i="9"/>
  <c r="G129" i="9" s="1"/>
  <c r="F130" i="9"/>
  <c r="G130" i="9" s="1"/>
  <c r="F131" i="9"/>
  <c r="G131" i="9" s="1"/>
  <c r="F132" i="9"/>
  <c r="G132" i="9" s="1"/>
  <c r="F133" i="9"/>
  <c r="G133" i="9" s="1"/>
  <c r="F205" i="2"/>
  <c r="F207" i="2" s="1"/>
  <c r="F184" i="2"/>
  <c r="F226" i="2" s="1"/>
  <c r="F232" i="2" s="1"/>
  <c r="F227" i="2"/>
  <c r="D316" i="5"/>
  <c r="D350" i="5" s="1"/>
  <c r="D351" i="5" s="1"/>
  <c r="D344" i="5"/>
  <c r="F56" i="7"/>
  <c r="F57" i="7"/>
  <c r="F65" i="7"/>
  <c r="F59" i="7"/>
  <c r="F60" i="7"/>
  <c r="F61" i="7"/>
  <c r="F62" i="7"/>
  <c r="F63" i="7"/>
  <c r="F64" i="7"/>
  <c r="F66" i="7"/>
  <c r="F58" i="7"/>
  <c r="D311" i="3"/>
  <c r="D305" i="3"/>
  <c r="D318" i="3" s="1"/>
  <c r="E332" i="3" s="1"/>
  <c r="E339" i="3" s="1"/>
  <c r="G290" i="5"/>
  <c r="G291" i="5"/>
  <c r="G292" i="5"/>
  <c r="G293" i="5"/>
  <c r="G294" i="5"/>
  <c r="G295" i="5"/>
  <c r="D65" i="8" l="1"/>
  <c r="C59" i="8"/>
  <c r="E247" i="7"/>
  <c r="C247" i="7"/>
  <c r="G48" i="9"/>
  <c r="P48" i="9" s="1"/>
  <c r="N48" i="9"/>
  <c r="E48" i="9"/>
  <c r="O48" i="9" s="1"/>
  <c r="S48" i="9" s="1"/>
  <c r="Y119" i="9"/>
  <c r="X119" i="9"/>
  <c r="W119" i="9"/>
  <c r="V119" i="9"/>
  <c r="U119" i="9"/>
  <c r="T119" i="9"/>
  <c r="S119" i="9"/>
  <c r="R119" i="9"/>
  <c r="Q119" i="9"/>
  <c r="P119" i="9"/>
  <c r="O119" i="9"/>
  <c r="X107" i="9"/>
  <c r="W107" i="9"/>
  <c r="V107" i="9"/>
  <c r="U107" i="9"/>
  <c r="T107" i="9"/>
  <c r="S107" i="9"/>
  <c r="R107" i="9"/>
  <c r="Q107" i="9"/>
  <c r="P107" i="9"/>
  <c r="O107" i="9"/>
  <c r="Y94" i="9"/>
  <c r="X94" i="9"/>
  <c r="W94" i="9"/>
  <c r="V94" i="9"/>
  <c r="U94" i="9"/>
  <c r="T94" i="9"/>
  <c r="S94" i="9"/>
  <c r="R94" i="9"/>
  <c r="Q94" i="9"/>
  <c r="P94" i="9"/>
  <c r="O94" i="9"/>
  <c r="X82" i="9"/>
  <c r="W82" i="9"/>
  <c r="V82" i="9"/>
  <c r="U82" i="9"/>
  <c r="T82" i="9"/>
  <c r="S82" i="9"/>
  <c r="R82" i="9"/>
  <c r="Q82" i="9"/>
  <c r="P82" i="9"/>
  <c r="O82" i="9"/>
  <c r="Q48" i="9"/>
  <c r="G49" i="9"/>
  <c r="P49" i="9" s="1"/>
  <c r="N49" i="9"/>
  <c r="E49" i="9"/>
  <c r="O49" i="9" s="1"/>
  <c r="S49" i="9" s="1"/>
  <c r="Y120" i="9"/>
  <c r="X120" i="9"/>
  <c r="W120" i="9"/>
  <c r="V120" i="9"/>
  <c r="U120" i="9"/>
  <c r="T120" i="9"/>
  <c r="S120" i="9"/>
  <c r="R120" i="9"/>
  <c r="Q120" i="9"/>
  <c r="P120" i="9"/>
  <c r="O120" i="9"/>
  <c r="X108" i="9"/>
  <c r="W108" i="9"/>
  <c r="V108" i="9"/>
  <c r="U108" i="9"/>
  <c r="T108" i="9"/>
  <c r="S108" i="9"/>
  <c r="R108" i="9"/>
  <c r="Q108" i="9"/>
  <c r="P108" i="9"/>
  <c r="O108" i="9"/>
  <c r="Y95" i="9"/>
  <c r="X95" i="9"/>
  <c r="W95" i="9"/>
  <c r="V95" i="9"/>
  <c r="U95" i="9"/>
  <c r="T95" i="9"/>
  <c r="S95" i="9"/>
  <c r="R95" i="9"/>
  <c r="Q95" i="9"/>
  <c r="P95" i="9"/>
  <c r="O95" i="9"/>
  <c r="X83" i="9"/>
  <c r="W83" i="9"/>
  <c r="V83" i="9"/>
  <c r="U83" i="9"/>
  <c r="T83" i="9"/>
  <c r="S83" i="9"/>
  <c r="R83" i="9"/>
  <c r="Q83" i="9"/>
  <c r="P83" i="9"/>
  <c r="O83" i="9"/>
  <c r="Q49" i="9"/>
  <c r="G50" i="9"/>
  <c r="P50" i="9" s="1"/>
  <c r="N50" i="9"/>
  <c r="R50" i="9" s="1"/>
  <c r="E50" i="9"/>
  <c r="O50" i="9" s="1"/>
  <c r="S50" i="9" s="1"/>
  <c r="Y121" i="9"/>
  <c r="X121" i="9"/>
  <c r="W121" i="9"/>
  <c r="V121" i="9"/>
  <c r="U121" i="9"/>
  <c r="T121" i="9"/>
  <c r="S121" i="9"/>
  <c r="R121" i="9"/>
  <c r="Q121" i="9"/>
  <c r="P121" i="9"/>
  <c r="O121" i="9"/>
  <c r="X109" i="9"/>
  <c r="W109" i="9"/>
  <c r="V109" i="9"/>
  <c r="U109" i="9"/>
  <c r="T109" i="9"/>
  <c r="S109" i="9"/>
  <c r="R109" i="9"/>
  <c r="Q109" i="9"/>
  <c r="P109" i="9"/>
  <c r="O109" i="9"/>
  <c r="Y96" i="9"/>
  <c r="X96" i="9"/>
  <c r="W96" i="9"/>
  <c r="V96" i="9"/>
  <c r="U96" i="9"/>
  <c r="T96" i="9"/>
  <c r="S96" i="9"/>
  <c r="R96" i="9"/>
  <c r="Q96" i="9"/>
  <c r="P96" i="9"/>
  <c r="O96" i="9"/>
  <c r="X84" i="9"/>
  <c r="W84" i="9"/>
  <c r="V84" i="9"/>
  <c r="U84" i="9"/>
  <c r="T84" i="9"/>
  <c r="S84" i="9"/>
  <c r="R84" i="9"/>
  <c r="Q84" i="9"/>
  <c r="P84" i="9"/>
  <c r="O84" i="9"/>
  <c r="Q50" i="9"/>
  <c r="G51" i="9"/>
  <c r="P51" i="9" s="1"/>
  <c r="N51" i="9"/>
  <c r="E51" i="9"/>
  <c r="O51" i="9" s="1"/>
  <c r="S51" i="9" s="1"/>
  <c r="Y122" i="9"/>
  <c r="X122" i="9"/>
  <c r="W122" i="9"/>
  <c r="V122" i="9"/>
  <c r="U122" i="9"/>
  <c r="T122" i="9"/>
  <c r="S122" i="9"/>
  <c r="R122" i="9"/>
  <c r="Q122" i="9"/>
  <c r="P122" i="9"/>
  <c r="O122" i="9"/>
  <c r="X110" i="9"/>
  <c r="W110" i="9"/>
  <c r="V110" i="9"/>
  <c r="U110" i="9"/>
  <c r="T110" i="9"/>
  <c r="S110" i="9"/>
  <c r="R110" i="9"/>
  <c r="Q110" i="9"/>
  <c r="P110" i="9"/>
  <c r="O110" i="9"/>
  <c r="Y97" i="9"/>
  <c r="X97" i="9"/>
  <c r="W97" i="9"/>
  <c r="V97" i="9"/>
  <c r="U97" i="9"/>
  <c r="T97" i="9"/>
  <c r="S97" i="9"/>
  <c r="R97" i="9"/>
  <c r="Q97" i="9"/>
  <c r="P97" i="9"/>
  <c r="O97" i="9"/>
  <c r="X85" i="9"/>
  <c r="W85" i="9"/>
  <c r="V85" i="9"/>
  <c r="U85" i="9"/>
  <c r="T85" i="9"/>
  <c r="S85" i="9"/>
  <c r="R85" i="9"/>
  <c r="Q85" i="9"/>
  <c r="P85" i="9"/>
  <c r="O85" i="9"/>
  <c r="Q51" i="9"/>
  <c r="G52" i="9"/>
  <c r="P52" i="9" s="1"/>
  <c r="N52" i="9"/>
  <c r="E52" i="9"/>
  <c r="O52" i="9" s="1"/>
  <c r="S52" i="9" s="1"/>
  <c r="Y123" i="9"/>
  <c r="X123" i="9"/>
  <c r="W123" i="9"/>
  <c r="V123" i="9"/>
  <c r="U123" i="9"/>
  <c r="T123" i="9"/>
  <c r="S123" i="9"/>
  <c r="R123" i="9"/>
  <c r="Q123" i="9"/>
  <c r="P123" i="9"/>
  <c r="O123" i="9"/>
  <c r="X111" i="9"/>
  <c r="W111" i="9"/>
  <c r="V111" i="9"/>
  <c r="U111" i="9"/>
  <c r="T111" i="9"/>
  <c r="S111" i="9"/>
  <c r="R111" i="9"/>
  <c r="Q111" i="9"/>
  <c r="P111" i="9"/>
  <c r="O111" i="9"/>
  <c r="Y98" i="9"/>
  <c r="X98" i="9"/>
  <c r="W98" i="9"/>
  <c r="V98" i="9"/>
  <c r="U98" i="9"/>
  <c r="T98" i="9"/>
  <c r="S98" i="9"/>
  <c r="R98" i="9"/>
  <c r="Q98" i="9"/>
  <c r="P98" i="9"/>
  <c r="O98" i="9"/>
  <c r="X86" i="9"/>
  <c r="W86" i="9"/>
  <c r="V86" i="9"/>
  <c r="U86" i="9"/>
  <c r="T86" i="9"/>
  <c r="S86" i="9"/>
  <c r="R86" i="9"/>
  <c r="Q86" i="9"/>
  <c r="P86" i="9"/>
  <c r="O86" i="9"/>
  <c r="Q52" i="9"/>
  <c r="G53" i="9"/>
  <c r="P53" i="9" s="1"/>
  <c r="N53" i="9"/>
  <c r="E53" i="9"/>
  <c r="O53" i="9" s="1"/>
  <c r="S53" i="9" s="1"/>
  <c r="Y124" i="9"/>
  <c r="X124" i="9"/>
  <c r="W124" i="9"/>
  <c r="V124" i="9"/>
  <c r="U124" i="9"/>
  <c r="T124" i="9"/>
  <c r="S124" i="9"/>
  <c r="R124" i="9"/>
  <c r="Q124" i="9"/>
  <c r="P124" i="9"/>
  <c r="O124" i="9"/>
  <c r="X112" i="9"/>
  <c r="W112" i="9"/>
  <c r="V112" i="9"/>
  <c r="U112" i="9"/>
  <c r="T112" i="9"/>
  <c r="S112" i="9"/>
  <c r="R112" i="9"/>
  <c r="Q112" i="9"/>
  <c r="P112" i="9"/>
  <c r="O112" i="9"/>
  <c r="Y99" i="9"/>
  <c r="X99" i="9"/>
  <c r="W99" i="9"/>
  <c r="V99" i="9"/>
  <c r="U99" i="9"/>
  <c r="T99" i="9"/>
  <c r="S99" i="9"/>
  <c r="R99" i="9"/>
  <c r="Q99" i="9"/>
  <c r="P99" i="9"/>
  <c r="O99" i="9"/>
  <c r="X87" i="9"/>
  <c r="W87" i="9"/>
  <c r="V87" i="9"/>
  <c r="U87" i="9"/>
  <c r="T87" i="9"/>
  <c r="S87" i="9"/>
  <c r="R87" i="9"/>
  <c r="Q87" i="9"/>
  <c r="P87" i="9"/>
  <c r="O87" i="9"/>
  <c r="Q53" i="9"/>
  <c r="G54" i="9"/>
  <c r="P54" i="9" s="1"/>
  <c r="N54" i="9"/>
  <c r="E54" i="9"/>
  <c r="O54" i="9" s="1"/>
  <c r="S54" i="9" s="1"/>
  <c r="Y125" i="9"/>
  <c r="X125" i="9"/>
  <c r="W125" i="9"/>
  <c r="V125" i="9"/>
  <c r="U125" i="9"/>
  <c r="T125" i="9"/>
  <c r="S125" i="9"/>
  <c r="R125" i="9"/>
  <c r="Q125" i="9"/>
  <c r="P125" i="9"/>
  <c r="O125" i="9"/>
  <c r="X113" i="9"/>
  <c r="W113" i="9"/>
  <c r="V113" i="9"/>
  <c r="U113" i="9"/>
  <c r="T113" i="9"/>
  <c r="S113" i="9"/>
  <c r="R113" i="9"/>
  <c r="Q113" i="9"/>
  <c r="P113" i="9"/>
  <c r="O113" i="9"/>
  <c r="Y100" i="9"/>
  <c r="X100" i="9"/>
  <c r="W100" i="9"/>
  <c r="V100" i="9"/>
  <c r="U100" i="9"/>
  <c r="T100" i="9"/>
  <c r="S100" i="9"/>
  <c r="R100" i="9"/>
  <c r="Q100" i="9"/>
  <c r="P100" i="9"/>
  <c r="O100" i="9"/>
  <c r="X88" i="9"/>
  <c r="W88" i="9"/>
  <c r="V88" i="9"/>
  <c r="U88" i="9"/>
  <c r="T88" i="9"/>
  <c r="S88" i="9"/>
  <c r="R88" i="9"/>
  <c r="Q88" i="9"/>
  <c r="P88" i="9"/>
  <c r="O88" i="9"/>
  <c r="Q54" i="9"/>
  <c r="G55" i="9"/>
  <c r="P55" i="9" s="1"/>
  <c r="N55" i="9"/>
  <c r="E55" i="9"/>
  <c r="O55" i="9" s="1"/>
  <c r="S55" i="9" s="1"/>
  <c r="Y126" i="9"/>
  <c r="X126" i="9"/>
  <c r="W126" i="9"/>
  <c r="V126" i="9"/>
  <c r="U126" i="9"/>
  <c r="T126" i="9"/>
  <c r="S126" i="9"/>
  <c r="R126" i="9"/>
  <c r="Q126" i="9"/>
  <c r="P126" i="9"/>
  <c r="O126" i="9"/>
  <c r="X114" i="9"/>
  <c r="W114" i="9"/>
  <c r="V114" i="9"/>
  <c r="U114" i="9"/>
  <c r="T114" i="9"/>
  <c r="S114" i="9"/>
  <c r="R114" i="9"/>
  <c r="Q114" i="9"/>
  <c r="P114" i="9"/>
  <c r="O114" i="9"/>
  <c r="Y101" i="9"/>
  <c r="X101" i="9"/>
  <c r="W101" i="9"/>
  <c r="V101" i="9"/>
  <c r="U101" i="9"/>
  <c r="T101" i="9"/>
  <c r="S101" i="9"/>
  <c r="R101" i="9"/>
  <c r="Q101" i="9"/>
  <c r="P101" i="9"/>
  <c r="O101" i="9"/>
  <c r="X89" i="9"/>
  <c r="W89" i="9"/>
  <c r="V89" i="9"/>
  <c r="U89" i="9"/>
  <c r="T89" i="9"/>
  <c r="S89" i="9"/>
  <c r="R89" i="9"/>
  <c r="Q89" i="9"/>
  <c r="P89" i="9"/>
  <c r="O89" i="9"/>
  <c r="Q55" i="9"/>
  <c r="G56" i="9"/>
  <c r="P56" i="9" s="1"/>
  <c r="N56" i="9"/>
  <c r="E56" i="9"/>
  <c r="O56" i="9" s="1"/>
  <c r="S56" i="9" s="1"/>
  <c r="Y127" i="9"/>
  <c r="X127" i="9"/>
  <c r="W127" i="9"/>
  <c r="V127" i="9"/>
  <c r="U127" i="9"/>
  <c r="T127" i="9"/>
  <c r="S127" i="9"/>
  <c r="R127" i="9"/>
  <c r="Q127" i="9"/>
  <c r="P127" i="9"/>
  <c r="O127" i="9"/>
  <c r="X115" i="9"/>
  <c r="W115" i="9"/>
  <c r="V115" i="9"/>
  <c r="U115" i="9"/>
  <c r="T115" i="9"/>
  <c r="S115" i="9"/>
  <c r="R115" i="9"/>
  <c r="Q115" i="9"/>
  <c r="P115" i="9"/>
  <c r="O115" i="9"/>
  <c r="Y102" i="9"/>
  <c r="X102" i="9"/>
  <c r="W102" i="9"/>
  <c r="V102" i="9"/>
  <c r="U102" i="9"/>
  <c r="T102" i="9"/>
  <c r="S102" i="9"/>
  <c r="R102" i="9"/>
  <c r="Q102" i="9"/>
  <c r="P102" i="9"/>
  <c r="O102" i="9"/>
  <c r="X90" i="9"/>
  <c r="W90" i="9"/>
  <c r="V90" i="9"/>
  <c r="U90" i="9"/>
  <c r="T90" i="9"/>
  <c r="S90" i="9"/>
  <c r="R90" i="9"/>
  <c r="Q90" i="9"/>
  <c r="P90" i="9"/>
  <c r="O90" i="9"/>
  <c r="Q56" i="9"/>
  <c r="F113" i="9"/>
  <c r="G113" i="9" s="1"/>
  <c r="H113" i="9" s="1"/>
  <c r="F112" i="9"/>
  <c r="G112" i="9" s="1"/>
  <c r="H112" i="9" s="1"/>
  <c r="F119" i="9"/>
  <c r="G119" i="9" s="1"/>
  <c r="H119" i="9" s="1"/>
  <c r="F118" i="9"/>
  <c r="G118" i="9" s="1"/>
  <c r="H118" i="9" s="1"/>
  <c r="F117" i="9"/>
  <c r="G117" i="9" s="1"/>
  <c r="H117" i="9" s="1"/>
  <c r="F116" i="9"/>
  <c r="G116" i="9" s="1"/>
  <c r="H116" i="9" s="1"/>
  <c r="F115" i="9"/>
  <c r="G115" i="9" s="1"/>
  <c r="H115" i="9" s="1"/>
  <c r="F114" i="9"/>
  <c r="G114" i="9" s="1"/>
  <c r="H114" i="9" s="1"/>
  <c r="F233" i="2"/>
  <c r="G241" i="2"/>
  <c r="D345" i="5"/>
  <c r="F244" i="8" s="1"/>
  <c r="C248" i="8" s="1"/>
  <c r="D359" i="5"/>
  <c r="C60" i="8" l="1"/>
  <c r="C156" i="8"/>
  <c r="F247" i="7"/>
  <c r="G247" i="7" s="1"/>
  <c r="H247" i="7" s="1"/>
  <c r="I247" i="7" s="1"/>
  <c r="K247" i="7" s="1"/>
  <c r="J247" i="7"/>
  <c r="G249" i="2"/>
  <c r="G250" i="2" s="1"/>
  <c r="C16" i="13" s="1"/>
  <c r="G242" i="2"/>
  <c r="D360" i="5"/>
  <c r="D373" i="5"/>
  <c r="R52" i="9"/>
  <c r="R53" i="9"/>
  <c r="R54" i="9"/>
  <c r="R55" i="9"/>
  <c r="R51" i="9"/>
  <c r="R56" i="9"/>
  <c r="R48" i="9"/>
  <c r="R49" i="9"/>
  <c r="C458" i="8" l="1"/>
  <c r="C287" i="8"/>
  <c r="C304" i="8" s="1"/>
  <c r="E307" i="8" s="1"/>
  <c r="F308" i="8" s="1"/>
  <c r="C63" i="8"/>
  <c r="F65" i="8" s="1"/>
  <c r="F66" i="8" s="1"/>
  <c r="D98" i="8"/>
  <c r="E99" i="8" s="1"/>
  <c r="G128" i="8"/>
  <c r="C180" i="8"/>
  <c r="D187" i="8"/>
  <c r="C192" i="8" s="1"/>
  <c r="C197" i="8"/>
  <c r="C198" i="8" s="1"/>
  <c r="C205" i="8"/>
  <c r="C213" i="8"/>
  <c r="C214" i="8" s="1"/>
  <c r="E252" i="8"/>
  <c r="C256" i="8"/>
  <c r="C257" i="8" s="1"/>
  <c r="C263" i="8"/>
  <c r="C323" i="8" s="1"/>
  <c r="C267" i="8"/>
  <c r="C271" i="8"/>
  <c r="E272" i="8" s="1"/>
  <c r="C276" i="8"/>
  <c r="C334" i="8"/>
  <c r="E334" i="8" s="1"/>
  <c r="D338" i="8" s="1"/>
  <c r="D345" i="8"/>
  <c r="C360" i="8"/>
  <c r="C363" i="8"/>
  <c r="C397" i="8"/>
  <c r="D398" i="8" s="1"/>
  <c r="C462" i="8"/>
  <c r="C463" i="8" s="1"/>
  <c r="D473" i="8"/>
  <c r="E474" i="8" s="1"/>
  <c r="G474" i="8" s="1"/>
  <c r="C478" i="8"/>
  <c r="C482" i="8"/>
  <c r="C486" i="8"/>
  <c r="C531" i="8"/>
  <c r="C532" i="8" s="1"/>
  <c r="C535" i="8"/>
  <c r="C536" i="8" s="1"/>
  <c r="C542" i="8"/>
  <c r="C543" i="8" s="1"/>
  <c r="C548" i="8"/>
  <c r="C549" i="8" s="1"/>
  <c r="D555" i="8"/>
  <c r="C562" i="8"/>
  <c r="C563" i="8" s="1"/>
  <c r="C566" i="8" s="1"/>
  <c r="C567" i="8" s="1"/>
  <c r="C577" i="8"/>
  <c r="C582" i="8"/>
  <c r="E584" i="8" s="1"/>
  <c r="C588" i="8"/>
  <c r="C592" i="8"/>
  <c r="C593" i="8" s="1"/>
  <c r="C596" i="8"/>
  <c r="C597" i="8" s="1"/>
  <c r="C601" i="8"/>
  <c r="C613" i="8"/>
  <c r="C614" i="8" s="1"/>
  <c r="C162" i="8"/>
  <c r="G124" i="8" s="1"/>
  <c r="G123" i="8"/>
  <c r="D374" i="5"/>
  <c r="D381" i="5"/>
  <c r="D382" i="5" s="1"/>
  <c r="C502" i="8" l="1"/>
  <c r="D471" i="8"/>
  <c r="E198" i="8"/>
  <c r="G129" i="8"/>
  <c r="J215" i="8"/>
  <c r="C219" i="8"/>
  <c r="J216" i="8" s="1"/>
  <c r="C223" i="8"/>
  <c r="J217" i="8" s="1"/>
  <c r="D228" i="8"/>
  <c r="J218" i="8" s="1"/>
  <c r="C311" i="8"/>
  <c r="C314" i="8"/>
  <c r="D355" i="8"/>
  <c r="D356" i="8" s="1"/>
  <c r="F345" i="8"/>
  <c r="C424" i="8"/>
  <c r="C383" i="8"/>
  <c r="C384" i="8" s="1"/>
  <c r="C377" i="8"/>
  <c r="C378" i="8" s="1"/>
  <c r="C403" i="8"/>
  <c r="C407" i="8"/>
  <c r="C411" i="8"/>
  <c r="C490" i="8"/>
  <c r="D340" i="8"/>
  <c r="C434" i="8" l="1"/>
  <c r="C430" i="8"/>
  <c r="C425" i="8"/>
  <c r="C391" i="8"/>
  <c r="C388" i="8"/>
  <c r="C494" i="8"/>
  <c r="C495" i="8"/>
</calcChain>
</file>

<file path=xl/sharedStrings.xml><?xml version="1.0" encoding="utf-8"?>
<sst xmlns="http://schemas.openxmlformats.org/spreadsheetml/2006/main" count="5578" uniqueCount="2340">
  <si>
    <t>GENERAL ARRANGEMENT</t>
  </si>
  <si>
    <t>Nama  Mahasiswa</t>
  </si>
  <si>
    <t>: Daffa Gabillah Maulana Gapur</t>
  </si>
  <si>
    <t>Dosen</t>
  </si>
  <si>
    <t>DATA KAPAL</t>
  </si>
  <si>
    <t>Tipe Kapal</t>
  </si>
  <si>
    <t>Tanker</t>
  </si>
  <si>
    <t>IMO-N</t>
  </si>
  <si>
    <t>Klasifikasi</t>
  </si>
  <si>
    <t>Panjang (Lpp)</t>
  </si>
  <si>
    <t>=</t>
  </si>
  <si>
    <t>m</t>
  </si>
  <si>
    <t>Lebar (B)</t>
  </si>
  <si>
    <t>Tinggi Geladak (H)</t>
  </si>
  <si>
    <t>Sarat Air (T)</t>
  </si>
  <si>
    <t>Kecepatan Dinas (Vs)</t>
  </si>
  <si>
    <t>knot</t>
  </si>
  <si>
    <t>LWL</t>
  </si>
  <si>
    <t>Cb</t>
  </si>
  <si>
    <t>Vdisplacement</t>
  </si>
  <si>
    <t>mᶟ</t>
  </si>
  <si>
    <t>Jarak Gading (frame spacing)</t>
  </si>
  <si>
    <t>(Lpp)   Panjang</t>
  </si>
  <si>
    <t>(B)       Lebar</t>
  </si>
  <si>
    <t>(H)      Tinggi Geladak</t>
  </si>
  <si>
    <t>(T)       Sarat Air</t>
  </si>
  <si>
    <t>A0</t>
  </si>
  <si>
    <t>meter</t>
  </si>
  <si>
    <t>mm</t>
  </si>
  <si>
    <t>Harga Jarak gading :</t>
  </si>
  <si>
    <t>Pada sekat ceruk buritan</t>
  </si>
  <si>
    <t>&lt; 600</t>
  </si>
  <si>
    <t xml:space="preserve">Pada kamar mesin </t>
  </si>
  <si>
    <t>&lt; 1000</t>
  </si>
  <si>
    <t>Pada ruang muat</t>
  </si>
  <si>
    <t>Pada sekat ceruk haluan</t>
  </si>
  <si>
    <t>Ap ke 0.35T</t>
  </si>
  <si>
    <t>Panjang Awal 0.35T =</t>
  </si>
  <si>
    <t>Jarak Gading =</t>
  </si>
  <si>
    <t>Jumlah =</t>
  </si>
  <si>
    <t>Jarak Gading</t>
  </si>
  <si>
    <t>Pembulatan Menjadi =</t>
  </si>
  <si>
    <t>Panjang Sebenarnya =</t>
  </si>
  <si>
    <t>Nomor Gading =</t>
  </si>
  <si>
    <t>Sekat Ceruk Buritan (streamtube bulkhead)</t>
  </si>
  <si>
    <t>Minimal 3 Jarak gading dari 0.35T</t>
  </si>
  <si>
    <t>Jumlah Jarak Gading =</t>
  </si>
  <si>
    <t>Panjang dari 0.35T =</t>
  </si>
  <si>
    <t>Nomor Jarak Gading =</t>
  </si>
  <si>
    <t>Total Panjang Streamtube dari AP</t>
  </si>
  <si>
    <t>Sekat Kamar Mesin (engine room bulkhead)</t>
  </si>
  <si>
    <t>Panjang, 17-20% Lpp dari AP</t>
  </si>
  <si>
    <t>17% =</t>
  </si>
  <si>
    <t>Panjang dari Sekat Streamtube</t>
  </si>
  <si>
    <t>Panjang Awal =</t>
  </si>
  <si>
    <t>Pembulatan =</t>
  </si>
  <si>
    <t>Sekat Ruang Muat (cargo hold)</t>
  </si>
  <si>
    <t>Panjang sekat ruang muat (awal) =</t>
  </si>
  <si>
    <t>Jarak gading =</t>
  </si>
  <si>
    <t>Jumlah jarak gading =</t>
  </si>
  <si>
    <t>Pembulatan, menjadi =</t>
  </si>
  <si>
    <t>Panjang sebenarnya =</t>
  </si>
  <si>
    <t>Nomor jarak gading =</t>
  </si>
  <si>
    <t>Sekat Ceruk Haluan (collision bulkhead)</t>
  </si>
  <si>
    <t>5-8% dari FP</t>
  </si>
  <si>
    <t>8% =</t>
  </si>
  <si>
    <t>Sekat Ceruk Haluan dari gading</t>
  </si>
  <si>
    <t>Gading Pada Sekat</t>
  </si>
  <si>
    <t>Panjang (mm)</t>
  </si>
  <si>
    <t>Jumlah Gading</t>
  </si>
  <si>
    <t>No Jarak Gading</t>
  </si>
  <si>
    <t>AP ke 0.35T</t>
  </si>
  <si>
    <t>0-4</t>
  </si>
  <si>
    <t>Sekat Ceruk Buritan (streamtube bulkhead), min 3 fs dari 0.35T</t>
  </si>
  <si>
    <t xml:space="preserve"> 4-7 </t>
  </si>
  <si>
    <t>Sekat Kamar Mesin (engine room bulkhead),, 17-20% Lpp dari AP, Diambil 18.5%</t>
  </si>
  <si>
    <t xml:space="preserve"> 7-30 </t>
  </si>
  <si>
    <t xml:space="preserve"> 30-145</t>
  </si>
  <si>
    <t>Sekat Ceruk Haluan (collision bulkhead), 5-8% Lpp</t>
  </si>
  <si>
    <t>Jumlah Sekat Lintang Kedap Air</t>
  </si>
  <si>
    <t>L (m)</t>
  </si>
  <si>
    <t>Letak Ruang Mesin</t>
  </si>
  <si>
    <t>Kedap Air =</t>
  </si>
  <si>
    <t>Frame/4</t>
  </si>
  <si>
    <t>Belakang</t>
  </si>
  <si>
    <t>Lainnya</t>
  </si>
  <si>
    <t xml:space="preserve">         L ≤ 65</t>
  </si>
  <si>
    <t>Cargo 1</t>
  </si>
  <si>
    <t>65 &lt; L ≤ 85</t>
  </si>
  <si>
    <t>Cargo 2</t>
  </si>
  <si>
    <t>85 &lt; L ≤ 105</t>
  </si>
  <si>
    <t>Cargo 3</t>
  </si>
  <si>
    <t>105 &lt; L ≤ 125</t>
  </si>
  <si>
    <t>Cargo 4</t>
  </si>
  <si>
    <t>125 &lt; L ≤ 145</t>
  </si>
  <si>
    <t>145 &lt; L ≤ 165</t>
  </si>
  <si>
    <t>165 &lt; L ≤ 185</t>
  </si>
  <si>
    <t xml:space="preserve">           L &gt; 185</t>
  </si>
  <si>
    <t>Dipetimbangkan</t>
  </si>
  <si>
    <t>Double Bottom</t>
  </si>
  <si>
    <t>h        = 350 + 45 ( B ) mm</t>
  </si>
  <si>
    <r>
      <rPr>
        <sz val="11"/>
        <color theme="1"/>
        <rFont val="Calibri"/>
        <family val="2"/>
        <charset val="1"/>
      </rPr>
      <t>h</t>
    </r>
    <r>
      <rPr>
        <sz val="8"/>
        <color theme="1"/>
        <rFont val="Calibri"/>
        <family val="2"/>
        <charset val="1"/>
      </rPr>
      <t>min</t>
    </r>
    <r>
      <rPr>
        <sz val="11"/>
        <color theme="1"/>
        <rFont val="Calibri"/>
        <family val="2"/>
        <charset val="1"/>
      </rPr>
      <t xml:space="preserve">  = 600 mm</t>
    </r>
  </si>
  <si>
    <t>DoubleHull</t>
  </si>
  <si>
    <t>untuk kapal tanker menggunakan hull untuk mencegah suatu kebocoran</t>
  </si>
  <si>
    <t>Menurut BKI 2014 Vol II (Rules For Hull)</t>
  </si>
  <si>
    <t>Double Hull ( w ) =</t>
  </si>
  <si>
    <t>0,4 + 2,4 x dwt/20000</t>
  </si>
  <si>
    <t>Dimana :</t>
  </si>
  <si>
    <t>DWT =</t>
  </si>
  <si>
    <t>Displacement - LWT</t>
  </si>
  <si>
    <t>LWT =</t>
  </si>
  <si>
    <t>1/3 x Vdisplacement</t>
  </si>
  <si>
    <t>2/3 x Vdisplacement</t>
  </si>
  <si>
    <t>1.75 * LPP</t>
  </si>
  <si>
    <t>Data Utama Kapal</t>
  </si>
  <si>
    <r>
      <rPr>
        <b/>
        <sz val="11"/>
        <color rgb="FF000000"/>
        <rFont val="Calibri"/>
        <family val="2"/>
        <charset val="1"/>
      </rPr>
      <t xml:space="preserve">Metode </t>
    </r>
    <r>
      <rPr>
        <b/>
        <i/>
        <sz val="11"/>
        <color rgb="FF000000"/>
        <rFont val="Calibri"/>
        <family val="2"/>
        <charset val="1"/>
      </rPr>
      <t>Harvald</t>
    </r>
  </si>
  <si>
    <t>Jenis Kapal</t>
  </si>
  <si>
    <t>Product Oil Tanker</t>
  </si>
  <si>
    <t>Lpp</t>
  </si>
  <si>
    <t>m_to_ft</t>
  </si>
  <si>
    <t>ft</t>
  </si>
  <si>
    <t>Lwl</t>
  </si>
  <si>
    <t>0.96 * LWL</t>
  </si>
  <si>
    <t>0.97 * LWL</t>
  </si>
  <si>
    <t>Ldisplacement</t>
  </si>
  <si>
    <r>
      <rPr>
        <b/>
        <sz val="11"/>
        <color rgb="FF000000"/>
        <rFont val="Calibri"/>
        <family val="2"/>
        <charset val="1"/>
      </rPr>
      <t xml:space="preserve">Perhitungan Data </t>
    </r>
    <r>
      <rPr>
        <b/>
        <i/>
        <sz val="11"/>
        <color rgb="FF000000"/>
        <rFont val="Calibri"/>
        <family val="2"/>
        <charset val="1"/>
      </rPr>
      <t>Secondary</t>
    </r>
  </si>
  <si>
    <t>Kecepatan dalam m/s</t>
  </si>
  <si>
    <t>B/2</t>
  </si>
  <si>
    <t>1 knot =</t>
  </si>
  <si>
    <t>m/s</t>
  </si>
  <si>
    <t>Kecepatan (Vs)</t>
  </si>
  <si>
    <t>g =</t>
  </si>
  <si>
    <t>m/s²</t>
  </si>
  <si>
    <t>Displacement</t>
  </si>
  <si>
    <t>ton</t>
  </si>
  <si>
    <t>\rho</t>
  </si>
  <si>
    <t>ton/m^3</t>
  </si>
  <si>
    <t>Koefisien midship/Cm  (β)</t>
  </si>
  <si>
    <t>e%  =</t>
  </si>
  <si>
    <t>didepan midship</t>
  </si>
  <si>
    <t>Koefisien blok/Cb  (δ)</t>
  </si>
  <si>
    <t>Koefisien prismatik/Cp (ϕ)</t>
  </si>
  <si>
    <r>
      <rPr>
        <b/>
        <sz val="11"/>
        <color rgb="FF000000"/>
        <rFont val="Calibri"/>
        <family val="2"/>
        <charset val="1"/>
      </rPr>
      <t xml:space="preserve">Tahanan Kapal Metode </t>
    </r>
    <r>
      <rPr>
        <b/>
        <i/>
        <sz val="11"/>
        <color rgb="FF000000"/>
        <rFont val="Calibri"/>
        <family val="2"/>
        <charset val="1"/>
      </rPr>
      <t>Harvald</t>
    </r>
  </si>
  <si>
    <r>
      <rPr>
        <b/>
        <sz val="11"/>
        <color rgb="FF000000"/>
        <rFont val="Calibri"/>
        <family val="2"/>
        <charset val="1"/>
      </rPr>
      <t>Menghitung</t>
    </r>
    <r>
      <rPr>
        <b/>
        <i/>
        <sz val="11"/>
        <color rgb="FF000000"/>
        <rFont val="Calibri"/>
        <family val="2"/>
        <charset val="1"/>
      </rPr>
      <t xml:space="preserve"> Reynold Number</t>
    </r>
    <r>
      <rPr>
        <b/>
        <sz val="11"/>
        <color rgb="FF000000"/>
        <rFont val="Calibri"/>
        <family val="2"/>
        <charset val="1"/>
      </rPr>
      <t xml:space="preserve"> (Rn)</t>
    </r>
  </si>
  <si>
    <t>Rn =</t>
  </si>
  <si>
    <t>(𝑉 𝑥 𝐿𝑤𝑙)/𝑣</t>
  </si>
  <si>
    <t>Dengan viskositas kinematic air laut pada temperatur 22C adalah  0.978875*10^-6</t>
  </si>
  <si>
    <r>
      <rPr>
        <b/>
        <sz val="11"/>
        <color rgb="FF000000"/>
        <rFont val="Calibri"/>
        <family val="2"/>
        <charset val="1"/>
      </rPr>
      <t>Menghitung</t>
    </r>
    <r>
      <rPr>
        <b/>
        <i/>
        <sz val="11"/>
        <color rgb="FF000000"/>
        <rFont val="Calibri"/>
        <family val="2"/>
        <charset val="1"/>
      </rPr>
      <t xml:space="preserve"> Froude Number</t>
    </r>
    <r>
      <rPr>
        <b/>
        <sz val="11"/>
        <color rgb="FF000000"/>
        <rFont val="Calibri"/>
        <family val="2"/>
        <charset val="1"/>
      </rPr>
      <t xml:space="preserve"> (Fn)</t>
    </r>
  </si>
  <si>
    <t>Fn =</t>
  </si>
  <si>
    <t>Mencari Nilai Luas Permukaan Basah</t>
  </si>
  <si>
    <t>Luas permukaan basah adalah bagian luas permukaan kapal yang tercelup di air, untuk menghitungnya dilakukan</t>
  </si>
  <si>
    <t>pendekatan dengan rumus sebagai berikut :</t>
  </si>
  <si>
    <t>S =</t>
  </si>
  <si>
    <t>1.026 * Lwl * (Cb * B + 1.7 * T)</t>
  </si>
  <si>
    <t xml:space="preserve">    =</t>
  </si>
  <si>
    <t>m³</t>
  </si>
  <si>
    <t>Menghitung Koefisien Tahanan Kapal</t>
  </si>
  <si>
    <t>a.</t>
  </si>
  <si>
    <t>Menghitung Koefisien Gesek (T)</t>
  </si>
  <si>
    <t>Untuk menghitung tahanan gesek kapal perlu untuk dicari terlebih dahulu nilai dari koefisien geseknya, dalam</t>
  </si>
  <si>
    <t>metode halvard rumus yang digunakan adalah rumus sesuai kesepakatan ITTC 1957 yaitu</t>
  </si>
  <si>
    <t>Cf =</t>
  </si>
  <si>
    <t>b.</t>
  </si>
  <si>
    <t>Menghitung Tahanan Sisa (Cr)</t>
  </si>
  <si>
    <t>Mencari L/▼⅓</t>
  </si>
  <si>
    <t xml:space="preserve">Untuk mencari Cr pada grafik Guldhammer terlebih dulu mencari nilai L/▼⅓, didapat nilainya </t>
  </si>
  <si>
    <t>adalah sebagai berikut</t>
  </si>
  <si>
    <t>L/▼⅓  =</t>
  </si>
  <si>
    <r>
      <rPr>
        <b/>
        <sz val="11"/>
        <color rgb="FF000000"/>
        <rFont val="Calibri"/>
        <family val="2"/>
        <charset val="1"/>
      </rPr>
      <t>Mencari Cr (</t>
    </r>
    <r>
      <rPr>
        <b/>
        <i/>
        <sz val="11"/>
        <color rgb="FF000000"/>
        <rFont val="Calibri"/>
        <family val="2"/>
        <charset val="1"/>
      </rPr>
      <t xml:space="preserve"> Residual Resistance Coeficient</t>
    </r>
    <r>
      <rPr>
        <b/>
        <sz val="11"/>
        <color rgb="FF000000"/>
        <rFont val="Calibri"/>
        <family val="2"/>
        <charset val="1"/>
      </rPr>
      <t xml:space="preserve"> ) menggunakan grafik </t>
    </r>
    <r>
      <rPr>
        <b/>
        <i/>
        <sz val="11"/>
        <color rgb="FF000000"/>
        <rFont val="Calibri"/>
        <family val="2"/>
        <charset val="1"/>
      </rPr>
      <t>Guldhammer</t>
    </r>
  </si>
  <si>
    <t xml:space="preserve">Dari mencari L/▼⅓ didapatkan nilainya adalah </t>
  </si>
  <si>
    <t>Hasil berada di antara nilai 4.5 sampai 5.0 jadi yang menjadi patokan adalah kedua grafik ini</t>
  </si>
  <si>
    <t>Fn = 0.20 dan Cp = 0.72 ( kecepatan 12.99 knot)</t>
  </si>
  <si>
    <t>Lalu setelah mendapat nilai Cr dari tiap grafik maka nilai  Cr pada saat L/▼⅓ adalah</t>
  </si>
  <si>
    <t>5.36768, dengan perhitungan sebagai berikut :</t>
  </si>
  <si>
    <t>a</t>
  </si>
  <si>
    <t>b</t>
  </si>
  <si>
    <t xml:space="preserve">L/▼⅓ </t>
  </si>
  <si>
    <t>Cr</t>
  </si>
  <si>
    <t>Interpolasi  =</t>
  </si>
  <si>
    <t>1b + [((2a - 1a) x (3b - 1b)) / (3a - 1a)]</t>
  </si>
  <si>
    <t>Cr  =</t>
  </si>
  <si>
    <t>10^3 Cr =</t>
  </si>
  <si>
    <t>c.</t>
  </si>
  <si>
    <t>Melakukan koreksi Lcb, koreksi B/T</t>
  </si>
  <si>
    <t>Koefisian tahanan sisa perlu dicari koreksinya karena merupakan nilai dari tahanan selain tahanan gesek</t>
  </si>
  <si>
    <t>sehingga perlu  dikoreksi oleh beberapa faktor antara lain :</t>
  </si>
  <si>
    <t>Koreksi B/T</t>
  </si>
  <si>
    <t>B/T   =</t>
  </si>
  <si>
    <t>Koreksi B/T (Cr₂) adalah sebagai berikut :</t>
  </si>
  <si>
    <t>10^3 Cr2  =</t>
  </si>
  <si>
    <t>10^3 Cr(B/T = 2.5) + 0.16 (B/T - 2.5)</t>
  </si>
  <si>
    <t>Cr2  =</t>
  </si>
  <si>
    <t>Koreksi LCB</t>
  </si>
  <si>
    <t>LCB pada tugas Rencana Garis (Desain 1) adalah</t>
  </si>
  <si>
    <t>LCB dari tugas rencana garis adalah</t>
  </si>
  <si>
    <t>LCB sebenarnya = e% x Ldis</t>
  </si>
  <si>
    <t>Ldisp =</t>
  </si>
  <si>
    <t xml:space="preserve">LCB sebenarnya = </t>
  </si>
  <si>
    <t>LCB standart dilihat pada grafik 5.5.15 diperoleh  =</t>
  </si>
  <si>
    <t xml:space="preserve">LCB standart = </t>
  </si>
  <si>
    <t>∆ LCB = LCBsebenarnya - LCB standart ( dalam persen L)</t>
  </si>
  <si>
    <t xml:space="preserve">∆ LCB = </t>
  </si>
  <si>
    <t xml:space="preserve">∂10^3 Cr/ ∂LCB = </t>
  </si>
  <si>
    <t>(dilihat pada grafik 5.5.16 Buku Tahanan Kapal)</t>
  </si>
  <si>
    <t>10^3 Cr = 10^3 Cr (standart) +∂10^3 Cr / ∂LCB x ∆ LCB</t>
  </si>
  <si>
    <t>10^3Cr3 =</t>
  </si>
  <si>
    <t>Cr3 =</t>
  </si>
  <si>
    <t>d.</t>
  </si>
  <si>
    <t>Menghitung bos propeller, bracket, dan poros baling - baling</t>
  </si>
  <si>
    <t>Karena adanya bos propeller, harga Cr dinaikkan 3-5%</t>
  </si>
  <si>
    <t>diambil 3 %</t>
  </si>
  <si>
    <t>Cr4  =</t>
  </si>
  <si>
    <t>(1+3%)xCr</t>
  </si>
  <si>
    <t>Untuk bracket dan poros baling - baling, maka Cr dari boss propeller dinaikkan 5-8%</t>
  </si>
  <si>
    <t>diambil 5%</t>
  </si>
  <si>
    <t>Cr5 =</t>
  </si>
  <si>
    <t>(1+5%) x 0,000947839</t>
  </si>
  <si>
    <t>e.</t>
  </si>
  <si>
    <t>Menghitung koefisien tahanan tambahan kapal</t>
  </si>
  <si>
    <t>Displacement (∆)</t>
  </si>
  <si>
    <t>∆ =▼ x ρ</t>
  </si>
  <si>
    <t>dimana : ρ =</t>
  </si>
  <si>
    <t>ton/m3</t>
  </si>
  <si>
    <t>Dari ketetapan diatas maka untuk displacement  11838.24878 ton, maka bisa dilakukan interpolasi untuk mendapatkan</t>
  </si>
  <si>
    <t>nilai Ca:</t>
  </si>
  <si>
    <t>displacement</t>
  </si>
  <si>
    <t>Ca</t>
  </si>
  <si>
    <t>Ca  =</t>
  </si>
  <si>
    <t xml:space="preserve">f. </t>
  </si>
  <si>
    <t>Menghitung koefisien tahanan udara</t>
  </si>
  <si>
    <t>Karena data mengenai angin dalam perencanaan kapal tak diketahui maka disarankan untuk mengoreksi koefisien tahanan udara</t>
  </si>
  <si>
    <t>(Harvald 5.5.26 hal 32)</t>
  </si>
  <si>
    <t>Caa =</t>
  </si>
  <si>
    <t>g.</t>
  </si>
  <si>
    <t>Menghitung koefisien tahanan kemudi</t>
  </si>
  <si>
    <t>Berdasarkan Harvald 5.5.27 hal.32 koreksi untuk tahanan kemudi adalah sekitar :</t>
  </si>
  <si>
    <t>Cas =</t>
  </si>
  <si>
    <t>h.</t>
  </si>
  <si>
    <t>Koefisien Tahanan Total Kapal (Ct)</t>
  </si>
  <si>
    <t>Koefisien Tahanan Total Kapal (Ct) dapat dihitung dengan menjumlahkan koefisien-koefisien</t>
  </si>
  <si>
    <t>yang telah dihitung</t>
  </si>
  <si>
    <t>Ct   =</t>
  </si>
  <si>
    <t>Cf+ Cr + Ca + Caa + Cas</t>
  </si>
  <si>
    <t xml:space="preserve">      =</t>
  </si>
  <si>
    <t>i.</t>
  </si>
  <si>
    <t>Tahanan Total Kapal (Rt)</t>
  </si>
  <si>
    <t>Rt   =</t>
  </si>
  <si>
    <t>Ct x ½ x ρ x Vs² x S</t>
  </si>
  <si>
    <t xml:space="preserve">       = </t>
  </si>
  <si>
    <t>N</t>
  </si>
  <si>
    <t xml:space="preserve">       =</t>
  </si>
  <si>
    <t>kN</t>
  </si>
  <si>
    <t>Sea margin adalah besaran yang dimasukkan sebagai kompensasi dari pengaruh lingkungan pada saat kapal berlayar seperti angin, arus dan gelombang. Menurut pada papernya menyatakan untuk kapal yang berlayar memiliki sea margin berkisar 10-30% tergantung dari jenis kapal dan rute pelayaran. Untuk paper ini sea margin yang dipilih sebesar 12% dengan efisiensi propulsi dengan memperhitungkan 85% BHPmcr dengan tampilan sebagai berikut.</t>
  </si>
  <si>
    <t>Rt (dinas)  =</t>
  </si>
  <si>
    <t>Rt + ( 10% Rt)</t>
  </si>
  <si>
    <t xml:space="preserve">                   =</t>
  </si>
  <si>
    <t>Perhitungan Daya</t>
  </si>
  <si>
    <t>Daya efektif kapal (EHP)</t>
  </si>
  <si>
    <t>EHP =</t>
  </si>
  <si>
    <t>Rt (dinas) x Vs</t>
  </si>
  <si>
    <t>kW</t>
  </si>
  <si>
    <t>1 HP  =</t>
  </si>
  <si>
    <t>HP</t>
  </si>
  <si>
    <t>1 kW =</t>
  </si>
  <si>
    <t>S * C_T * (V_S)^3</t>
  </si>
  <si>
    <t>Wake Fraction (w)</t>
  </si>
  <si>
    <t>Pada perencanaan ini menggunakan tipe single screw  propeller, sehingga nilai w adalah</t>
  </si>
  <si>
    <t>sebagai berikut :</t>
  </si>
  <si>
    <t>w   =</t>
  </si>
  <si>
    <t>0.5 Cb - 0.05</t>
  </si>
  <si>
    <t>Thrust Deduction Faktor (t)</t>
  </si>
  <si>
    <t>t     =</t>
  </si>
  <si>
    <t>k x w</t>
  </si>
  <si>
    <t xml:space="preserve">dimana nilai k antara 0.7 - 0.9, pada perencanaan ini diambil </t>
  </si>
  <si>
    <t xml:space="preserve">k = </t>
  </si>
  <si>
    <t>Efisiensi Lambung (ηH)</t>
  </si>
  <si>
    <t>ηH    =</t>
  </si>
  <si>
    <t>( 1 - t )/( 1 - w)</t>
  </si>
  <si>
    <t xml:space="preserve">         =</t>
  </si>
  <si>
    <t>Thrust Horse Power (THP)</t>
  </si>
  <si>
    <t>THP   =</t>
  </si>
  <si>
    <t>EHP/ηH</t>
  </si>
  <si>
    <t xml:space="preserve">          =</t>
  </si>
  <si>
    <t>Speed of Advance (Va)</t>
  </si>
  <si>
    <t>Va     =</t>
  </si>
  <si>
    <t>(1 - w) x Vs</t>
  </si>
  <si>
    <t>knots</t>
  </si>
  <si>
    <t>f.</t>
  </si>
  <si>
    <t>Efisiensi Populsif (Pc)</t>
  </si>
  <si>
    <t>- Effisiensi Relatif Rotatif (ηrr)</t>
  </si>
  <si>
    <t>Besarnya ηrr untuk kapal dengan tipe single screw berkisar antara 1.02-1.05.</t>
  </si>
  <si>
    <t xml:space="preserve">diambil </t>
  </si>
  <si>
    <t>- Effisiensi Propulsi (ηp)</t>
  </si>
  <si>
    <t xml:space="preserve">Besarnya antara 40-70%, diambil </t>
  </si>
  <si>
    <t>- Effisiensi Lambung (ηH)</t>
  </si>
  <si>
    <t>ηH =</t>
  </si>
  <si>
    <t>(1 - t) / (1 - w)</t>
  </si>
  <si>
    <t>Pc =</t>
  </si>
  <si>
    <t>ηrr x ηp x ηH</t>
  </si>
  <si>
    <t>Delivery Horse Power (DHP)</t>
  </si>
  <si>
    <t>DHP =</t>
  </si>
  <si>
    <t>EHP / Pc</t>
  </si>
  <si>
    <t>Daya Poros Baling-baling (SHP)</t>
  </si>
  <si>
    <t>Disini kapal memiliki kamar mesin di bagian belakang, sehingga losses nya sebesar 2%</t>
  </si>
  <si>
    <t>dengan demikian efisiensi transmisi poros (ηsηb) : (100%-2%)= 98%</t>
  </si>
  <si>
    <t>SHP =</t>
  </si>
  <si>
    <t>DHP / ηsηb</t>
  </si>
  <si>
    <t>Daya Penggerak Utama (BHP)</t>
  </si>
  <si>
    <t>a) BHPscr</t>
  </si>
  <si>
    <t>Adanya pengaruh sistem roda gigi transmisi (ηG), pada tugas ini memakai sistem roda</t>
  </si>
  <si>
    <t>gigi reduksi tunggal atau single reduction gears dengan losses 2% untuk arah maju,</t>
  </si>
  <si>
    <t>sehingga ηG = 98% = 0.98</t>
  </si>
  <si>
    <t>BHPscr   =</t>
  </si>
  <si>
    <t xml:space="preserve">SHP / ηG </t>
  </si>
  <si>
    <t>dimana 1 HP =</t>
  </si>
  <si>
    <t>KW</t>
  </si>
  <si>
    <t>b) BHP mcr</t>
  </si>
  <si>
    <t>Besarnya daya motor penggerak utama atau motor induk ini adalah daya keluaran</t>
  </si>
  <si>
    <t>pada pelayaran normal atau SCR, dimana besarnya adalah 90% dari daya keluaran</t>
  </si>
  <si>
    <t>pada kondisi maksimum atau MCR.</t>
  </si>
  <si>
    <r>
      <rPr>
        <sz val="11"/>
        <rFont val="Calibri"/>
        <family val="2"/>
        <charset val="1"/>
      </rPr>
      <t>BHP</t>
    </r>
    <r>
      <rPr>
        <vertAlign val="subscript"/>
        <sz val="11"/>
        <rFont val="Calibri"/>
        <family val="2"/>
        <charset val="1"/>
      </rPr>
      <t>MCR</t>
    </r>
    <r>
      <rPr>
        <sz val="11"/>
        <rFont val="Calibri"/>
        <family val="2"/>
        <charset val="1"/>
      </rPr>
      <t xml:space="preserve"> =</t>
    </r>
  </si>
  <si>
    <r>
      <rPr>
        <sz val="11"/>
        <rFont val="Calibri"/>
        <family val="2"/>
        <charset val="1"/>
      </rPr>
      <t>BHP</t>
    </r>
    <r>
      <rPr>
        <vertAlign val="subscript"/>
        <sz val="11"/>
        <rFont val="Calibri"/>
        <family val="2"/>
        <charset val="1"/>
      </rPr>
      <t>SCR</t>
    </r>
    <r>
      <rPr>
        <sz val="11"/>
        <rFont val="Calibri"/>
        <family val="2"/>
        <charset val="1"/>
      </rPr>
      <t xml:space="preserve"> / 0,9</t>
    </r>
  </si>
  <si>
    <t>The Maritime Engineering Reference Book A Guide to Ship Design, Construction and Operation (Anthony F. Molland) (Z-Library).pdf. Page 641</t>
  </si>
  <si>
    <t>C_D</t>
  </si>
  <si>
    <t>0.79~0.85</t>
  </si>
  <si>
    <t>Disp</t>
  </si>
  <si>
    <t>DWT</t>
  </si>
  <si>
    <t>C_D * Disp</t>
  </si>
  <si>
    <r>
      <rPr>
        <b/>
        <sz val="12"/>
        <color rgb="FF000000"/>
        <rFont val="Calibri"/>
        <family val="2"/>
        <charset val="1"/>
      </rPr>
      <t xml:space="preserve">Metode </t>
    </r>
    <r>
      <rPr>
        <b/>
        <i/>
        <sz val="12"/>
        <color rgb="FF000000"/>
        <rFont val="Calibri"/>
        <family val="2"/>
        <charset val="1"/>
      </rPr>
      <t>Holtrop</t>
    </r>
  </si>
  <si>
    <r>
      <rPr>
        <b/>
        <sz val="12"/>
        <color rgb="FF000000"/>
        <rFont val="Calibri"/>
        <family val="2"/>
        <charset val="1"/>
      </rPr>
      <t xml:space="preserve">Perhitungan Data </t>
    </r>
    <r>
      <rPr>
        <b/>
        <i/>
        <sz val="12"/>
        <color rgb="FF000000"/>
        <rFont val="Calibri"/>
        <family val="2"/>
        <charset val="1"/>
      </rPr>
      <t>Secondary</t>
    </r>
  </si>
  <si>
    <t>CHEMICAL TANKER</t>
  </si>
  <si>
    <t>12.99 knot=</t>
  </si>
  <si>
    <t xml:space="preserve">didepan </t>
  </si>
  <si>
    <t>ρ air laut</t>
  </si>
  <si>
    <t>LCB</t>
  </si>
  <si>
    <t>LOA</t>
  </si>
  <si>
    <t>Langkah Perhitungan</t>
  </si>
  <si>
    <r>
      <rPr>
        <b/>
        <sz val="12"/>
        <color rgb="FF000000"/>
        <rFont val="Calibri"/>
        <family val="2"/>
        <charset val="1"/>
      </rPr>
      <t>Menghitung</t>
    </r>
    <r>
      <rPr>
        <b/>
        <i/>
        <sz val="12"/>
        <color rgb="FF000000"/>
        <rFont val="Calibri"/>
        <family val="2"/>
        <charset val="1"/>
      </rPr>
      <t xml:space="preserve"> Froude Number</t>
    </r>
    <r>
      <rPr>
        <b/>
        <sz val="12"/>
        <color rgb="FF000000"/>
        <rFont val="Calibri"/>
        <family val="2"/>
        <charset val="1"/>
      </rPr>
      <t xml:space="preserve"> (Fn)</t>
    </r>
  </si>
  <si>
    <t>𝑉/(√𝑔 𝑥 𝐿pp)</t>
  </si>
  <si>
    <t>CWP =</t>
  </si>
  <si>
    <t>0.180+0.860∙CPdisp</t>
  </si>
  <si>
    <t>Menghitung Volume Displacement</t>
  </si>
  <si>
    <t>Vdisp =</t>
  </si>
  <si>
    <t>Lwl x B x T x Cb wl</t>
  </si>
  <si>
    <t>Menghitung Berat Displacement</t>
  </si>
  <si>
    <t>Vdisp x ρ air laut</t>
  </si>
  <si>
    <t>Luas Permukaan Basah (S)</t>
  </si>
  <si>
    <t xml:space="preserve">L (2T + B)(Cm0,5) (0,453 + 0,4425 Cb - 0,2862 Cm - 0,003467 (B/T) </t>
  </si>
  <si>
    <t>Menghitung Frictional Ressistance According to the ITTC Formula (Rf)</t>
  </si>
  <si>
    <t>Menghitung Reynold Number</t>
  </si>
  <si>
    <t>(Vs x Lwl)/υ</t>
  </si>
  <si>
    <t>Menghitung LR</t>
  </si>
  <si>
    <t>LR =</t>
  </si>
  <si>
    <t>L (1 - Cp + 0.06 x Cp x Lcb /(4 x Cp -1))</t>
  </si>
  <si>
    <t>υ =</t>
  </si>
  <si>
    <r>
      <rPr>
        <sz val="12"/>
        <rFont val="Calibri"/>
        <family val="2"/>
        <charset val="1"/>
      </rPr>
      <t>viskositas kinematis air laut pada 28</t>
    </r>
    <r>
      <rPr>
        <vertAlign val="superscript"/>
        <sz val="12"/>
        <rFont val="Calibri"/>
        <family val="2"/>
        <charset val="1"/>
      </rPr>
      <t>0</t>
    </r>
  </si>
  <si>
    <t xml:space="preserve"> 0,8847 x 10^-6</t>
  </si>
  <si>
    <r>
      <rPr>
        <sz val="12"/>
        <rFont val="Calibri"/>
        <family val="2"/>
        <charset val="1"/>
      </rPr>
      <t>m</t>
    </r>
    <r>
      <rPr>
        <vertAlign val="superscript"/>
        <sz val="12"/>
        <rFont val="Calibri"/>
        <family val="2"/>
        <charset val="1"/>
      </rPr>
      <t>2</t>
    </r>
    <r>
      <rPr>
        <sz val="12"/>
        <rFont val="Calibri"/>
        <family val="2"/>
        <charset val="1"/>
      </rPr>
      <t>/s</t>
    </r>
  </si>
  <si>
    <t>c</t>
  </si>
  <si>
    <t>Koefisien Gesek (CF)</t>
  </si>
  <si>
    <r>
      <rPr>
        <sz val="12"/>
        <rFont val="Calibri"/>
        <family val="2"/>
        <charset val="1"/>
      </rPr>
      <t>C</t>
    </r>
    <r>
      <rPr>
        <vertAlign val="subscript"/>
        <sz val="12"/>
        <rFont val="Calibri"/>
        <family val="2"/>
        <charset val="1"/>
      </rPr>
      <t>F</t>
    </r>
    <r>
      <rPr>
        <sz val="12"/>
        <rFont val="Calibri"/>
        <family val="2"/>
        <charset val="1"/>
      </rPr>
      <t xml:space="preserve"> =</t>
    </r>
  </si>
  <si>
    <t>0,075/ (Log Rn-2)2</t>
  </si>
  <si>
    <t>d</t>
  </si>
  <si>
    <t>Menentukan nilai Cstern sesuai dengan nilai yang ditentukan pada tabel</t>
  </si>
  <si>
    <t>Cstern</t>
  </si>
  <si>
    <t>after body</t>
  </si>
  <si>
    <t>barge shaped form</t>
  </si>
  <si>
    <t>V-shaped section</t>
  </si>
  <si>
    <t>normal shape of after body</t>
  </si>
  <si>
    <t>U-shaped section (with hogner stern)</t>
  </si>
  <si>
    <t>e</t>
  </si>
  <si>
    <t>Menghitung nilai C14</t>
  </si>
  <si>
    <t>Maka didapat nilai Cstern = 8</t>
  </si>
  <si>
    <t>C14 =</t>
  </si>
  <si>
    <t>1 + 0,011 x Cstern</t>
  </si>
  <si>
    <t>f</t>
  </si>
  <si>
    <t>Menghitung nilai (1+K)</t>
  </si>
  <si>
    <t>(1+ K) =</t>
  </si>
  <si>
    <t>0,93 + 0,487118 x C14 x (B/L)1,06806 (T/L) 0,46106 (L/LR)0,121563 (L3/▼) 0,36486 (1-Cp)-0,604247</t>
  </si>
  <si>
    <t>g</t>
  </si>
  <si>
    <t xml:space="preserve">Jadi nilai tahanan gesek kapal (RF) adalah </t>
  </si>
  <si>
    <t>RF =</t>
  </si>
  <si>
    <t>1/2 ρ CF (1+k1) S V2</t>
  </si>
  <si>
    <t>Menghitung Appendage Resistance (RAAP)</t>
  </si>
  <si>
    <r>
      <rPr>
        <b/>
        <sz val="12"/>
        <rFont val="Calibri"/>
        <family val="2"/>
        <charset val="1"/>
      </rPr>
      <t>R</t>
    </r>
    <r>
      <rPr>
        <b/>
        <vertAlign val="subscript"/>
        <sz val="12"/>
        <rFont val="Calibri"/>
        <family val="2"/>
        <charset val="1"/>
      </rPr>
      <t>APP</t>
    </r>
    <r>
      <rPr>
        <b/>
        <sz val="12"/>
        <rFont val="Calibri"/>
        <family val="2"/>
        <charset val="1"/>
      </rPr>
      <t xml:space="preserve"> =</t>
    </r>
  </si>
  <si>
    <r>
      <rPr>
        <b/>
        <vertAlign val="superscript"/>
        <sz val="12"/>
        <rFont val="Calibri"/>
        <family val="2"/>
        <charset val="1"/>
      </rPr>
      <t>1</t>
    </r>
    <r>
      <rPr>
        <b/>
        <sz val="12"/>
        <rFont val="Calibri"/>
        <family val="2"/>
        <charset val="1"/>
      </rPr>
      <t>/</t>
    </r>
    <r>
      <rPr>
        <b/>
        <vertAlign val="subscript"/>
        <sz val="12"/>
        <rFont val="Calibri"/>
        <family val="2"/>
        <charset val="1"/>
      </rPr>
      <t>2</t>
    </r>
    <r>
      <rPr>
        <b/>
        <sz val="12"/>
        <rFont val="Calibri"/>
        <family val="2"/>
        <charset val="1"/>
      </rPr>
      <t xml:space="preserve"> ρ V</t>
    </r>
    <r>
      <rPr>
        <b/>
        <vertAlign val="superscript"/>
        <sz val="12"/>
        <rFont val="Calibri"/>
        <family val="2"/>
        <charset val="1"/>
      </rPr>
      <t xml:space="preserve">2 </t>
    </r>
    <r>
      <rPr>
        <b/>
        <sz val="12"/>
        <rFont val="Calibri"/>
        <family val="2"/>
        <charset val="1"/>
      </rPr>
      <t>S</t>
    </r>
    <r>
      <rPr>
        <b/>
        <vertAlign val="subscript"/>
        <sz val="12"/>
        <rFont val="Calibri"/>
        <family val="2"/>
        <charset val="1"/>
      </rPr>
      <t>APP</t>
    </r>
    <r>
      <rPr>
        <b/>
        <sz val="12"/>
        <rFont val="Calibri"/>
        <family val="2"/>
        <charset val="1"/>
      </rPr>
      <t>(1+k</t>
    </r>
    <r>
      <rPr>
        <b/>
        <vertAlign val="subscript"/>
        <sz val="12"/>
        <rFont val="Calibri"/>
        <family val="2"/>
        <charset val="1"/>
      </rPr>
      <t>2</t>
    </r>
    <r>
      <rPr>
        <b/>
        <sz val="12"/>
        <rFont val="Calibri"/>
        <family val="2"/>
        <charset val="1"/>
      </rPr>
      <t>)</t>
    </r>
    <r>
      <rPr>
        <b/>
        <vertAlign val="subscript"/>
        <sz val="12"/>
        <rFont val="Calibri"/>
        <family val="2"/>
        <charset val="1"/>
      </rPr>
      <t xml:space="preserve">eq </t>
    </r>
    <r>
      <rPr>
        <b/>
        <sz val="12"/>
        <rFont val="Calibri"/>
        <family val="2"/>
        <charset val="1"/>
      </rPr>
      <t>C</t>
    </r>
    <r>
      <rPr>
        <b/>
        <vertAlign val="subscript"/>
        <sz val="12"/>
        <rFont val="Calibri"/>
        <family val="2"/>
        <charset val="1"/>
      </rPr>
      <t>F</t>
    </r>
  </si>
  <si>
    <t>Approximate 1+K2 Values</t>
  </si>
  <si>
    <t>1,5 - 3,0</t>
  </si>
  <si>
    <t>rudder behind skeg</t>
  </si>
  <si>
    <t>1,3 - 1,5</t>
  </si>
  <si>
    <t>ruder behind stem</t>
  </si>
  <si>
    <t>2,8</t>
  </si>
  <si>
    <t>twin-screw balance rudders</t>
  </si>
  <si>
    <t>saft bracket</t>
  </si>
  <si>
    <t>1,5 - 2,0</t>
  </si>
  <si>
    <t>skeg</t>
  </si>
  <si>
    <t>strut bossing</t>
  </si>
  <si>
    <t>hull bossing</t>
  </si>
  <si>
    <t>2,0 - 4,0</t>
  </si>
  <si>
    <t>shaft</t>
  </si>
  <si>
    <t>stabilizer fins</t>
  </si>
  <si>
    <t>2,7</t>
  </si>
  <si>
    <t>dome</t>
  </si>
  <si>
    <t>1,4</t>
  </si>
  <si>
    <t>bilge keel</t>
  </si>
  <si>
    <r>
      <rPr>
        <b/>
        <sz val="12"/>
        <rFont val="Calibri"/>
        <family val="2"/>
        <charset val="1"/>
      </rPr>
      <t>Perhitungan S</t>
    </r>
    <r>
      <rPr>
        <b/>
        <vertAlign val="subscript"/>
        <sz val="12"/>
        <rFont val="Calibri"/>
        <family val="2"/>
        <charset val="1"/>
      </rPr>
      <t>APP boss</t>
    </r>
  </si>
  <si>
    <t>SBOSS =</t>
  </si>
  <si>
    <t>1,5 x π x D²</t>
  </si>
  <si>
    <t>m²</t>
  </si>
  <si>
    <t>DBOSS =</t>
  </si>
  <si>
    <t>0,12 x T</t>
  </si>
  <si>
    <r>
      <rPr>
        <sz val="12"/>
        <rFont val="Calibri"/>
        <family val="2"/>
        <charset val="1"/>
      </rPr>
      <t>c</t>
    </r>
    <r>
      <rPr>
        <vertAlign val="subscript"/>
        <sz val="12"/>
        <rFont val="Calibri"/>
        <family val="2"/>
        <charset val="1"/>
      </rPr>
      <t>1</t>
    </r>
    <r>
      <rPr>
        <sz val="12"/>
        <rFont val="Calibri"/>
        <family val="2"/>
        <charset val="1"/>
      </rPr>
      <t xml:space="preserve"> =</t>
    </r>
  </si>
  <si>
    <t>untuk faktor tipe kapal</t>
  </si>
  <si>
    <t>1,0 untuk kapal umum</t>
  </si>
  <si>
    <t>0,9 untuk bulk carier dan tanker dengan displacement ≥ 50,000 ton</t>
  </si>
  <si>
    <t>1,7 untuk tug dan trawler</t>
  </si>
  <si>
    <r>
      <rPr>
        <sz val="12"/>
        <rFont val="Calibri"/>
        <family val="2"/>
        <charset val="1"/>
      </rPr>
      <t>c</t>
    </r>
    <r>
      <rPr>
        <vertAlign val="subscript"/>
        <sz val="12"/>
        <rFont val="Calibri"/>
        <family val="2"/>
        <charset val="1"/>
      </rPr>
      <t>2</t>
    </r>
    <r>
      <rPr>
        <sz val="12"/>
        <rFont val="Calibri"/>
        <family val="2"/>
        <charset val="1"/>
      </rPr>
      <t xml:space="preserve"> =</t>
    </r>
  </si>
  <si>
    <t>untuk faktor tipe rudder</t>
  </si>
  <si>
    <t>0,9 semi spade rudder</t>
  </si>
  <si>
    <t>0,8 untuk double rudder</t>
  </si>
  <si>
    <t>0,7 untuk high lift rudder</t>
  </si>
  <si>
    <r>
      <rPr>
        <sz val="12"/>
        <rFont val="Calibri"/>
        <family val="2"/>
        <charset val="1"/>
      </rPr>
      <t>c</t>
    </r>
    <r>
      <rPr>
        <vertAlign val="subscript"/>
        <sz val="12"/>
        <rFont val="Calibri"/>
        <family val="2"/>
        <charset val="1"/>
      </rPr>
      <t>3</t>
    </r>
    <r>
      <rPr>
        <sz val="12"/>
        <rFont val="Calibri"/>
        <family val="2"/>
        <charset val="1"/>
      </rPr>
      <t xml:space="preserve"> =</t>
    </r>
  </si>
  <si>
    <t>untuk faktor profil rudder</t>
  </si>
  <si>
    <t>1,0 untuk NACA-profil dan plat rudder</t>
  </si>
  <si>
    <t>0,8 untuk hollow profil</t>
  </si>
  <si>
    <r>
      <rPr>
        <sz val="12"/>
        <rFont val="Calibri"/>
        <family val="2"/>
        <charset val="1"/>
      </rPr>
      <t>c</t>
    </r>
    <r>
      <rPr>
        <vertAlign val="subscript"/>
        <sz val="12"/>
        <rFont val="Calibri"/>
        <family val="2"/>
        <charset val="1"/>
      </rPr>
      <t>4</t>
    </r>
    <r>
      <rPr>
        <sz val="12"/>
        <rFont val="Calibri"/>
        <family val="2"/>
        <charset val="1"/>
      </rPr>
      <t xml:space="preserve"> =</t>
    </r>
  </si>
  <si>
    <t>untuk rudder arrangement</t>
  </si>
  <si>
    <t>1,0 untuk rudder in the propeller jet</t>
  </si>
  <si>
    <t>1,5 untuk rudder outside the propeller jet</t>
  </si>
  <si>
    <t>diambil :</t>
  </si>
  <si>
    <t>Kapal umum dan Δ &lt; 50,000 ton</t>
  </si>
  <si>
    <t>Tipe kemudi kapal umum</t>
  </si>
  <si>
    <t>Profil NACA dan kemudi plat,</t>
  </si>
  <si>
    <t>Untuk kemudi dibelakang prop,</t>
  </si>
  <si>
    <t>SAPP =</t>
  </si>
  <si>
    <t>c1 x c2 x c3 x c4 (1,75 x L x T / 100)</t>
  </si>
  <si>
    <t>ƩSAPP =</t>
  </si>
  <si>
    <t>SBOSS + SAPP</t>
  </si>
  <si>
    <t>type of appendage</t>
  </si>
  <si>
    <t>SAPP</t>
  </si>
  <si>
    <t>1 + K2</t>
  </si>
  <si>
    <t>SAPP (1+K2)</t>
  </si>
  <si>
    <t>m2</t>
  </si>
  <si>
    <t>Rudder</t>
  </si>
  <si>
    <t>Bossing</t>
  </si>
  <si>
    <t>Ʃ</t>
  </si>
  <si>
    <t>(1+K2)eq =</t>
  </si>
  <si>
    <t>Ʃ(1+K2)SAPP/ƩSAPP</t>
  </si>
  <si>
    <t>RAPP =</t>
  </si>
  <si>
    <t>1/2 ρ V2 SAPP(1+K2)eq CF</t>
  </si>
  <si>
    <t>Wave Resistance (RW)</t>
  </si>
  <si>
    <t>C7 =</t>
  </si>
  <si>
    <t>B/L</t>
  </si>
  <si>
    <r>
      <rPr>
        <sz val="12"/>
        <rFont val="Calibri"/>
        <family val="2"/>
        <charset val="1"/>
      </rPr>
      <t>I</t>
    </r>
    <r>
      <rPr>
        <vertAlign val="subscript"/>
        <sz val="12"/>
        <rFont val="Calibri"/>
        <family val="2"/>
        <charset val="1"/>
      </rPr>
      <t>E =</t>
    </r>
  </si>
  <si>
    <t>1+89exp{-(L/B)0,80856(1-Cwp)0,30482,21(1-CP-0,0225LCB)*0,6367(LR/B)0,34574(100▼/L3)0,16302}</t>
  </si>
  <si>
    <r>
      <rPr>
        <sz val="12"/>
        <rFont val="Calibri"/>
        <family val="2"/>
        <charset val="1"/>
      </rPr>
      <t>C</t>
    </r>
    <r>
      <rPr>
        <vertAlign val="subscript"/>
        <sz val="12"/>
        <rFont val="Calibri"/>
        <family val="2"/>
        <charset val="1"/>
      </rPr>
      <t>1</t>
    </r>
    <r>
      <rPr>
        <sz val="12"/>
        <rFont val="Calibri"/>
        <family val="2"/>
        <charset val="1"/>
      </rPr>
      <t xml:space="preserve"> =</t>
    </r>
  </si>
  <si>
    <t>2223105(C7)3,78613(T/B)1,07961(90-IE)(-1,37565)</t>
  </si>
  <si>
    <r>
      <rPr>
        <sz val="12"/>
        <rFont val="Calibri"/>
        <family val="2"/>
        <charset val="1"/>
      </rPr>
      <t>C</t>
    </r>
    <r>
      <rPr>
        <vertAlign val="subscript"/>
        <sz val="12"/>
        <rFont val="Calibri"/>
        <family val="2"/>
        <charset val="1"/>
      </rPr>
      <t>3</t>
    </r>
    <r>
      <rPr>
        <sz val="12"/>
        <rFont val="Calibri"/>
        <family val="2"/>
        <charset val="1"/>
      </rPr>
      <t xml:space="preserve"> =</t>
    </r>
  </si>
  <si>
    <t>0,56ABT^1,5/{BT(0,31√ABT + TF - hB)}</t>
  </si>
  <si>
    <t>AT</t>
  </si>
  <si>
    <t>Luas transom atau luas yg tercelup ke air,</t>
  </si>
  <si>
    <t>hB</t>
  </si>
  <si>
    <t>Tinggi pusat bulb dari base line = 0</t>
  </si>
  <si>
    <t>TF</t>
  </si>
  <si>
    <t xml:space="preserve">Sarat pada bagian haluan </t>
  </si>
  <si>
    <t>ABT</t>
  </si>
  <si>
    <t>Luas penampang melintang dari Bulbus Bow, Karena kapal ini tidak memiliki bulbous bow maka tidak memiliki luas penampang dari bulbous bow</t>
  </si>
  <si>
    <r>
      <rPr>
        <sz val="12"/>
        <rFont val="Calibri"/>
        <family val="2"/>
        <charset val="1"/>
      </rPr>
      <t>A</t>
    </r>
    <r>
      <rPr>
        <vertAlign val="subscript"/>
        <sz val="12"/>
        <rFont val="Calibri"/>
        <family val="2"/>
        <charset val="1"/>
      </rPr>
      <t xml:space="preserve">BT  </t>
    </r>
    <r>
      <rPr>
        <sz val="12"/>
        <rFont val="Calibri"/>
        <family val="2"/>
        <charset val="1"/>
      </rPr>
      <t>=</t>
    </r>
  </si>
  <si>
    <r>
      <rPr>
        <sz val="12"/>
        <rFont val="Calibri"/>
        <family val="2"/>
        <charset val="1"/>
      </rPr>
      <t>Nilai C</t>
    </r>
    <r>
      <rPr>
        <vertAlign val="subscript"/>
        <sz val="12"/>
        <rFont val="Calibri"/>
        <family val="2"/>
        <charset val="1"/>
      </rPr>
      <t>3</t>
    </r>
    <r>
      <rPr>
        <sz val="12"/>
        <rFont val="Calibri"/>
        <family val="2"/>
        <charset val="1"/>
      </rPr>
      <t xml:space="preserve"> =</t>
    </r>
  </si>
  <si>
    <r>
      <rPr>
        <sz val="12"/>
        <rFont val="Calibri"/>
        <family val="2"/>
        <charset val="1"/>
      </rPr>
      <t>A</t>
    </r>
    <r>
      <rPr>
        <vertAlign val="subscript"/>
        <sz val="12"/>
        <rFont val="Calibri"/>
        <family val="2"/>
        <charset val="1"/>
      </rPr>
      <t>T</t>
    </r>
    <r>
      <rPr>
        <sz val="12"/>
        <rFont val="Calibri"/>
        <family val="2"/>
        <charset val="1"/>
      </rPr>
      <t xml:space="preserve"> =</t>
    </r>
  </si>
  <si>
    <t>Koeffisien karena bentuk buritan kapal, Luas transom atau luas yg tercelup ke air, Transom pada kapal ini luas permukaannya, seluruhnya berada diatas permukaan air</t>
  </si>
  <si>
    <r>
      <rPr>
        <sz val="12"/>
        <rFont val="Calibri"/>
        <family val="2"/>
        <charset val="1"/>
      </rPr>
      <t>C</t>
    </r>
    <r>
      <rPr>
        <vertAlign val="subscript"/>
        <sz val="12"/>
        <rFont val="Calibri"/>
        <family val="2"/>
        <charset val="1"/>
      </rPr>
      <t>2</t>
    </r>
    <r>
      <rPr>
        <sz val="12"/>
        <rFont val="Calibri"/>
        <family val="2"/>
        <charset val="1"/>
      </rPr>
      <t xml:space="preserve"> =</t>
    </r>
  </si>
  <si>
    <t>Koeffisien karena  adanya  bulbousbow</t>
  </si>
  <si>
    <r>
      <rPr>
        <sz val="12"/>
        <rFont val="Calibri"/>
        <family val="2"/>
        <charset val="1"/>
      </rPr>
      <t>Exp ( - 1.89 * C</t>
    </r>
    <r>
      <rPr>
        <vertAlign val="subscript"/>
        <sz val="12"/>
        <rFont val="Calibri"/>
        <family val="2"/>
        <charset val="1"/>
      </rPr>
      <t>3</t>
    </r>
    <r>
      <rPr>
        <vertAlign val="superscript"/>
        <sz val="12"/>
        <rFont val="Calibri"/>
        <family val="2"/>
        <charset val="1"/>
      </rPr>
      <t>0.5</t>
    </r>
    <r>
      <rPr>
        <sz val="12"/>
        <rFont val="Calibri"/>
        <family val="2"/>
        <charset val="1"/>
      </rPr>
      <t>)</t>
    </r>
  </si>
  <si>
    <t>tanpa bulbusbow</t>
  </si>
  <si>
    <r>
      <rPr>
        <sz val="12"/>
        <rFont val="Calibri"/>
        <family val="2"/>
        <charset val="1"/>
      </rPr>
      <t>C</t>
    </r>
    <r>
      <rPr>
        <vertAlign val="subscript"/>
        <sz val="12"/>
        <rFont val="Calibri"/>
        <family val="2"/>
        <charset val="1"/>
      </rPr>
      <t>5</t>
    </r>
    <r>
      <rPr>
        <sz val="12"/>
        <rFont val="Calibri"/>
        <family val="2"/>
        <charset val="1"/>
      </rPr>
      <t xml:space="preserve"> =</t>
    </r>
  </si>
  <si>
    <t>1-0,8(AT / B x T x Cm)</t>
  </si>
  <si>
    <t>λ =</t>
  </si>
  <si>
    <t xml:space="preserve">1,446 Cp - 0,03 L/B      </t>
  </si>
  <si>
    <t>L/B =</t>
  </si>
  <si>
    <r>
      <rPr>
        <sz val="12"/>
        <rFont val="Calibri"/>
        <family val="2"/>
        <charset val="1"/>
      </rPr>
      <t>C</t>
    </r>
    <r>
      <rPr>
        <vertAlign val="subscript"/>
        <sz val="12"/>
        <rFont val="Calibri"/>
        <family val="2"/>
        <charset val="1"/>
      </rPr>
      <t>16</t>
    </r>
    <r>
      <rPr>
        <sz val="12"/>
        <rFont val="Calibri"/>
        <family val="2"/>
        <charset val="1"/>
      </rPr>
      <t xml:space="preserve"> =</t>
    </r>
  </si>
  <si>
    <t xml:space="preserve">8,07981 Cp - 13,8673 Cp2 + 6,984388 Cp3     </t>
  </si>
  <si>
    <r>
      <rPr>
        <sz val="12"/>
        <rFont val="Calibri"/>
        <family val="2"/>
        <charset val="1"/>
      </rPr>
      <t>m</t>
    </r>
    <r>
      <rPr>
        <vertAlign val="subscript"/>
        <sz val="12"/>
        <rFont val="Calibri"/>
        <family val="2"/>
        <charset val="1"/>
      </rPr>
      <t>1</t>
    </r>
    <r>
      <rPr>
        <sz val="12"/>
        <rFont val="Calibri"/>
        <family val="2"/>
        <charset val="1"/>
      </rPr>
      <t xml:space="preserve"> =</t>
    </r>
  </si>
  <si>
    <t>0,0140407 L/T - 1,75254 Vdisp^1/3 /L + 4,79323 B/L - C5</t>
  </si>
  <si>
    <r>
      <rPr>
        <sz val="12"/>
        <rFont val="Calibri"/>
        <family val="2"/>
        <charset val="1"/>
      </rPr>
      <t>L</t>
    </r>
    <r>
      <rPr>
        <vertAlign val="superscript"/>
        <sz val="12"/>
        <rFont val="Calibri"/>
        <family val="2"/>
        <charset val="1"/>
      </rPr>
      <t>3</t>
    </r>
    <r>
      <rPr>
        <sz val="12"/>
        <rFont val="Calibri"/>
        <family val="2"/>
        <charset val="1"/>
      </rPr>
      <t>/Vdisp =</t>
    </r>
  </si>
  <si>
    <r>
      <rPr>
        <sz val="12"/>
        <rFont val="Calibri"/>
        <family val="2"/>
        <charset val="1"/>
      </rPr>
      <t>C</t>
    </r>
    <r>
      <rPr>
        <vertAlign val="subscript"/>
        <sz val="12"/>
        <rFont val="Calibri"/>
        <family val="2"/>
        <charset val="1"/>
      </rPr>
      <t>15</t>
    </r>
    <r>
      <rPr>
        <sz val="12"/>
        <rFont val="Calibri"/>
        <family val="2"/>
        <charset val="1"/>
      </rPr>
      <t xml:space="preserve"> =</t>
    </r>
  </si>
  <si>
    <r>
      <rPr>
        <sz val="12"/>
        <rFont val="Calibri"/>
        <family val="2"/>
        <charset val="1"/>
      </rPr>
      <t>m</t>
    </r>
    <r>
      <rPr>
        <vertAlign val="subscript"/>
        <sz val="12"/>
        <rFont val="Calibri"/>
        <family val="2"/>
        <charset val="1"/>
      </rPr>
      <t xml:space="preserve">2 </t>
    </r>
    <r>
      <rPr>
        <sz val="12"/>
        <rFont val="Calibri"/>
        <family val="2"/>
        <charset val="1"/>
      </rPr>
      <t>=</t>
    </r>
  </si>
  <si>
    <t>C15 x Cp^2 x exp(-0,1xFn^-2)</t>
  </si>
  <si>
    <t>d =</t>
  </si>
  <si>
    <t>Rw =</t>
  </si>
  <si>
    <r>
      <rPr>
        <sz val="12"/>
        <rFont val="Calibri"/>
        <family val="2"/>
        <charset val="1"/>
      </rPr>
      <t>C1 x C2 x C5 x ρ x g x exp { m</t>
    </r>
    <r>
      <rPr>
        <vertAlign val="subscript"/>
        <sz val="12"/>
        <rFont val="Calibri"/>
        <family val="2"/>
        <charset val="1"/>
      </rPr>
      <t xml:space="preserve">1 </t>
    </r>
    <r>
      <rPr>
        <sz val="12"/>
        <rFont val="Calibri"/>
        <family val="2"/>
        <charset val="1"/>
      </rPr>
      <t>Fn</t>
    </r>
    <r>
      <rPr>
        <vertAlign val="superscript"/>
        <sz val="12"/>
        <rFont val="Calibri"/>
        <family val="2"/>
        <charset val="1"/>
      </rPr>
      <t xml:space="preserve">d </t>
    </r>
    <r>
      <rPr>
        <sz val="12"/>
        <rFont val="Calibri"/>
        <family val="2"/>
        <charset val="1"/>
      </rPr>
      <t>+ m</t>
    </r>
    <r>
      <rPr>
        <vertAlign val="subscript"/>
        <sz val="12"/>
        <rFont val="Calibri"/>
        <family val="2"/>
        <charset val="1"/>
      </rPr>
      <t xml:space="preserve">2 </t>
    </r>
    <r>
      <rPr>
        <sz val="12"/>
        <rFont val="Calibri"/>
        <family val="2"/>
        <charset val="1"/>
      </rPr>
      <t>cos (λ Fn</t>
    </r>
    <r>
      <rPr>
        <vertAlign val="superscript"/>
        <sz val="12"/>
        <rFont val="Calibri"/>
        <family val="2"/>
        <charset val="1"/>
      </rPr>
      <t>-2</t>
    </r>
    <r>
      <rPr>
        <sz val="12"/>
        <rFont val="Calibri"/>
        <family val="2"/>
        <charset val="1"/>
      </rPr>
      <t>) }</t>
    </r>
  </si>
  <si>
    <t>Perhitungan Tahanan Tambahan Dari Bulbous Bow (RB)</t>
  </si>
  <si>
    <t>Kapal ini tidak menggunakan Bulbous Bow,</t>
  </si>
  <si>
    <r>
      <rPr>
        <sz val="12"/>
        <rFont val="Calibri"/>
        <family val="2"/>
        <charset val="1"/>
      </rPr>
      <t>Jadi, R</t>
    </r>
    <r>
      <rPr>
        <vertAlign val="subscript"/>
        <sz val="12"/>
        <rFont val="Calibri"/>
        <family val="2"/>
        <charset val="1"/>
      </rPr>
      <t>B</t>
    </r>
    <r>
      <rPr>
        <sz val="12"/>
        <rFont val="Calibri"/>
        <family val="2"/>
        <charset val="1"/>
      </rPr>
      <t xml:space="preserve"> =</t>
    </r>
  </si>
  <si>
    <t>Perhitungan Tahanan Tambahan Dari Transom (RTR)</t>
  </si>
  <si>
    <r>
      <rPr>
        <sz val="12"/>
        <rFont val="Calibri"/>
        <family val="2"/>
        <charset val="1"/>
      </rPr>
      <t>R</t>
    </r>
    <r>
      <rPr>
        <vertAlign val="subscript"/>
        <sz val="12"/>
        <rFont val="Calibri"/>
        <family val="2"/>
        <charset val="1"/>
      </rPr>
      <t>TR</t>
    </r>
    <r>
      <rPr>
        <sz val="12"/>
        <rFont val="Calibri"/>
        <family val="2"/>
        <charset val="1"/>
      </rPr>
      <t xml:space="preserve"> =</t>
    </r>
  </si>
  <si>
    <t>0,5 x ρ x V^2x AT x C6</t>
  </si>
  <si>
    <t>Model - Ship Correlation allowance (RA)</t>
  </si>
  <si>
    <t>Adalah nilai koreksi yang berhubungan dengan model kapal :</t>
  </si>
  <si>
    <t>Menentukan nilai T/L</t>
  </si>
  <si>
    <t>T/L =</t>
  </si>
  <si>
    <r>
      <rPr>
        <sz val="12"/>
        <rFont val="Calibri"/>
        <family val="2"/>
        <charset val="1"/>
      </rPr>
      <t>Menentukan nilai C</t>
    </r>
    <r>
      <rPr>
        <vertAlign val="subscript"/>
        <sz val="12"/>
        <rFont val="Calibri"/>
        <family val="2"/>
        <charset val="1"/>
      </rPr>
      <t>A</t>
    </r>
  </si>
  <si>
    <t>Untuk nilai T/L &gt; 0,04</t>
  </si>
  <si>
    <r>
      <rPr>
        <sz val="12"/>
        <rFont val="Calibri"/>
        <family val="2"/>
        <charset val="1"/>
      </rPr>
      <t>Nilai C</t>
    </r>
    <r>
      <rPr>
        <vertAlign val="subscript"/>
        <sz val="12"/>
        <rFont val="Calibri"/>
        <family val="2"/>
        <charset val="1"/>
      </rPr>
      <t xml:space="preserve">4 </t>
    </r>
    <r>
      <rPr>
        <sz val="12"/>
        <rFont val="Calibri"/>
        <family val="2"/>
        <charset val="1"/>
      </rPr>
      <t>=</t>
    </r>
  </si>
  <si>
    <r>
      <rPr>
        <sz val="12"/>
        <rFont val="Calibri"/>
        <family val="2"/>
        <charset val="1"/>
      </rPr>
      <t>C</t>
    </r>
    <r>
      <rPr>
        <vertAlign val="subscript"/>
        <sz val="12"/>
        <rFont val="Calibri"/>
        <family val="2"/>
        <charset val="1"/>
      </rPr>
      <t>A</t>
    </r>
    <r>
      <rPr>
        <sz val="12"/>
        <rFont val="Calibri"/>
        <family val="2"/>
        <charset val="1"/>
      </rPr>
      <t xml:space="preserve"> =</t>
    </r>
  </si>
  <si>
    <t>0,006(L+100)-0,16-0,00205+0,003(L/7,5)0,5*Cb4*C2(0,04-C4)</t>
  </si>
  <si>
    <r>
      <rPr>
        <b/>
        <sz val="12"/>
        <rFont val="Calibri"/>
        <family val="2"/>
        <charset val="1"/>
      </rPr>
      <t>Sehingga kita dapat menghitung nilai R</t>
    </r>
    <r>
      <rPr>
        <b/>
        <vertAlign val="subscript"/>
        <sz val="12"/>
        <rFont val="Calibri"/>
        <family val="2"/>
        <charset val="1"/>
      </rPr>
      <t>A</t>
    </r>
    <r>
      <rPr>
        <b/>
        <sz val="12"/>
        <rFont val="Calibri"/>
        <family val="2"/>
        <charset val="1"/>
      </rPr>
      <t xml:space="preserve"> adalah</t>
    </r>
  </si>
  <si>
    <r>
      <rPr>
        <sz val="12"/>
        <rFont val="Calibri"/>
        <family val="2"/>
        <charset val="1"/>
      </rPr>
      <t>R</t>
    </r>
    <r>
      <rPr>
        <vertAlign val="subscript"/>
        <sz val="12"/>
        <rFont val="Calibri"/>
        <family val="2"/>
        <charset val="1"/>
      </rPr>
      <t>A</t>
    </r>
    <r>
      <rPr>
        <sz val="12"/>
        <rFont val="Calibri"/>
        <family val="2"/>
        <charset val="1"/>
      </rPr>
      <t xml:space="preserve"> =</t>
    </r>
  </si>
  <si>
    <t>0,5 x ρ x V^2 x CA x S</t>
  </si>
  <si>
    <r>
      <rPr>
        <b/>
        <sz val="12"/>
        <rFont val="Calibri"/>
        <family val="2"/>
        <charset val="1"/>
      </rPr>
      <t xml:space="preserve">         Jadi Tahanan Total Kapal (R</t>
    </r>
    <r>
      <rPr>
        <b/>
        <vertAlign val="subscript"/>
        <sz val="12"/>
        <rFont val="Calibri"/>
        <family val="2"/>
        <charset val="1"/>
      </rPr>
      <t>T</t>
    </r>
    <r>
      <rPr>
        <b/>
        <sz val="12"/>
        <rFont val="Calibri"/>
        <family val="2"/>
        <charset val="1"/>
      </rPr>
      <t>) sebesar</t>
    </r>
  </si>
  <si>
    <r>
      <rPr>
        <sz val="12"/>
        <rFont val="Calibri"/>
        <family val="2"/>
        <charset val="1"/>
      </rPr>
      <t>R</t>
    </r>
    <r>
      <rPr>
        <vertAlign val="subscript"/>
        <sz val="12"/>
        <rFont val="Calibri"/>
        <family val="2"/>
        <charset val="1"/>
      </rPr>
      <t>T</t>
    </r>
    <r>
      <rPr>
        <sz val="12"/>
        <rFont val="Calibri"/>
        <family val="2"/>
        <charset val="1"/>
      </rPr>
      <t xml:space="preserve"> =</t>
    </r>
  </si>
  <si>
    <r>
      <rPr>
        <sz val="12"/>
        <rFont val="Calibri"/>
        <family val="2"/>
        <charset val="1"/>
      </rPr>
      <t>R</t>
    </r>
    <r>
      <rPr>
        <vertAlign val="subscript"/>
        <sz val="12"/>
        <rFont val="Calibri"/>
        <family val="2"/>
        <charset val="1"/>
      </rPr>
      <t xml:space="preserve">F </t>
    </r>
    <r>
      <rPr>
        <sz val="12"/>
        <rFont val="Calibri"/>
        <family val="2"/>
        <charset val="1"/>
      </rPr>
      <t>(1+k) + R</t>
    </r>
    <r>
      <rPr>
        <vertAlign val="subscript"/>
        <sz val="12"/>
        <rFont val="Calibri"/>
        <family val="2"/>
        <charset val="1"/>
      </rPr>
      <t>APP</t>
    </r>
    <r>
      <rPr>
        <sz val="12"/>
        <rFont val="Calibri"/>
        <family val="2"/>
        <charset val="1"/>
      </rPr>
      <t xml:space="preserve"> + R</t>
    </r>
    <r>
      <rPr>
        <vertAlign val="subscript"/>
        <sz val="12"/>
        <rFont val="Calibri"/>
        <family val="2"/>
        <charset val="1"/>
      </rPr>
      <t>W</t>
    </r>
    <r>
      <rPr>
        <sz val="12"/>
        <rFont val="Calibri"/>
        <family val="2"/>
        <charset val="1"/>
      </rPr>
      <t xml:space="preserve"> + R</t>
    </r>
    <r>
      <rPr>
        <vertAlign val="subscript"/>
        <sz val="12"/>
        <rFont val="Calibri"/>
        <family val="2"/>
        <charset val="1"/>
      </rPr>
      <t xml:space="preserve">B </t>
    </r>
    <r>
      <rPr>
        <sz val="12"/>
        <rFont val="Calibri"/>
        <family val="2"/>
        <charset val="1"/>
      </rPr>
      <t>+ R</t>
    </r>
    <r>
      <rPr>
        <vertAlign val="subscript"/>
        <sz val="12"/>
        <rFont val="Calibri"/>
        <family val="2"/>
        <charset val="1"/>
      </rPr>
      <t>TR</t>
    </r>
    <r>
      <rPr>
        <sz val="12"/>
        <rFont val="Calibri"/>
        <family val="2"/>
        <charset val="1"/>
      </rPr>
      <t xml:space="preserve"> + R</t>
    </r>
    <r>
      <rPr>
        <vertAlign val="subscript"/>
        <sz val="12"/>
        <rFont val="Calibri"/>
        <family val="2"/>
        <charset val="1"/>
      </rPr>
      <t>A</t>
    </r>
  </si>
  <si>
    <t>Sea Margin</t>
  </si>
  <si>
    <t>Nilai ini masih dalam kondisi pelayaran normal, sehingga perlu adanya tahanan</t>
  </si>
  <si>
    <t xml:space="preserve"> tambahan untuk jalur pelayaran, Kapal ini berlayar di pelayaran Nusantara, </t>
  </si>
  <si>
    <t>maka diasumsikan nilai sea marginnya = 20%</t>
  </si>
  <si>
    <r>
      <rPr>
        <b/>
        <sz val="12"/>
        <rFont val="Calibri"/>
        <family val="2"/>
        <charset val="1"/>
      </rPr>
      <t>Rt</t>
    </r>
    <r>
      <rPr>
        <b/>
        <vertAlign val="subscript"/>
        <sz val="12"/>
        <rFont val="Calibri"/>
        <family val="2"/>
        <charset val="1"/>
      </rPr>
      <t>service</t>
    </r>
  </si>
  <si>
    <r>
      <rPr>
        <b/>
        <sz val="12"/>
        <rFont val="Calibri"/>
        <family val="2"/>
        <charset val="1"/>
      </rPr>
      <t>(1+20%) R</t>
    </r>
    <r>
      <rPr>
        <b/>
        <vertAlign val="subscript"/>
        <sz val="12"/>
        <rFont val="Calibri"/>
        <family val="2"/>
        <charset val="1"/>
      </rPr>
      <t>T</t>
    </r>
  </si>
  <si>
    <t>Daya Efektif (EHP)</t>
  </si>
  <si>
    <t xml:space="preserve">Besarnya daya yang dibutuhkan untuk mengatasi gaya hambat dari badan kapal </t>
  </si>
  <si>
    <t>(Hull) agar kapal dapat sesuai dengan kecepatan sebesar Vs</t>
  </si>
  <si>
    <t>EHP</t>
  </si>
  <si>
    <r>
      <rPr>
        <sz val="12"/>
        <rFont val="Calibri"/>
        <family val="2"/>
        <charset val="1"/>
      </rPr>
      <t>R</t>
    </r>
    <r>
      <rPr>
        <vertAlign val="subscript"/>
        <sz val="12"/>
        <rFont val="Calibri"/>
        <family val="2"/>
        <charset val="1"/>
      </rPr>
      <t>T</t>
    </r>
    <r>
      <rPr>
        <sz val="12"/>
        <rFont val="Calibri"/>
        <family val="2"/>
        <charset val="1"/>
      </rPr>
      <t xml:space="preserve"> x V</t>
    </r>
    <r>
      <rPr>
        <vertAlign val="subscript"/>
        <sz val="12"/>
        <rFont val="Calibri"/>
        <family val="2"/>
        <charset val="1"/>
      </rPr>
      <t>S</t>
    </r>
  </si>
  <si>
    <t>(asumsi pertama)</t>
  </si>
  <si>
    <t>Daya yang disalurkan (DHP)</t>
  </si>
  <si>
    <t>DHP</t>
  </si>
  <si>
    <t>Dimana =</t>
  </si>
  <si>
    <t>(untuk kapal baling-baling tunggal)</t>
  </si>
  <si>
    <t>Pc</t>
  </si>
  <si>
    <t xml:space="preserve">ηrr x ηP x ηH </t>
  </si>
  <si>
    <t>Dimana</t>
  </si>
  <si>
    <t>ηrr</t>
  </si>
  <si>
    <t>Ratio antara efisiensi baling-baling pada saat open water.</t>
  </si>
  <si>
    <t>Behind the ship umumnya berkisar</t>
  </si>
  <si>
    <t>(1,02 - 1,05)</t>
  </si>
  <si>
    <t>ηP</t>
  </si>
  <si>
    <t>Ratio antara daya dorong dengan daya yang disalurkan</t>
  </si>
  <si>
    <t>(40%-70%), diambil</t>
  </si>
  <si>
    <t>ηH</t>
  </si>
  <si>
    <t>Efisiensi Ratio antara daya efektif dengan daya dorong</t>
  </si>
  <si>
    <t>(1-t)/(1-w)</t>
  </si>
  <si>
    <t>Diameter maksimum propeller :</t>
  </si>
  <si>
    <t>Dmaks 0.65 T</t>
  </si>
  <si>
    <t>Dmaks &lt;</t>
  </si>
  <si>
    <t xml:space="preserve">Menghitung Wake Fraction : </t>
  </si>
  <si>
    <t xml:space="preserve">Wake friction atau arus ikut adalah perbedaan kecepatan kapal dengan </t>
  </si>
  <si>
    <t>kecepatan  aliran air yang menuju ke baling-baling.</t>
  </si>
  <si>
    <t xml:space="preserve">Pada kapal ini digunakan single screw propeler,maka nilai w adalah </t>
  </si>
  <si>
    <t>a)</t>
  </si>
  <si>
    <r>
      <rPr>
        <sz val="12"/>
        <rFont val="Calibri"/>
        <family val="2"/>
        <charset val="1"/>
      </rPr>
      <t>C</t>
    </r>
    <r>
      <rPr>
        <vertAlign val="subscript"/>
        <sz val="12"/>
        <rFont val="Calibri"/>
        <family val="2"/>
        <charset val="1"/>
      </rPr>
      <t>8</t>
    </r>
    <r>
      <rPr>
        <sz val="12"/>
        <rFont val="Calibri"/>
        <family val="2"/>
        <charset val="1"/>
      </rPr>
      <t xml:space="preserve"> =</t>
    </r>
  </si>
  <si>
    <t>B S / ( L D T )</t>
  </si>
  <si>
    <t>b)</t>
  </si>
  <si>
    <r>
      <rPr>
        <sz val="12"/>
        <rFont val="Calibri"/>
        <family val="2"/>
        <charset val="1"/>
      </rPr>
      <t>C</t>
    </r>
    <r>
      <rPr>
        <vertAlign val="subscript"/>
        <sz val="12"/>
        <rFont val="Calibri"/>
        <family val="2"/>
        <charset val="1"/>
      </rPr>
      <t>9</t>
    </r>
    <r>
      <rPr>
        <sz val="12"/>
        <rFont val="Calibri"/>
        <family val="2"/>
        <charset val="1"/>
      </rPr>
      <t xml:space="preserve"> =</t>
    </r>
  </si>
  <si>
    <r>
      <rPr>
        <sz val="12"/>
        <rFont val="Calibri"/>
        <family val="2"/>
        <charset val="1"/>
      </rPr>
      <t>C</t>
    </r>
    <r>
      <rPr>
        <vertAlign val="subscript"/>
        <sz val="12"/>
        <rFont val="Calibri"/>
        <family val="2"/>
        <charset val="1"/>
      </rPr>
      <t>8</t>
    </r>
  </si>
  <si>
    <t>c)</t>
  </si>
  <si>
    <r>
      <rPr>
        <sz val="12"/>
        <rFont val="Calibri"/>
        <family val="2"/>
        <charset val="1"/>
      </rPr>
      <t>C</t>
    </r>
    <r>
      <rPr>
        <vertAlign val="subscript"/>
        <sz val="12"/>
        <rFont val="Calibri"/>
        <family val="2"/>
        <charset val="1"/>
      </rPr>
      <t>11</t>
    </r>
    <r>
      <rPr>
        <sz val="12"/>
        <rFont val="Calibri"/>
        <family val="2"/>
        <charset val="1"/>
      </rPr>
      <t xml:space="preserve"> =</t>
    </r>
  </si>
  <si>
    <t>T / D</t>
  </si>
  <si>
    <t>d)</t>
  </si>
  <si>
    <r>
      <rPr>
        <sz val="12"/>
        <rFont val="Calibri"/>
        <family val="2"/>
        <charset val="1"/>
      </rPr>
      <t>C</t>
    </r>
    <r>
      <rPr>
        <vertAlign val="subscript"/>
        <sz val="12"/>
        <rFont val="Calibri"/>
        <family val="2"/>
        <charset val="1"/>
      </rPr>
      <t xml:space="preserve">19 </t>
    </r>
    <r>
      <rPr>
        <sz val="12"/>
        <rFont val="Calibri"/>
        <family val="2"/>
        <charset val="1"/>
      </rPr>
      <t>=</t>
    </r>
  </si>
  <si>
    <t>0,18567 / ( 1,3571 - Cm ) - 0,71276 + 0,38648 Cp</t>
  </si>
  <si>
    <t>e)</t>
  </si>
  <si>
    <r>
      <rPr>
        <sz val="12"/>
        <rFont val="Calibri"/>
        <family val="2"/>
        <charset val="1"/>
      </rPr>
      <t>C</t>
    </r>
    <r>
      <rPr>
        <vertAlign val="subscript"/>
        <sz val="12"/>
        <rFont val="Calibri"/>
        <family val="2"/>
        <charset val="1"/>
      </rPr>
      <t xml:space="preserve">20 </t>
    </r>
    <r>
      <rPr>
        <sz val="12"/>
        <rFont val="Calibri"/>
        <family val="2"/>
        <charset val="1"/>
      </rPr>
      <t>=</t>
    </r>
  </si>
  <si>
    <r>
      <rPr>
        <sz val="12"/>
        <rFont val="Calibri"/>
        <family val="2"/>
        <charset val="1"/>
      </rPr>
      <t>1 + 0.0015 C</t>
    </r>
    <r>
      <rPr>
        <vertAlign val="subscript"/>
        <sz val="12"/>
        <rFont val="Calibri"/>
        <family val="2"/>
        <charset val="1"/>
      </rPr>
      <t>STERN</t>
    </r>
  </si>
  <si>
    <t>1+(0.0015 x (8))</t>
  </si>
  <si>
    <t>f)</t>
  </si>
  <si>
    <r>
      <rPr>
        <sz val="12"/>
        <rFont val="Calibri"/>
        <family val="2"/>
        <charset val="1"/>
      </rPr>
      <t>Cp</t>
    </r>
    <r>
      <rPr>
        <vertAlign val="subscript"/>
        <sz val="12"/>
        <rFont val="Calibri"/>
        <family val="2"/>
        <charset val="1"/>
      </rPr>
      <t>1</t>
    </r>
    <r>
      <rPr>
        <sz val="12"/>
        <rFont val="Calibri"/>
        <family val="2"/>
        <charset val="1"/>
      </rPr>
      <t xml:space="preserve"> =</t>
    </r>
  </si>
  <si>
    <t>1,45 Cp - 0,315 - 0,0225 LCB</t>
  </si>
  <si>
    <t>g)</t>
  </si>
  <si>
    <r>
      <rPr>
        <sz val="12"/>
        <rFont val="Calibri"/>
        <family val="2"/>
        <charset val="1"/>
      </rPr>
      <t>C</t>
    </r>
    <r>
      <rPr>
        <vertAlign val="subscript"/>
        <sz val="12"/>
        <rFont val="Calibri"/>
        <family val="2"/>
        <charset val="1"/>
      </rPr>
      <t>V</t>
    </r>
    <r>
      <rPr>
        <sz val="12"/>
        <rFont val="Calibri"/>
        <family val="2"/>
        <charset val="1"/>
      </rPr>
      <t xml:space="preserve"> =</t>
    </r>
  </si>
  <si>
    <r>
      <rPr>
        <sz val="12"/>
        <rFont val="Calibri"/>
        <family val="2"/>
        <charset val="1"/>
      </rPr>
      <t>(1+k) C</t>
    </r>
    <r>
      <rPr>
        <vertAlign val="subscript"/>
        <sz val="12"/>
        <rFont val="Calibri"/>
        <family val="2"/>
        <charset val="1"/>
      </rPr>
      <t>F</t>
    </r>
    <r>
      <rPr>
        <sz val="12"/>
        <rFont val="Calibri"/>
        <family val="2"/>
        <charset val="1"/>
      </rPr>
      <t xml:space="preserve"> + CA</t>
    </r>
  </si>
  <si>
    <t xml:space="preserve">Sehingga wake fraction </t>
  </si>
  <si>
    <t>w =</t>
  </si>
  <si>
    <r>
      <rPr>
        <sz val="12"/>
        <rFont val="Calibri"/>
        <family val="2"/>
        <charset val="1"/>
      </rPr>
      <t>C</t>
    </r>
    <r>
      <rPr>
        <vertAlign val="subscript"/>
        <sz val="12"/>
        <rFont val="Calibri"/>
        <family val="2"/>
        <charset val="1"/>
      </rPr>
      <t>9</t>
    </r>
    <r>
      <rPr>
        <sz val="12"/>
        <rFont val="Calibri"/>
        <family val="2"/>
        <charset val="1"/>
      </rPr>
      <t>.C</t>
    </r>
    <r>
      <rPr>
        <vertAlign val="subscript"/>
        <sz val="12"/>
        <rFont val="Calibri"/>
        <family val="2"/>
        <charset val="1"/>
      </rPr>
      <t>20</t>
    </r>
    <r>
      <rPr>
        <sz val="12"/>
        <rFont val="Calibri"/>
        <family val="2"/>
        <charset val="1"/>
      </rPr>
      <t>.C</t>
    </r>
    <r>
      <rPr>
        <vertAlign val="subscript"/>
        <sz val="12"/>
        <rFont val="Calibri"/>
        <family val="2"/>
        <charset val="1"/>
      </rPr>
      <t>v</t>
    </r>
    <r>
      <rPr>
        <sz val="12"/>
        <rFont val="Calibri"/>
        <family val="2"/>
        <charset val="1"/>
      </rPr>
      <t>.L/T(0,050776+0,93405.C</t>
    </r>
    <r>
      <rPr>
        <vertAlign val="subscript"/>
        <sz val="12"/>
        <rFont val="Calibri"/>
        <family val="2"/>
        <charset val="1"/>
      </rPr>
      <t>11</t>
    </r>
    <r>
      <rPr>
        <sz val="12"/>
        <rFont val="Calibri"/>
        <family val="2"/>
        <charset val="1"/>
      </rPr>
      <t>.C</t>
    </r>
    <r>
      <rPr>
        <vertAlign val="subscript"/>
        <sz val="12"/>
        <rFont val="Calibri"/>
        <family val="2"/>
        <charset val="1"/>
      </rPr>
      <t>v</t>
    </r>
    <r>
      <rPr>
        <sz val="12"/>
        <rFont val="Calibri"/>
        <family val="2"/>
        <charset val="1"/>
      </rPr>
      <t>/(1-Cp</t>
    </r>
    <r>
      <rPr>
        <vertAlign val="subscript"/>
        <sz val="12"/>
        <rFont val="Calibri"/>
        <family val="2"/>
        <charset val="1"/>
      </rPr>
      <t>1</t>
    </r>
    <r>
      <rPr>
        <sz val="12"/>
        <rFont val="Calibri"/>
        <family val="2"/>
        <charset val="1"/>
      </rPr>
      <t>))+0,27951.C</t>
    </r>
    <r>
      <rPr>
        <vertAlign val="subscript"/>
        <sz val="12"/>
        <rFont val="Calibri"/>
        <family val="2"/>
        <charset val="1"/>
      </rPr>
      <t>20</t>
    </r>
    <r>
      <rPr>
        <sz val="12"/>
        <rFont val="Calibri"/>
        <family val="2"/>
        <charset val="1"/>
      </rPr>
      <t>√(B/(L(1-Cp</t>
    </r>
    <r>
      <rPr>
        <vertAlign val="subscript"/>
        <sz val="12"/>
        <rFont val="Calibri"/>
        <family val="2"/>
        <charset val="1"/>
      </rPr>
      <t>1</t>
    </r>
    <r>
      <rPr>
        <sz val="12"/>
        <rFont val="Calibri"/>
        <family val="2"/>
        <charset val="1"/>
      </rPr>
      <t>))+C</t>
    </r>
    <r>
      <rPr>
        <vertAlign val="subscript"/>
        <sz val="12"/>
        <rFont val="Calibri"/>
        <family val="2"/>
        <charset val="1"/>
      </rPr>
      <t>19</t>
    </r>
    <r>
      <rPr>
        <sz val="12"/>
        <rFont val="Calibri"/>
        <family val="2"/>
        <charset val="1"/>
      </rPr>
      <t>.C</t>
    </r>
    <r>
      <rPr>
        <vertAlign val="subscript"/>
        <sz val="12"/>
        <rFont val="Calibri"/>
        <family val="2"/>
        <charset val="1"/>
      </rPr>
      <t>20</t>
    </r>
  </si>
  <si>
    <t>Menghitung trust deducton factor (t)</t>
  </si>
  <si>
    <t>t =</t>
  </si>
  <si>
    <r>
      <rPr>
        <sz val="12"/>
        <rFont val="Calibri"/>
        <family val="2"/>
        <charset val="1"/>
      </rPr>
      <t>0,25014 (B/L)</t>
    </r>
    <r>
      <rPr>
        <vertAlign val="superscript"/>
        <sz val="12"/>
        <rFont val="Calibri"/>
        <family val="2"/>
        <charset val="1"/>
      </rPr>
      <t>0,2896</t>
    </r>
    <r>
      <rPr>
        <sz val="12"/>
        <rFont val="Calibri"/>
        <family val="2"/>
        <charset val="1"/>
      </rPr>
      <t>(√(B.T)/D)</t>
    </r>
    <r>
      <rPr>
        <vertAlign val="superscript"/>
        <sz val="12"/>
        <rFont val="Calibri"/>
        <family val="2"/>
        <charset val="1"/>
      </rPr>
      <t>0,2646</t>
    </r>
    <r>
      <rPr>
        <sz val="12"/>
        <rFont val="Calibri"/>
        <family val="2"/>
        <charset val="1"/>
      </rPr>
      <t>/(1-Cp+0,0225LCB)</t>
    </r>
    <r>
      <rPr>
        <vertAlign val="superscript"/>
        <sz val="12"/>
        <rFont val="Calibri"/>
        <family val="2"/>
        <charset val="1"/>
      </rPr>
      <t>0,01762</t>
    </r>
    <r>
      <rPr>
        <sz val="12"/>
        <rFont val="Calibri"/>
        <family val="2"/>
        <charset val="1"/>
      </rPr>
      <t>+0,0015*C</t>
    </r>
    <r>
      <rPr>
        <vertAlign val="subscript"/>
        <sz val="12"/>
        <rFont val="Calibri"/>
        <family val="2"/>
        <charset val="1"/>
      </rPr>
      <t>STERN</t>
    </r>
  </si>
  <si>
    <t>Jadi, ηH =</t>
  </si>
  <si>
    <t xml:space="preserve">Pc = </t>
  </si>
  <si>
    <t>Daya Dorong (THP)</t>
  </si>
  <si>
    <t>THP =</t>
  </si>
  <si>
    <t xml:space="preserve">EHP/ηH </t>
  </si>
  <si>
    <t xml:space="preserve"> Daya pada Poros Baling-Baling (SHP)</t>
  </si>
  <si>
    <t>Di sini kapal memiliki kamar mesin di bagian belakang, dengan loss 2%. Sehingga</t>
  </si>
  <si>
    <t>harga efisiensi bantalan dan tabung baling - baling atau ηSηB adalah 0,98.</t>
  </si>
  <si>
    <t>DHP / ηSηB</t>
  </si>
  <si>
    <t xml:space="preserve">dalam perancangan ini direncanakan ηG sebesar 0,98 </t>
  </si>
  <si>
    <t>Kw</t>
  </si>
  <si>
    <t>Sistem roda gigi pada kapal ini direncanakan menggunakan Gigi Reduksi Tunggal</t>
  </si>
  <si>
    <t>atau Single Reduction Gears dengan loss 2% untuk arah maju dan Gigi Pembalik</t>
  </si>
  <si>
    <t>atau Reversing Gears dengan loss 1% Dari data sistem ini dapat diketahui harga</t>
  </si>
  <si>
    <t>efisiensi sistem roda gigi transmisi atau ηG dari setiap sistem adalah</t>
  </si>
  <si>
    <t>1. ηG Single Reduction Gears = 0,98</t>
  </si>
  <si>
    <t>2. ηG Reversing Gears = 0,99</t>
  </si>
  <si>
    <t xml:space="preserve">Dan pemilihannya ialah single reduction gears = 0,98 dengan loss 2%, </t>
  </si>
  <si>
    <t xml:space="preserve">sehingga ηG = </t>
  </si>
  <si>
    <r>
      <rPr>
        <sz val="12"/>
        <rFont val="Calibri"/>
        <family val="2"/>
        <charset val="1"/>
      </rPr>
      <t>BHP</t>
    </r>
    <r>
      <rPr>
        <vertAlign val="subscript"/>
        <sz val="12"/>
        <color rgb="FF000000"/>
        <rFont val="Calibri"/>
        <family val="2"/>
        <charset val="1"/>
      </rPr>
      <t>SCR</t>
    </r>
    <r>
      <rPr>
        <sz val="12"/>
        <rFont val="Calibri"/>
        <family val="2"/>
        <charset val="1"/>
      </rPr>
      <t xml:space="preserve"> =</t>
    </r>
  </si>
  <si>
    <t>SHP/ηG</t>
  </si>
  <si>
    <t>pada pelayaran normal atau SCR, dimana besarnya adalah 85% dari daya keluaran</t>
  </si>
  <si>
    <r>
      <rPr>
        <sz val="12"/>
        <rFont val="Calibri"/>
        <family val="2"/>
        <charset val="1"/>
      </rPr>
      <t>BHP</t>
    </r>
    <r>
      <rPr>
        <vertAlign val="subscript"/>
        <sz val="12"/>
        <rFont val="Calibri"/>
        <family val="2"/>
        <charset val="1"/>
      </rPr>
      <t>MCR</t>
    </r>
    <r>
      <rPr>
        <sz val="12"/>
        <rFont val="Calibri"/>
        <family val="2"/>
        <charset val="1"/>
      </rPr>
      <t xml:space="preserve"> =</t>
    </r>
  </si>
  <si>
    <r>
      <rPr>
        <sz val="12"/>
        <rFont val="Calibri"/>
        <family val="2"/>
        <charset val="1"/>
      </rPr>
      <t>BHP</t>
    </r>
    <r>
      <rPr>
        <vertAlign val="subscript"/>
        <sz val="12"/>
        <rFont val="Calibri"/>
        <family val="2"/>
        <charset val="1"/>
      </rPr>
      <t>SCR</t>
    </r>
    <r>
      <rPr>
        <sz val="12"/>
        <rFont val="Calibri"/>
        <family val="2"/>
        <charset val="1"/>
      </rPr>
      <t xml:space="preserve"> / 0,85</t>
    </r>
  </si>
  <si>
    <t>Data Engine</t>
  </si>
  <si>
    <t>Merk =</t>
  </si>
  <si>
    <t>Wartsila</t>
  </si>
  <si>
    <t>Type =</t>
  </si>
  <si>
    <t>7L46F</t>
  </si>
  <si>
    <t>1 HP =</t>
  </si>
  <si>
    <t>Cycle =</t>
  </si>
  <si>
    <t>4 stroke</t>
  </si>
  <si>
    <t>Power max =</t>
  </si>
  <si>
    <t>Cylinder  =</t>
  </si>
  <si>
    <t>Bore =</t>
  </si>
  <si>
    <t>Piston Stroke =</t>
  </si>
  <si>
    <t>Dimension =</t>
  </si>
  <si>
    <t>LE3</t>
  </si>
  <si>
    <t>Length =</t>
  </si>
  <si>
    <t>LE2</t>
  </si>
  <si>
    <t>Width =</t>
  </si>
  <si>
    <t>LE3*</t>
  </si>
  <si>
    <t>Height =</t>
  </si>
  <si>
    <t>HE3</t>
  </si>
  <si>
    <t>Weight =</t>
  </si>
  <si>
    <t>Rpm =</t>
  </si>
  <si>
    <t>rpm</t>
  </si>
  <si>
    <t>HE1</t>
  </si>
  <si>
    <t>l/cyl</t>
  </si>
  <si>
    <t>Power factor =</t>
  </si>
  <si>
    <t>Perhitungan Daya Engine MAK 6M32C</t>
  </si>
  <si>
    <r>
      <rPr>
        <sz val="9"/>
        <rFont val="Consolas"/>
        <family val="3"/>
        <charset val="1"/>
      </rPr>
      <t>a)     BHP</t>
    </r>
    <r>
      <rPr>
        <vertAlign val="subscript"/>
        <sz val="9"/>
        <rFont val="Consolas"/>
        <family val="3"/>
        <charset val="1"/>
      </rPr>
      <t>MCR</t>
    </r>
    <r>
      <rPr>
        <sz val="9"/>
        <rFont val="Consolas"/>
        <family val="3"/>
        <charset val="1"/>
      </rPr>
      <t xml:space="preserve"> =</t>
    </r>
  </si>
  <si>
    <r>
      <rPr>
        <sz val="9"/>
        <rFont val="Consolas"/>
        <family val="3"/>
        <charset val="1"/>
      </rPr>
      <t>b)     BHP</t>
    </r>
    <r>
      <rPr>
        <vertAlign val="subscript"/>
        <sz val="9"/>
        <rFont val="Consolas"/>
        <family val="3"/>
        <charset val="1"/>
      </rPr>
      <t>SCR</t>
    </r>
    <r>
      <rPr>
        <sz val="9"/>
        <rFont val="Consolas"/>
        <family val="3"/>
        <charset val="1"/>
      </rPr>
      <t xml:space="preserve"> =</t>
    </r>
  </si>
  <si>
    <r>
      <rPr>
        <sz val="9"/>
        <rFont val="Consolas"/>
        <family val="3"/>
        <charset val="1"/>
      </rPr>
      <t>BHP</t>
    </r>
    <r>
      <rPr>
        <vertAlign val="subscript"/>
        <sz val="9"/>
        <rFont val="Consolas"/>
        <family val="3"/>
        <charset val="1"/>
      </rPr>
      <t>MCR</t>
    </r>
    <r>
      <rPr>
        <sz val="9"/>
        <rFont val="Consolas"/>
        <family val="3"/>
        <charset val="1"/>
      </rPr>
      <t xml:space="preserve"> x 0,9</t>
    </r>
  </si>
  <si>
    <t>c)          SHP =</t>
  </si>
  <si>
    <r>
      <rPr>
        <sz val="9"/>
        <rFont val="Consolas"/>
        <family val="3"/>
        <charset val="1"/>
      </rPr>
      <t>BHP</t>
    </r>
    <r>
      <rPr>
        <vertAlign val="subscript"/>
        <sz val="9"/>
        <rFont val="Consolas"/>
        <family val="3"/>
        <charset val="1"/>
      </rPr>
      <t>SCR</t>
    </r>
    <r>
      <rPr>
        <sz val="9"/>
        <rFont val="Consolas"/>
        <family val="3"/>
        <charset val="1"/>
      </rPr>
      <t xml:space="preserve"> x ηG</t>
    </r>
  </si>
  <si>
    <t>d)          DHP =</t>
  </si>
  <si>
    <t>SHP x ηSηB</t>
  </si>
  <si>
    <t>e)          EHP =</t>
  </si>
  <si>
    <t>DHP x Pc</t>
  </si>
  <si>
    <t>f)          THP =</t>
  </si>
  <si>
    <t>EHP x ƞh</t>
  </si>
  <si>
    <t>Pemilihan gear Box</t>
  </si>
  <si>
    <t>ZF Marine Gearbox</t>
  </si>
  <si>
    <t>ZF W43100 NC</t>
  </si>
  <si>
    <t>Power Factor =</t>
  </si>
  <si>
    <t>Reduction Ratio =</t>
  </si>
  <si>
    <t>Input Power Capacity =</t>
  </si>
  <si>
    <t>Dimension</t>
  </si>
  <si>
    <t>L1+L2</t>
  </si>
  <si>
    <t>B1+B2</t>
  </si>
  <si>
    <t>H1+H2</t>
  </si>
  <si>
    <t>kg</t>
  </si>
  <si>
    <r>
      <rPr>
        <b/>
        <sz val="9"/>
        <color rgb="FF000000"/>
        <rFont val="Consolas"/>
        <family val="3"/>
        <charset val="1"/>
      </rPr>
      <t xml:space="preserve">Perhitungan Data </t>
    </r>
    <r>
      <rPr>
        <b/>
        <i/>
        <sz val="9"/>
        <color rgb="FF000000"/>
        <rFont val="Consolas"/>
        <family val="3"/>
        <charset val="1"/>
      </rPr>
      <t>Secondary</t>
    </r>
  </si>
  <si>
    <t>1 m/s =</t>
  </si>
  <si>
    <t>16 knot =</t>
  </si>
  <si>
    <t>Data Utama Engine</t>
  </si>
  <si>
    <t>Merk</t>
  </si>
  <si>
    <t>Type</t>
  </si>
  <si>
    <t>Cycle</t>
  </si>
  <si>
    <t>Power max</t>
  </si>
  <si>
    <t>Cylinder</t>
  </si>
  <si>
    <t>Bore</t>
  </si>
  <si>
    <t>Piston Stroke</t>
  </si>
  <si>
    <t xml:space="preserve">Dimension </t>
  </si>
  <si>
    <t>Length</t>
  </si>
  <si>
    <t>Width</t>
  </si>
  <si>
    <t>Height</t>
  </si>
  <si>
    <t>Rpm</t>
  </si>
  <si>
    <t>Power factor</t>
  </si>
  <si>
    <t xml:space="preserve">tr </t>
  </si>
  <si>
    <t xml:space="preserve">Power Factor </t>
  </si>
  <si>
    <t xml:space="preserve">Ratio </t>
  </si>
  <si>
    <t>Input Power</t>
  </si>
  <si>
    <t>Weight</t>
  </si>
  <si>
    <t>PERHITUNGAN PROPELLER</t>
  </si>
  <si>
    <t>Perhitungan Diameter Optimum</t>
  </si>
  <si>
    <r>
      <rPr>
        <b/>
        <sz val="9"/>
        <color rgb="FF000000"/>
        <rFont val="Consolas"/>
        <family val="3"/>
        <charset val="1"/>
      </rPr>
      <t>Menentukan N</t>
    </r>
    <r>
      <rPr>
        <b/>
        <vertAlign val="subscript"/>
        <sz val="9"/>
        <color rgb="FF000000"/>
        <rFont val="Consolas"/>
        <family val="3"/>
        <charset val="1"/>
      </rPr>
      <t>prop</t>
    </r>
  </si>
  <si>
    <r>
      <rPr>
        <sz val="9"/>
        <color rgb="FF000000"/>
        <rFont val="Consolas"/>
        <family val="3"/>
        <charset val="1"/>
      </rPr>
      <t>N</t>
    </r>
    <r>
      <rPr>
        <vertAlign val="subscript"/>
        <sz val="9"/>
        <color rgb="FF000000"/>
        <rFont val="Consolas"/>
        <family val="3"/>
        <charset val="1"/>
      </rPr>
      <t>prop</t>
    </r>
    <r>
      <rPr>
        <sz val="9"/>
        <color rgb="FF000000"/>
        <rFont val="Consolas"/>
        <family val="3"/>
        <charset val="1"/>
      </rPr>
      <t xml:space="preserve"> =</t>
    </r>
  </si>
  <si>
    <r>
      <rPr>
        <sz val="9"/>
        <color rgb="FF000000"/>
        <rFont val="Consolas"/>
        <family val="3"/>
        <charset val="1"/>
      </rPr>
      <t>N</t>
    </r>
    <r>
      <rPr>
        <vertAlign val="subscript"/>
        <sz val="9"/>
        <color rgb="FF000000"/>
        <rFont val="Consolas"/>
        <family val="3"/>
        <charset val="1"/>
      </rPr>
      <t>main engine</t>
    </r>
    <r>
      <rPr>
        <sz val="9"/>
        <color rgb="FF000000"/>
        <rFont val="Consolas"/>
        <family val="3"/>
        <charset val="1"/>
      </rPr>
      <t xml:space="preserve"> / ratio gearbox</t>
    </r>
  </si>
  <si>
    <t>dimana :</t>
  </si>
  <si>
    <r>
      <rPr>
        <sz val="9"/>
        <color rgb="FF000000"/>
        <rFont val="Consolas"/>
        <family val="3"/>
        <charset val="1"/>
      </rPr>
      <t>N</t>
    </r>
    <r>
      <rPr>
        <vertAlign val="subscript"/>
        <sz val="9"/>
        <color rgb="FF000000"/>
        <rFont val="Consolas"/>
        <family val="3"/>
        <charset val="1"/>
      </rPr>
      <t>main engine</t>
    </r>
    <r>
      <rPr>
        <sz val="9"/>
        <color rgb="FF000000"/>
        <rFont val="Consolas"/>
        <family val="3"/>
        <charset val="1"/>
      </rPr>
      <t xml:space="preserve"> = didapat pada rpm engine yang telah dipilih</t>
    </r>
  </si>
  <si>
    <t>Menentukan Nilai Va</t>
  </si>
  <si>
    <t>Va =</t>
  </si>
  <si>
    <t>Vs x (1-w)</t>
  </si>
  <si>
    <t xml:space="preserve">wake fraction yang didapat pada hitungan harvarld </t>
  </si>
  <si>
    <t>Menentukan Nilai Bp</t>
  </si>
  <si>
    <t>Bp1=</t>
  </si>
  <si>
    <t>N_prop * DHP^0.5 / V_A^2.5</t>
  </si>
  <si>
    <t>Bp =</t>
  </si>
  <si>
    <t>N = N prop rpm</t>
  </si>
  <si>
    <t>Pd = DHP</t>
  </si>
  <si>
    <t>Grafik =</t>
  </si>
  <si>
    <r>
      <rPr>
        <sz val="9"/>
        <color rgb="FF000000"/>
        <rFont val="Consolas"/>
        <family val="3"/>
        <charset val="1"/>
      </rPr>
      <t>0.1739 x (Bp</t>
    </r>
    <r>
      <rPr>
        <vertAlign val="superscript"/>
        <sz val="9"/>
        <color rgb="FF000000"/>
        <rFont val="Consolas"/>
        <family val="3"/>
        <charset val="1"/>
      </rPr>
      <t>0,5</t>
    </r>
    <r>
      <rPr>
        <sz val="9"/>
        <color rgb="FF000000"/>
        <rFont val="Consolas"/>
        <family val="3"/>
        <charset val="1"/>
      </rPr>
      <t>)</t>
    </r>
  </si>
  <si>
    <t>BP - δ Diagram</t>
  </si>
  <si>
    <t>Diameter Maximum</t>
  </si>
  <si>
    <r>
      <rPr>
        <sz val="9"/>
        <color rgb="FF000000"/>
        <rFont val="Consolas"/>
        <family val="3"/>
        <charset val="1"/>
      </rPr>
      <t>D</t>
    </r>
    <r>
      <rPr>
        <vertAlign val="subscript"/>
        <sz val="9"/>
        <color rgb="FF000000"/>
        <rFont val="Consolas"/>
        <family val="3"/>
        <charset val="1"/>
      </rPr>
      <t>max</t>
    </r>
    <r>
      <rPr>
        <sz val="9"/>
        <color rgb="FF000000"/>
        <rFont val="Consolas"/>
        <family val="3"/>
        <charset val="1"/>
      </rPr>
      <t xml:space="preserve"> =</t>
    </r>
  </si>
  <si>
    <t>0.65 x T</t>
  </si>
  <si>
    <t>Jenis</t>
  </si>
  <si>
    <t>DHP (HP)</t>
  </si>
  <si>
    <t>N (engine)</t>
  </si>
  <si>
    <t>N.Prop (Rpm)</t>
  </si>
  <si>
    <t>w</t>
  </si>
  <si>
    <t>Vs (knot)</t>
  </si>
  <si>
    <t>Va (knot)</t>
  </si>
  <si>
    <t>Bp1</t>
  </si>
  <si>
    <t xml:space="preserve">0.1739√Bp1 </t>
  </si>
  <si>
    <t>B3-35</t>
  </si>
  <si>
    <t>B3-50</t>
  </si>
  <si>
    <t>B3-65</t>
  </si>
  <si>
    <t>B3-80</t>
  </si>
  <si>
    <t>B4-40</t>
  </si>
  <si>
    <t>B4-55</t>
  </si>
  <si>
    <t>B4-70</t>
  </si>
  <si>
    <t>B4-85</t>
  </si>
  <si>
    <t>B4-100</t>
  </si>
  <si>
    <t>B5-45</t>
  </si>
  <si>
    <t>B5-60</t>
  </si>
  <si>
    <t>B5-75</t>
  </si>
  <si>
    <t>B5-90</t>
  </si>
  <si>
    <t>B5-105</t>
  </si>
  <si>
    <t>B6-50</t>
  </si>
  <si>
    <t>B6-65</t>
  </si>
  <si>
    <t>B6-80</t>
  </si>
  <si>
    <t>B6-95</t>
  </si>
  <si>
    <t>δo        =</t>
  </si>
  <si>
    <t>(1/Jo) / 0.009875</t>
  </si>
  <si>
    <t>Nilai Do dalam british unit (ft), maka Va dalam (knot) dan N dalam rpm</t>
  </si>
  <si>
    <t>Besarnya Db tergantung dari jumlah propeller yang dipakai</t>
  </si>
  <si>
    <t>Untuk Single-Screw Propeller Db = 0.96 Do</t>
  </si>
  <si>
    <t>Untuk Twin-Screw Propeller Db = 0.98 Do</t>
  </si>
  <si>
    <t>Untuk kapal ini  yang menggunakan single-screw propeller</t>
  </si>
  <si>
    <t>Menentukan P/Do, δo dan ηo dari grafik Bp diagram.</t>
  </si>
  <si>
    <r>
      <rPr>
        <b/>
        <sz val="9"/>
        <rFont val="Consolas"/>
        <family val="3"/>
        <charset val="1"/>
      </rPr>
      <t>0,1739 (BP)</t>
    </r>
    <r>
      <rPr>
        <b/>
        <vertAlign val="superscript"/>
        <sz val="9"/>
        <rFont val="Consolas"/>
        <family val="3"/>
        <charset val="1"/>
      </rPr>
      <t>1/2</t>
    </r>
  </si>
  <si>
    <t>P/Do</t>
  </si>
  <si>
    <t>1/Jo</t>
  </si>
  <si>
    <t>δo</t>
  </si>
  <si>
    <t>ηo</t>
  </si>
  <si>
    <t>Untuk Single-Screw Propeller Db = 0,96 Do</t>
  </si>
  <si>
    <t>Untuk Twin-Screw Propeller Db = 0,98 Do</t>
  </si>
  <si>
    <t>Sehingga, untuk kapal ini yang menggunakan single-screw propeller.</t>
  </si>
  <si>
    <t>Do (ft) =</t>
  </si>
  <si>
    <t>Vaxδo</t>
  </si>
  <si>
    <t>Db (ft) =</t>
  </si>
  <si>
    <t>0,96 x Do</t>
  </si>
  <si>
    <t>(single screw)</t>
  </si>
  <si>
    <t>0,98 x Do</t>
  </si>
  <si>
    <t>(twin screw)</t>
  </si>
  <si>
    <t>δb =</t>
  </si>
  <si>
    <t>DbxN</t>
  </si>
  <si>
    <t>Va</t>
  </si>
  <si>
    <t>1/Jb=</t>
  </si>
  <si>
    <t>0,009875 x δb</t>
  </si>
  <si>
    <t>Do (ft)</t>
  </si>
  <si>
    <t>Db (ft)</t>
  </si>
  <si>
    <t>δb</t>
  </si>
  <si>
    <t>1/Jb</t>
  </si>
  <si>
    <t>P/Db</t>
  </si>
  <si>
    <t>ηb</t>
  </si>
  <si>
    <t>Db (m)</t>
  </si>
  <si>
    <t>Dmax (m)</t>
  </si>
  <si>
    <t>Apakah (0,6 ~  0,7) T</t>
  </si>
  <si>
    <t>Db &lt; Dmax</t>
  </si>
  <si>
    <t>PERHITUNGAN KAVITASI</t>
  </si>
  <si>
    <t>Angka Kavitasi</t>
  </si>
  <si>
    <t>σ0,7R =</t>
  </si>
  <si>
    <t>(188.2 + 19.62 * h) / (Va^2 + 4.836 * n^2 * D^2)</t>
  </si>
  <si>
    <t>Dimana h = jarak sarat air dengan center line propeller</t>
  </si>
  <si>
    <t>h =</t>
  </si>
  <si>
    <t>T - 0,33T</t>
  </si>
  <si>
    <t>Thrust Koefisien</t>
  </si>
  <si>
    <t>T  =</t>
  </si>
  <si>
    <t>R/(1-t)</t>
  </si>
  <si>
    <t>R =</t>
  </si>
  <si>
    <t xml:space="preserve"> T =</t>
  </si>
  <si>
    <t xml:space="preserve"> =</t>
  </si>
  <si>
    <t>Projected Area dari Propeller</t>
  </si>
  <si>
    <t>τc =</t>
  </si>
  <si>
    <r>
      <rPr>
        <sz val="9"/>
        <rFont val="Consolas"/>
        <family val="3"/>
        <charset val="1"/>
      </rPr>
      <t>(T / Ap)/ (0,5 x ρ x V</t>
    </r>
    <r>
      <rPr>
        <vertAlign val="subscript"/>
        <sz val="9"/>
        <rFont val="Consolas"/>
        <family val="3"/>
        <charset val="1"/>
      </rPr>
      <t>R</t>
    </r>
    <r>
      <rPr>
        <vertAlign val="superscript"/>
        <sz val="9"/>
        <rFont val="Consolas"/>
        <family val="3"/>
        <charset val="1"/>
      </rPr>
      <t>2</t>
    </r>
    <r>
      <rPr>
        <sz val="9"/>
        <rFont val="Consolas"/>
        <family val="3"/>
        <charset val="1"/>
      </rPr>
      <t>) =</t>
    </r>
  </si>
  <si>
    <r>
      <rPr>
        <sz val="9"/>
        <rFont val="Consolas"/>
        <family val="3"/>
        <charset val="1"/>
      </rPr>
      <t>T/ ( 0,5 x ρ x Ap x V</t>
    </r>
    <r>
      <rPr>
        <vertAlign val="subscript"/>
        <sz val="9"/>
        <rFont val="Consolas"/>
        <family val="3"/>
        <charset val="1"/>
      </rPr>
      <t>R</t>
    </r>
    <r>
      <rPr>
        <vertAlign val="superscript"/>
        <sz val="9"/>
        <rFont val="Consolas"/>
        <family val="3"/>
        <charset val="1"/>
      </rPr>
      <t>2</t>
    </r>
    <r>
      <rPr>
        <sz val="9"/>
        <rFont val="Consolas"/>
        <family val="3"/>
        <charset val="1"/>
      </rPr>
      <t>)</t>
    </r>
  </si>
  <si>
    <r>
      <rPr>
        <sz val="9"/>
        <rFont val="Consolas"/>
        <family val="3"/>
        <charset val="1"/>
      </rPr>
      <t>V</t>
    </r>
    <r>
      <rPr>
        <vertAlign val="subscript"/>
        <sz val="9"/>
        <rFont val="Consolas"/>
        <family val="3"/>
        <charset val="1"/>
      </rPr>
      <t>R</t>
    </r>
    <r>
      <rPr>
        <vertAlign val="superscript"/>
        <sz val="9"/>
        <rFont val="Consolas"/>
        <family val="3"/>
        <charset val="1"/>
      </rPr>
      <t xml:space="preserve">2 </t>
    </r>
    <r>
      <rPr>
        <sz val="9"/>
        <rFont val="Consolas"/>
        <family val="3"/>
        <charset val="1"/>
      </rPr>
      <t>=</t>
    </r>
  </si>
  <si>
    <r>
      <rPr>
        <sz val="9"/>
        <rFont val="Consolas"/>
        <family val="3"/>
        <charset val="1"/>
      </rPr>
      <t>Va</t>
    </r>
    <r>
      <rPr>
        <vertAlign val="superscript"/>
        <sz val="9"/>
        <rFont val="Consolas"/>
        <family val="3"/>
        <charset val="1"/>
      </rPr>
      <t>2</t>
    </r>
    <r>
      <rPr>
        <sz val="9"/>
        <rFont val="Consolas"/>
        <family val="3"/>
        <charset val="1"/>
      </rPr>
      <t xml:space="preserve"> + (0,7 x π x N x D)</t>
    </r>
    <r>
      <rPr>
        <vertAlign val="superscript"/>
        <sz val="9"/>
        <rFont val="Consolas"/>
        <family val="3"/>
        <charset val="1"/>
      </rPr>
      <t>2</t>
    </r>
  </si>
  <si>
    <t>N =</t>
  </si>
  <si>
    <t>rps</t>
  </si>
  <si>
    <t>D =</t>
  </si>
  <si>
    <t>Diameter propeller</t>
  </si>
  <si>
    <t>ρ =</t>
  </si>
  <si>
    <r>
      <rPr>
        <sz val="9"/>
        <rFont val="Consolas"/>
        <family val="3"/>
        <charset val="1"/>
      </rPr>
      <t>ton/m</t>
    </r>
    <r>
      <rPr>
        <vertAlign val="superscript"/>
        <sz val="9"/>
        <rFont val="Consolas"/>
        <family val="3"/>
        <charset val="1"/>
      </rPr>
      <t>3</t>
    </r>
  </si>
  <si>
    <r>
      <rPr>
        <sz val="9"/>
        <rFont val="Consolas"/>
        <family val="3"/>
        <charset val="1"/>
      </rPr>
      <t>A</t>
    </r>
    <r>
      <rPr>
        <vertAlign val="subscript"/>
        <sz val="9"/>
        <rFont val="Consolas"/>
        <family val="3"/>
        <charset val="1"/>
      </rPr>
      <t>0</t>
    </r>
    <r>
      <rPr>
        <sz val="9"/>
        <rFont val="Consolas"/>
        <family val="3"/>
        <charset val="1"/>
      </rPr>
      <t xml:space="preserve"> =</t>
    </r>
  </si>
  <si>
    <r>
      <rPr>
        <sz val="9"/>
        <rFont val="Consolas"/>
        <family val="3"/>
        <charset val="1"/>
      </rPr>
      <t>1/4 x π x D</t>
    </r>
    <r>
      <rPr>
        <vertAlign val="superscript"/>
        <sz val="9"/>
        <rFont val="Consolas"/>
        <family val="3"/>
        <charset val="1"/>
      </rPr>
      <t>2</t>
    </r>
    <r>
      <rPr>
        <sz val="9"/>
        <rFont val="Consolas"/>
        <family val="3"/>
        <charset val="1"/>
      </rPr>
      <t xml:space="preserve">  </t>
    </r>
  </si>
  <si>
    <r>
      <rPr>
        <sz val="9"/>
        <rFont val="Consolas"/>
        <family val="3"/>
        <charset val="1"/>
      </rPr>
      <t>A</t>
    </r>
    <r>
      <rPr>
        <vertAlign val="subscript"/>
        <sz val="9"/>
        <rFont val="Consolas"/>
        <family val="3"/>
        <charset val="1"/>
      </rPr>
      <t xml:space="preserve">P </t>
    </r>
    <r>
      <rPr>
        <sz val="9"/>
        <rFont val="Consolas"/>
        <family val="3"/>
        <charset val="1"/>
      </rPr>
      <t>=</t>
    </r>
  </si>
  <si>
    <r>
      <rPr>
        <sz val="9"/>
        <rFont val="Consolas"/>
        <family val="3"/>
        <charset val="1"/>
      </rPr>
      <t>A</t>
    </r>
    <r>
      <rPr>
        <vertAlign val="subscript"/>
        <sz val="9"/>
        <rFont val="Consolas"/>
        <family val="3"/>
        <charset val="1"/>
      </rPr>
      <t>D</t>
    </r>
    <r>
      <rPr>
        <sz val="9"/>
        <rFont val="Consolas"/>
        <family val="3"/>
        <charset val="1"/>
      </rPr>
      <t xml:space="preserve"> x (1.067 - 0.229(P/D))</t>
    </r>
  </si>
  <si>
    <t xml:space="preserve">σb = </t>
  </si>
  <si>
    <t>(p0 - pv) / (0.5 * rho * v1^2)</t>
  </si>
  <si>
    <t>p0 =</t>
  </si>
  <si>
    <t>pv =</t>
  </si>
  <si>
    <r>
      <rPr>
        <b/>
        <sz val="9"/>
        <rFont val="Consolas"/>
        <family val="3"/>
        <charset val="1"/>
      </rPr>
      <t>N</t>
    </r>
    <r>
      <rPr>
        <b/>
        <vertAlign val="subscript"/>
        <sz val="9"/>
        <rFont val="Consolas"/>
        <family val="3"/>
        <charset val="1"/>
      </rPr>
      <t>B (rps)</t>
    </r>
  </si>
  <si>
    <r>
      <rPr>
        <b/>
        <sz val="9"/>
        <rFont val="Consolas"/>
        <family val="3"/>
        <charset val="1"/>
      </rPr>
      <t>D</t>
    </r>
    <r>
      <rPr>
        <b/>
        <vertAlign val="subscript"/>
        <sz val="9"/>
        <rFont val="Consolas"/>
        <family val="3"/>
        <charset val="1"/>
      </rPr>
      <t>b (m)</t>
    </r>
  </si>
  <si>
    <r>
      <rPr>
        <b/>
        <sz val="9"/>
        <rFont val="Consolas"/>
        <family val="3"/>
        <charset val="1"/>
      </rPr>
      <t>σ</t>
    </r>
    <r>
      <rPr>
        <b/>
        <vertAlign val="subscript"/>
        <sz val="9"/>
        <rFont val="Consolas"/>
        <family val="3"/>
        <charset val="1"/>
      </rPr>
      <t>0,7R</t>
    </r>
  </si>
  <si>
    <r>
      <rPr>
        <b/>
        <sz val="9"/>
        <rFont val="Consolas"/>
        <family val="3"/>
        <charset val="1"/>
      </rPr>
      <t>τ</t>
    </r>
    <r>
      <rPr>
        <b/>
        <vertAlign val="subscript"/>
        <sz val="9"/>
        <rFont val="Consolas"/>
        <family val="3"/>
        <charset val="1"/>
      </rPr>
      <t>C burril</t>
    </r>
  </si>
  <si>
    <r>
      <rPr>
        <b/>
        <sz val="9"/>
        <rFont val="Consolas"/>
        <family val="3"/>
        <charset val="1"/>
      </rPr>
      <t>V</t>
    </r>
    <r>
      <rPr>
        <b/>
        <vertAlign val="subscript"/>
        <sz val="9"/>
        <rFont val="Consolas"/>
        <family val="3"/>
        <charset val="1"/>
      </rPr>
      <t>R</t>
    </r>
    <r>
      <rPr>
        <b/>
        <vertAlign val="superscript"/>
        <sz val="9"/>
        <rFont val="Consolas"/>
        <family val="3"/>
        <charset val="1"/>
      </rPr>
      <t>2</t>
    </r>
    <r>
      <rPr>
        <b/>
        <sz val="9"/>
        <rFont val="Consolas"/>
        <family val="3"/>
        <charset val="1"/>
      </rPr>
      <t xml:space="preserve"> </t>
    </r>
    <r>
      <rPr>
        <b/>
        <vertAlign val="subscript"/>
        <sz val="9"/>
        <rFont val="Consolas"/>
        <family val="3"/>
        <charset val="1"/>
      </rPr>
      <t>(m/s)</t>
    </r>
  </si>
  <si>
    <r>
      <rPr>
        <b/>
        <sz val="9"/>
        <rFont val="Consolas"/>
        <family val="3"/>
        <charset val="1"/>
      </rPr>
      <t>A</t>
    </r>
    <r>
      <rPr>
        <b/>
        <vertAlign val="subscript"/>
        <sz val="9"/>
        <rFont val="Consolas"/>
        <family val="3"/>
        <charset val="1"/>
      </rPr>
      <t>0</t>
    </r>
  </si>
  <si>
    <t>AD/A0</t>
  </si>
  <si>
    <r>
      <rPr>
        <b/>
        <sz val="9"/>
        <rFont val="Consolas"/>
        <family val="3"/>
        <charset val="1"/>
      </rPr>
      <t>A</t>
    </r>
    <r>
      <rPr>
        <b/>
        <vertAlign val="subscript"/>
        <sz val="9"/>
        <rFont val="Consolas"/>
        <family val="3"/>
        <charset val="1"/>
      </rPr>
      <t>D</t>
    </r>
  </si>
  <si>
    <t>σb</t>
  </si>
  <si>
    <t xml:space="preserve">Syarat Tidak Kavitasi : </t>
  </si>
  <si>
    <t>&gt;</t>
  </si>
  <si>
    <r>
      <rPr>
        <b/>
        <sz val="9"/>
        <rFont val="Consolas"/>
        <family val="3"/>
        <charset val="1"/>
      </rPr>
      <t xml:space="preserve">τc </t>
    </r>
    <r>
      <rPr>
        <b/>
        <vertAlign val="subscript"/>
        <sz val="9"/>
        <rFont val="Consolas"/>
        <family val="3"/>
        <charset val="1"/>
      </rPr>
      <t>cal</t>
    </r>
  </si>
  <si>
    <t xml:space="preserve">Karena nilai kavitasi dari hasil perhitungan lebih kecil </t>
  </si>
  <si>
    <t>dari angka kavitasi dari hasil pembacaan pada grafik buril maka tidak terjadi kavitasi.</t>
  </si>
  <si>
    <t>Propeller yang dipilih yaitu propeller dengan ketentuan :</t>
  </si>
  <si>
    <t>1. Diameter propeller yang dipilih harus kurang dari diameter max</t>
  </si>
  <si>
    <t>2. Tidak terjadi kavitasi pada propeller</t>
  </si>
  <si>
    <t>3. Propeller yang dipilih mempunyai efisiensi yang paling bagus</t>
  </si>
  <si>
    <t>Propeller Yang Dipilih</t>
  </si>
  <si>
    <t>Sehingga dipilih propeller :</t>
  </si>
  <si>
    <r>
      <rPr>
        <sz val="9"/>
        <rFont val="Consolas"/>
        <family val="3"/>
        <charset val="1"/>
      </rPr>
      <t>D</t>
    </r>
    <r>
      <rPr>
        <vertAlign val="subscript"/>
        <sz val="9"/>
        <rFont val="Consolas"/>
        <family val="3"/>
        <charset val="1"/>
      </rPr>
      <t>b</t>
    </r>
    <r>
      <rPr>
        <sz val="9"/>
        <rFont val="Consolas"/>
        <family val="3"/>
        <charset val="1"/>
      </rPr>
      <t xml:space="preserve"> =</t>
    </r>
  </si>
  <si>
    <t>P/Db =</t>
  </si>
  <si>
    <t>η =</t>
  </si>
  <si>
    <t>Ap</t>
  </si>
  <si>
    <r>
      <rPr>
        <sz val="9"/>
        <rFont val="Consolas"/>
        <family val="3"/>
        <charset val="1"/>
      </rPr>
      <t>τ</t>
    </r>
    <r>
      <rPr>
        <vertAlign val="subscript"/>
        <sz val="9"/>
        <rFont val="Consolas"/>
        <family val="3"/>
        <charset val="1"/>
      </rPr>
      <t>C cal</t>
    </r>
  </si>
  <si>
    <r>
      <rPr>
        <sz val="9"/>
        <rFont val="Consolas"/>
        <family val="3"/>
        <charset val="1"/>
      </rPr>
      <t>τ</t>
    </r>
    <r>
      <rPr>
        <vertAlign val="subscript"/>
        <sz val="9"/>
        <rFont val="Consolas"/>
        <family val="3"/>
        <charset val="1"/>
      </rPr>
      <t>C burril</t>
    </r>
  </si>
  <si>
    <t>Kavitasi</t>
  </si>
  <si>
    <t>Daya Efektif</t>
  </si>
  <si>
    <t>Daya Efektif Kapal (EHP)</t>
  </si>
  <si>
    <r>
      <rPr>
        <sz val="9"/>
        <rFont val="Consolas"/>
        <family val="3"/>
        <charset val="1"/>
      </rPr>
      <t>R</t>
    </r>
    <r>
      <rPr>
        <vertAlign val="subscript"/>
        <sz val="9"/>
        <rFont val="Consolas"/>
        <family val="3"/>
        <charset val="1"/>
      </rPr>
      <t>T</t>
    </r>
    <r>
      <rPr>
        <sz val="9"/>
        <rFont val="Consolas"/>
        <family val="3"/>
        <charset val="1"/>
      </rPr>
      <t xml:space="preserve"> x V</t>
    </r>
    <r>
      <rPr>
        <vertAlign val="subscript"/>
        <sz val="9"/>
        <rFont val="Consolas"/>
        <family val="3"/>
        <charset val="1"/>
      </rPr>
      <t>S</t>
    </r>
  </si>
  <si>
    <r>
      <rPr>
        <sz val="9"/>
        <rFont val="Consolas"/>
        <family val="3"/>
        <charset val="1"/>
      </rPr>
      <t>R</t>
    </r>
    <r>
      <rPr>
        <vertAlign val="subscript"/>
        <sz val="9"/>
        <rFont val="Consolas"/>
        <family val="3"/>
        <charset val="1"/>
      </rPr>
      <t>T</t>
    </r>
    <r>
      <rPr>
        <sz val="9"/>
        <rFont val="Consolas"/>
        <family val="3"/>
        <charset val="1"/>
      </rPr>
      <t xml:space="preserve"> =</t>
    </r>
  </si>
  <si>
    <t>Vs =</t>
  </si>
  <si>
    <t>ηrr =</t>
  </si>
  <si>
    <t>1,02-1,05</t>
  </si>
  <si>
    <t>ηp =</t>
  </si>
  <si>
    <t>ηH=</t>
  </si>
  <si>
    <t>Coeffisien Propulsif (Pc)</t>
  </si>
  <si>
    <t>Sehingga didapatkan</t>
  </si>
  <si>
    <t>EHP/Pc</t>
  </si>
  <si>
    <t>THP adalah daya yang dikirimkan propeller ke air.</t>
  </si>
  <si>
    <t>EHP / ƞH</t>
  </si>
  <si>
    <t>Daya Pada Poros Baling – Baling (SHP)</t>
  </si>
  <si>
    <t xml:space="preserve">dalam perancangan ini direncanakan ηSηB sebesar 0,98 </t>
  </si>
  <si>
    <t>Dan pemilihannya ialah single reduction gears = 0,98 dengan loss 2%,</t>
  </si>
  <si>
    <r>
      <rPr>
        <sz val="9"/>
        <rFont val="Consolas"/>
        <family val="3"/>
        <charset val="1"/>
      </rPr>
      <t>BHP</t>
    </r>
    <r>
      <rPr>
        <vertAlign val="subscript"/>
        <sz val="9"/>
        <color rgb="FF000000"/>
        <rFont val="Consolas"/>
        <family val="3"/>
        <charset val="1"/>
      </rPr>
      <t>SCR</t>
    </r>
    <r>
      <rPr>
        <sz val="9"/>
        <rFont val="Consolas"/>
        <family val="3"/>
        <charset val="1"/>
      </rPr>
      <t xml:space="preserve"> =</t>
    </r>
  </si>
  <si>
    <t>pada pelayaran normal atau SCR, dimana besarnya adalah 90 % dari daya keluaran</t>
  </si>
  <si>
    <t>pada kondisi maksimum atau MCR didapat dari project guide</t>
  </si>
  <si>
    <r>
      <rPr>
        <sz val="9"/>
        <rFont val="Consolas"/>
        <family val="3"/>
        <charset val="1"/>
      </rPr>
      <t>BHP</t>
    </r>
    <r>
      <rPr>
        <vertAlign val="subscript"/>
        <sz val="9"/>
        <rFont val="Consolas"/>
        <family val="3"/>
        <charset val="1"/>
      </rPr>
      <t>MCR</t>
    </r>
    <r>
      <rPr>
        <sz val="9"/>
        <rFont val="Consolas"/>
        <family val="3"/>
        <charset val="1"/>
      </rPr>
      <t xml:space="preserve"> =</t>
    </r>
  </si>
  <si>
    <r>
      <rPr>
        <sz val="9"/>
        <rFont val="Consolas"/>
        <family val="3"/>
        <charset val="1"/>
      </rPr>
      <t>BHP</t>
    </r>
    <r>
      <rPr>
        <vertAlign val="subscript"/>
        <sz val="9"/>
        <rFont val="Consolas"/>
        <family val="3"/>
        <charset val="1"/>
      </rPr>
      <t xml:space="preserve">SCR </t>
    </r>
    <r>
      <rPr>
        <sz val="9"/>
        <rFont val="Consolas"/>
        <family val="3"/>
        <charset val="1"/>
      </rPr>
      <t>/ 0,9</t>
    </r>
  </si>
  <si>
    <t>Daya engine yang dipilih adalah &gt;9127 kW.</t>
  </si>
  <si>
    <t>Jadi keperluan daya masih tercukupi.</t>
  </si>
  <si>
    <t>HE6</t>
  </si>
  <si>
    <t>HE5</t>
  </si>
  <si>
    <r>
      <rPr>
        <sz val="12"/>
        <rFont val="Consolas"/>
        <family val="3"/>
        <charset val="1"/>
      </rPr>
      <t>a)     BHP</t>
    </r>
    <r>
      <rPr>
        <vertAlign val="subscript"/>
        <sz val="12"/>
        <rFont val="Consolas"/>
        <family val="3"/>
        <charset val="1"/>
      </rPr>
      <t>MCR</t>
    </r>
    <r>
      <rPr>
        <sz val="12"/>
        <rFont val="Consolas"/>
        <family val="3"/>
        <charset val="1"/>
      </rPr>
      <t xml:space="preserve"> =</t>
    </r>
  </si>
  <si>
    <r>
      <rPr>
        <sz val="12"/>
        <rFont val="Consolas"/>
        <family val="3"/>
        <charset val="1"/>
      </rPr>
      <t>b)     BHP</t>
    </r>
    <r>
      <rPr>
        <vertAlign val="subscript"/>
        <sz val="12"/>
        <rFont val="Consolas"/>
        <family val="3"/>
        <charset val="1"/>
      </rPr>
      <t>SCR</t>
    </r>
    <r>
      <rPr>
        <sz val="12"/>
        <rFont val="Consolas"/>
        <family val="3"/>
        <charset val="1"/>
      </rPr>
      <t xml:space="preserve"> =</t>
    </r>
  </si>
  <si>
    <r>
      <rPr>
        <sz val="12"/>
        <rFont val="Consolas"/>
        <family val="3"/>
        <charset val="1"/>
      </rPr>
      <t>BHP</t>
    </r>
    <r>
      <rPr>
        <vertAlign val="subscript"/>
        <sz val="12"/>
        <rFont val="Consolas"/>
        <family val="3"/>
        <charset val="1"/>
      </rPr>
      <t>MCR</t>
    </r>
    <r>
      <rPr>
        <sz val="12"/>
        <rFont val="Consolas"/>
        <family val="3"/>
        <charset val="1"/>
      </rPr>
      <t xml:space="preserve"> x 0,9</t>
    </r>
  </si>
  <si>
    <r>
      <rPr>
        <sz val="12"/>
        <rFont val="Consolas"/>
        <family val="3"/>
        <charset val="1"/>
      </rPr>
      <t>BHP</t>
    </r>
    <r>
      <rPr>
        <vertAlign val="subscript"/>
        <sz val="12"/>
        <rFont val="Consolas"/>
        <family val="3"/>
        <charset val="1"/>
      </rPr>
      <t>SCR</t>
    </r>
    <r>
      <rPr>
        <sz val="12"/>
        <rFont val="Consolas"/>
        <family val="3"/>
        <charset val="1"/>
      </rPr>
      <t xml:space="preserve"> x ηG</t>
    </r>
  </si>
  <si>
    <t xml:space="preserve">Data Utama </t>
  </si>
  <si>
    <t>diambil dari perhitungan kapal dengan metode harvarld</t>
  </si>
  <si>
    <r>
      <rPr>
        <sz val="9"/>
        <color rgb="FF000000"/>
        <rFont val="Consolas"/>
        <family val="3"/>
        <charset val="1"/>
      </rPr>
      <t>V</t>
    </r>
    <r>
      <rPr>
        <vertAlign val="subscript"/>
        <sz val="9"/>
        <color rgb="FF000000"/>
        <rFont val="Consolas"/>
        <family val="3"/>
        <charset val="1"/>
      </rPr>
      <t>s</t>
    </r>
    <r>
      <rPr>
        <sz val="9"/>
        <color rgb="FF000000"/>
        <rFont val="Consolas"/>
        <family val="3"/>
        <charset val="1"/>
      </rPr>
      <t xml:space="preserve"> =</t>
    </r>
  </si>
  <si>
    <r>
      <rPr>
        <sz val="9"/>
        <color rgb="FF000000"/>
        <rFont val="Consolas"/>
        <family val="3"/>
        <charset val="1"/>
      </rPr>
      <t>ρ</t>
    </r>
    <r>
      <rPr>
        <vertAlign val="subscript"/>
        <sz val="9"/>
        <color rgb="FF000000"/>
        <rFont val="Consolas"/>
        <family val="3"/>
        <charset val="1"/>
      </rPr>
      <t xml:space="preserve"> </t>
    </r>
    <r>
      <rPr>
        <vertAlign val="subscript"/>
        <sz val="9"/>
        <color theme="1"/>
        <rFont val="Consolas"/>
        <family val="3"/>
        <charset val="1"/>
      </rPr>
      <t>air laut</t>
    </r>
    <r>
      <rPr>
        <sz val="9"/>
        <color theme="1"/>
        <rFont val="Consolas"/>
        <family val="3"/>
        <charset val="1"/>
      </rPr>
      <t xml:space="preserve"> =</t>
    </r>
  </si>
  <si>
    <r>
      <rPr>
        <sz val="9"/>
        <color rgb="FF000000"/>
        <rFont val="Consolas"/>
        <family val="3"/>
        <charset val="1"/>
      </rPr>
      <t>kg/m</t>
    </r>
    <r>
      <rPr>
        <vertAlign val="superscript"/>
        <sz val="9"/>
        <color rgb="FF000000"/>
        <rFont val="Consolas"/>
        <family val="3"/>
        <charset val="1"/>
      </rPr>
      <t>3</t>
    </r>
  </si>
  <si>
    <t>Ct =</t>
  </si>
  <si>
    <t>Data Propeller</t>
  </si>
  <si>
    <t>diambil dari pemilihan propeller</t>
  </si>
  <si>
    <t>Tipe Propeller =</t>
  </si>
  <si>
    <r>
      <rPr>
        <sz val="9"/>
        <color theme="1"/>
        <rFont val="Consolas"/>
        <family val="3"/>
        <charset val="1"/>
      </rPr>
      <t>D</t>
    </r>
    <r>
      <rPr>
        <vertAlign val="subscript"/>
        <sz val="9"/>
        <color theme="1"/>
        <rFont val="Consolas"/>
        <family val="3"/>
        <charset val="1"/>
      </rPr>
      <t>b</t>
    </r>
    <r>
      <rPr>
        <sz val="9"/>
        <color theme="1"/>
        <rFont val="Consolas"/>
        <family val="3"/>
        <charset val="1"/>
      </rPr>
      <t>(m) =</t>
    </r>
  </si>
  <si>
    <r>
      <rPr>
        <sz val="9"/>
        <color theme="1"/>
        <rFont val="Consolas"/>
        <family val="3"/>
        <charset val="1"/>
      </rPr>
      <t>(P/D</t>
    </r>
    <r>
      <rPr>
        <vertAlign val="subscript"/>
        <sz val="9"/>
        <color theme="1"/>
        <rFont val="Consolas"/>
        <family val="3"/>
        <charset val="1"/>
      </rPr>
      <t>b</t>
    </r>
    <r>
      <rPr>
        <sz val="9"/>
        <color theme="1"/>
        <rFont val="Consolas"/>
        <family val="3"/>
        <charset val="1"/>
      </rPr>
      <t>) =</t>
    </r>
  </si>
  <si>
    <r>
      <rPr>
        <sz val="9"/>
        <color rgb="FF000000"/>
        <rFont val="Consolas"/>
        <family val="3"/>
        <charset val="1"/>
      </rPr>
      <t>η propeller</t>
    </r>
    <r>
      <rPr>
        <sz val="9"/>
        <color theme="1"/>
        <rFont val="Consolas"/>
        <family val="3"/>
        <charset val="1"/>
      </rPr>
      <t xml:space="preserve"> =</t>
    </r>
  </si>
  <si>
    <t>Rpm Propeller =</t>
  </si>
  <si>
    <t>Tahanan total pada saat clean hull</t>
  </si>
  <si>
    <r>
      <rPr>
        <sz val="9"/>
        <color theme="1"/>
        <rFont val="Consolas"/>
        <family val="3"/>
        <charset val="1"/>
      </rPr>
      <t xml:space="preserve">Rt </t>
    </r>
    <r>
      <rPr>
        <vertAlign val="subscript"/>
        <sz val="9"/>
        <color theme="1"/>
        <rFont val="Consolas"/>
        <family val="3"/>
        <charset val="1"/>
      </rPr>
      <t>trial</t>
    </r>
    <r>
      <rPr>
        <sz val="9"/>
        <color theme="1"/>
        <rFont val="Consolas"/>
        <family val="3"/>
        <charset val="1"/>
      </rPr>
      <t xml:space="preserve"> =</t>
    </r>
  </si>
  <si>
    <t>Tahanan total pada saat service lambuung telah di fouling</t>
  </si>
  <si>
    <r>
      <rPr>
        <sz val="9"/>
        <color theme="1"/>
        <rFont val="Consolas"/>
        <family val="3"/>
        <charset val="1"/>
      </rPr>
      <t xml:space="preserve">Rt </t>
    </r>
    <r>
      <rPr>
        <vertAlign val="subscript"/>
        <sz val="9"/>
        <color theme="1"/>
        <rFont val="Consolas"/>
        <family val="3"/>
        <charset val="1"/>
      </rPr>
      <t>dinas</t>
    </r>
    <r>
      <rPr>
        <sz val="9"/>
        <color theme="1"/>
        <rFont val="Consolas"/>
        <family val="3"/>
        <charset val="1"/>
      </rPr>
      <t xml:space="preserve"> =</t>
    </r>
  </si>
  <si>
    <t>Symbol</t>
  </si>
  <si>
    <t>a =</t>
  </si>
  <si>
    <t>Konstanta</t>
  </si>
  <si>
    <t>β =</t>
  </si>
  <si>
    <t>konstanta</t>
  </si>
  <si>
    <t>KT =</t>
  </si>
  <si>
    <t>Koefisien Gaya Dorong (thrust) Baling-baling</t>
  </si>
  <si>
    <t>J =</t>
  </si>
  <si>
    <t>Koefisien Gaya Advanced Baling-baling</t>
  </si>
  <si>
    <t>KQ =</t>
  </si>
  <si>
    <t>Koefisien Torsi Baling-Baling</t>
  </si>
  <si>
    <t>Q =</t>
  </si>
  <si>
    <t>Torsi</t>
  </si>
  <si>
    <t>Menghitung Koefisien α</t>
  </si>
  <si>
    <t>Rt =</t>
  </si>
  <si>
    <r>
      <rPr>
        <sz val="9"/>
        <color theme="1"/>
        <rFont val="Consolas"/>
        <family val="3"/>
        <charset val="1"/>
      </rPr>
      <t>0.5 x ρ x Ct x S x vs</t>
    </r>
    <r>
      <rPr>
        <vertAlign val="superscript"/>
        <sz val="9"/>
        <color rgb="FF000000"/>
        <rFont val="Consolas"/>
        <family val="3"/>
        <charset val="1"/>
      </rPr>
      <t>2</t>
    </r>
  </si>
  <si>
    <r>
      <rPr>
        <sz val="9"/>
        <color theme="1"/>
        <rFont val="Consolas"/>
        <family val="3"/>
        <charset val="1"/>
      </rPr>
      <t>a x vs</t>
    </r>
    <r>
      <rPr>
        <vertAlign val="superscript"/>
        <sz val="9"/>
        <color theme="1"/>
        <rFont val="Consolas"/>
        <family val="3"/>
        <charset val="1"/>
      </rPr>
      <t>2</t>
    </r>
  </si>
  <si>
    <r>
      <rPr>
        <sz val="9"/>
        <color rgb="FF000000"/>
        <rFont val="Consolas"/>
        <family val="3"/>
        <charset val="1"/>
      </rPr>
      <t xml:space="preserve">α </t>
    </r>
    <r>
      <rPr>
        <vertAlign val="subscript"/>
        <sz val="9"/>
        <color theme="1"/>
        <rFont val="Consolas"/>
        <family val="3"/>
        <charset val="1"/>
      </rPr>
      <t>trial</t>
    </r>
    <r>
      <rPr>
        <sz val="9"/>
        <color theme="1"/>
        <rFont val="Consolas"/>
        <family val="3"/>
        <charset val="1"/>
      </rPr>
      <t xml:space="preserve"> =</t>
    </r>
  </si>
  <si>
    <r>
      <rPr>
        <sz val="9"/>
        <color theme="1"/>
        <rFont val="Consolas"/>
        <family val="3"/>
        <charset val="1"/>
      </rPr>
      <t>Rt / V</t>
    </r>
    <r>
      <rPr>
        <vertAlign val="subscript"/>
        <sz val="9"/>
        <color theme="1"/>
        <rFont val="Consolas"/>
        <family val="3"/>
        <charset val="1"/>
      </rPr>
      <t>s</t>
    </r>
    <r>
      <rPr>
        <vertAlign val="superscript"/>
        <sz val="9"/>
        <color rgb="FF000000"/>
        <rFont val="Consolas"/>
        <family val="3"/>
        <charset val="1"/>
      </rPr>
      <t>2</t>
    </r>
  </si>
  <si>
    <r>
      <rPr>
        <sz val="9"/>
        <color rgb="FF000000"/>
        <rFont val="Consolas"/>
        <family val="3"/>
        <charset val="1"/>
      </rPr>
      <t xml:space="preserve">α </t>
    </r>
    <r>
      <rPr>
        <vertAlign val="subscript"/>
        <sz val="9"/>
        <color rgb="FF000000"/>
        <rFont val="Consolas"/>
        <family val="3"/>
        <charset val="1"/>
      </rPr>
      <t>s</t>
    </r>
    <r>
      <rPr>
        <vertAlign val="subscript"/>
        <sz val="9"/>
        <color theme="1"/>
        <rFont val="Consolas"/>
        <family val="3"/>
        <charset val="1"/>
      </rPr>
      <t>ervice</t>
    </r>
    <r>
      <rPr>
        <sz val="9"/>
        <color theme="1"/>
        <rFont val="Consolas"/>
        <family val="3"/>
        <charset val="1"/>
      </rPr>
      <t xml:space="preserve"> =</t>
    </r>
  </si>
  <si>
    <r>
      <rPr>
        <sz val="9"/>
        <color rgb="FF000000"/>
        <rFont val="Consolas"/>
        <family val="3"/>
        <charset val="1"/>
      </rPr>
      <t>Rt / V</t>
    </r>
    <r>
      <rPr>
        <vertAlign val="subscript"/>
        <sz val="9"/>
        <color rgb="FF000000"/>
        <rFont val="Consolas"/>
        <family val="3"/>
        <charset val="1"/>
      </rPr>
      <t>s</t>
    </r>
    <r>
      <rPr>
        <vertAlign val="superscript"/>
        <sz val="9"/>
        <color rgb="FF000000"/>
        <rFont val="Consolas"/>
        <family val="3"/>
        <charset val="1"/>
      </rPr>
      <t>2</t>
    </r>
  </si>
  <si>
    <r>
      <rPr>
        <b/>
        <sz val="9"/>
        <color theme="1"/>
        <rFont val="Consolas"/>
        <family val="3"/>
        <charset val="1"/>
      </rPr>
      <t xml:space="preserve">Menghitung Koefisien </t>
    </r>
    <r>
      <rPr>
        <sz val="9"/>
        <color rgb="FF000000"/>
        <rFont val="Consolas"/>
        <family val="3"/>
        <charset val="1"/>
      </rPr>
      <t>β</t>
    </r>
  </si>
  <si>
    <r>
      <rPr>
        <sz val="9"/>
        <color theme="1"/>
        <rFont val="Consolas"/>
        <family val="3"/>
        <charset val="1"/>
      </rPr>
      <t>α</t>
    </r>
    <r>
      <rPr>
        <sz val="9"/>
        <color rgb="FF000000"/>
        <rFont val="Consolas"/>
        <family val="3"/>
        <charset val="1"/>
      </rPr>
      <t xml:space="preserve"> / {(1-t) (1-w)</t>
    </r>
    <r>
      <rPr>
        <vertAlign val="superscript"/>
        <sz val="9"/>
        <color rgb="FF000000"/>
        <rFont val="Consolas"/>
        <family val="3"/>
        <charset val="1"/>
      </rPr>
      <t>2</t>
    </r>
    <r>
      <rPr>
        <sz val="9"/>
        <color rgb="FF000000"/>
        <rFont val="Consolas"/>
        <family val="3"/>
        <charset val="1"/>
      </rPr>
      <t xml:space="preserve"> ρ D</t>
    </r>
    <r>
      <rPr>
        <vertAlign val="superscript"/>
        <sz val="9"/>
        <color rgb="FF000000"/>
        <rFont val="Consolas"/>
        <family val="3"/>
        <charset val="1"/>
      </rPr>
      <t>2</t>
    </r>
    <r>
      <rPr>
        <sz val="9"/>
        <color rgb="FF000000"/>
        <rFont val="Consolas"/>
        <family val="3"/>
        <charset val="1"/>
      </rPr>
      <t>}</t>
    </r>
  </si>
  <si>
    <r>
      <rPr>
        <sz val="9"/>
        <color rgb="FF000000"/>
        <rFont val="Consolas"/>
        <family val="3"/>
        <charset val="1"/>
      </rPr>
      <t xml:space="preserve">β </t>
    </r>
    <r>
      <rPr>
        <vertAlign val="subscript"/>
        <sz val="9"/>
        <color rgb="FF000000"/>
        <rFont val="Consolas"/>
        <family val="3"/>
        <charset val="1"/>
      </rPr>
      <t>t</t>
    </r>
    <r>
      <rPr>
        <vertAlign val="subscript"/>
        <sz val="9"/>
        <color theme="1"/>
        <rFont val="Consolas"/>
        <family val="3"/>
        <charset val="1"/>
      </rPr>
      <t xml:space="preserve">rial </t>
    </r>
    <r>
      <rPr>
        <sz val="9"/>
        <color theme="1"/>
        <rFont val="Consolas"/>
        <family val="3"/>
        <charset val="1"/>
      </rPr>
      <t>=</t>
    </r>
  </si>
  <si>
    <r>
      <rPr>
        <sz val="9"/>
        <color rgb="FF000000"/>
        <rFont val="Consolas"/>
        <family val="3"/>
        <charset val="1"/>
      </rPr>
      <t>β</t>
    </r>
    <r>
      <rPr>
        <vertAlign val="subscript"/>
        <sz val="9"/>
        <color rgb="FF000000"/>
        <rFont val="Consolas"/>
        <family val="3"/>
        <charset val="1"/>
      </rPr>
      <t xml:space="preserve"> s</t>
    </r>
    <r>
      <rPr>
        <vertAlign val="subscript"/>
        <sz val="9"/>
        <color theme="1"/>
        <rFont val="Consolas"/>
        <family val="3"/>
        <charset val="1"/>
      </rPr>
      <t>ervice</t>
    </r>
    <r>
      <rPr>
        <sz val="9"/>
        <color theme="1"/>
        <rFont val="Consolas"/>
        <family val="3"/>
        <charset val="1"/>
      </rPr>
      <t xml:space="preserve"> =</t>
    </r>
  </si>
  <si>
    <t>Membuat Kurva hubungan KT-J</t>
  </si>
  <si>
    <r>
      <rPr>
        <sz val="9"/>
        <color theme="1"/>
        <rFont val="Consolas"/>
        <family val="3"/>
        <charset val="1"/>
      </rPr>
      <t xml:space="preserve">Setelah diperoleh nilai </t>
    </r>
    <r>
      <rPr>
        <sz val="9"/>
        <color rgb="FF000000"/>
        <rFont val="Consolas"/>
        <family val="3"/>
        <charset val="1"/>
      </rPr>
      <t>β</t>
    </r>
    <r>
      <rPr>
        <sz val="9"/>
        <color theme="1"/>
        <rFont val="Consolas"/>
        <family val="3"/>
        <charset val="1"/>
      </rPr>
      <t>, dan nilai J divariasikan 0 – 1 , kemudian akan didapatkan nilai KT</t>
    </r>
    <r>
      <rPr>
        <sz val="9"/>
        <color rgb="FF000000"/>
        <rFont val="Consolas"/>
        <family val="3"/>
        <charset val="1"/>
      </rPr>
      <t>SHIP</t>
    </r>
    <r>
      <rPr>
        <sz val="9"/>
        <color theme="1"/>
        <rFont val="Consolas"/>
        <family val="3"/>
        <charset val="1"/>
      </rPr>
      <t>.
Dimana KTSHIP diperoleh dari rumusan berikut.
KT = β x J2</t>
    </r>
  </si>
  <si>
    <r>
      <rPr>
        <sz val="9"/>
        <color rgb="FF000000"/>
        <rFont val="Consolas"/>
        <family val="3"/>
        <charset val="1"/>
      </rPr>
      <t>β x J</t>
    </r>
    <r>
      <rPr>
        <vertAlign val="superscript"/>
        <sz val="9"/>
        <color rgb="FF000000"/>
        <rFont val="Consolas"/>
        <family val="3"/>
        <charset val="1"/>
      </rPr>
      <t>2</t>
    </r>
  </si>
  <si>
    <t>J</t>
  </si>
  <si>
    <r>
      <rPr>
        <sz val="9"/>
        <color theme="1"/>
        <rFont val="Consolas"/>
        <family val="3"/>
        <charset val="1"/>
      </rPr>
      <t>J</t>
    </r>
    <r>
      <rPr>
        <vertAlign val="superscript"/>
        <sz val="9"/>
        <color rgb="FF000000"/>
        <rFont val="Consolas"/>
        <family val="3"/>
        <charset val="1"/>
      </rPr>
      <t>2</t>
    </r>
  </si>
  <si>
    <r>
      <rPr>
        <sz val="9"/>
        <color theme="1"/>
        <rFont val="Consolas"/>
        <family val="3"/>
        <charset val="1"/>
      </rPr>
      <t>KT</t>
    </r>
    <r>
      <rPr>
        <vertAlign val="subscript"/>
        <sz val="9"/>
        <color theme="1"/>
        <rFont val="Consolas"/>
        <family val="3"/>
        <charset val="1"/>
      </rPr>
      <t>trial</t>
    </r>
  </si>
  <si>
    <r>
      <rPr>
        <sz val="9"/>
        <color theme="1"/>
        <rFont val="Consolas"/>
        <family val="3"/>
        <charset val="1"/>
      </rPr>
      <t>KT</t>
    </r>
    <r>
      <rPr>
        <vertAlign val="subscript"/>
        <sz val="9"/>
        <color theme="1"/>
        <rFont val="Consolas"/>
        <family val="3"/>
        <charset val="1"/>
      </rPr>
      <t>service</t>
    </r>
  </si>
  <si>
    <t>.</t>
  </si>
  <si>
    <t>Sesuai dengan data di atas didapatkan kurva sebagai berikut :</t>
  </si>
  <si>
    <r>
      <rPr>
        <b/>
        <sz val="9"/>
        <color rgb="FF000000"/>
        <rFont val="Consolas"/>
        <family val="3"/>
        <charset val="1"/>
      </rPr>
      <t>Membaca grafik KT</t>
    </r>
    <r>
      <rPr>
        <b/>
        <vertAlign val="subscript"/>
        <sz val="9"/>
        <color rgb="FF000000"/>
        <rFont val="Consolas"/>
        <family val="3"/>
        <charset val="1"/>
      </rPr>
      <t>PROP</t>
    </r>
    <r>
      <rPr>
        <b/>
        <sz val="9"/>
        <color rgb="FF000000"/>
        <rFont val="Consolas"/>
        <family val="3"/>
        <charset val="1"/>
      </rPr>
      <t xml:space="preserve"> – KQ - η kurva open water test
</t>
    </r>
    <r>
      <rPr>
        <sz val="9"/>
        <color theme="1"/>
        <rFont val="Consolas"/>
        <family val="3"/>
        <charset val="1"/>
      </rPr>
      <t>Pembacaan kurva dilakukan sesuai dengan jenis propeller yang kita pilih yaitu B3-65</t>
    </r>
  </si>
  <si>
    <r>
      <rPr>
        <sz val="9"/>
        <color theme="1"/>
        <rFont val="Consolas"/>
        <family val="3"/>
        <charset val="1"/>
      </rPr>
      <t>(P/D</t>
    </r>
    <r>
      <rPr>
        <vertAlign val="subscript"/>
        <sz val="9"/>
        <color theme="1"/>
        <rFont val="Consolas"/>
        <family val="3"/>
        <charset val="1"/>
      </rPr>
      <t>b</t>
    </r>
    <r>
      <rPr>
        <sz val="9"/>
        <color theme="1"/>
        <rFont val="Consolas"/>
        <family val="3"/>
        <charset val="1"/>
      </rPr>
      <t>)</t>
    </r>
  </si>
  <si>
    <t>KT</t>
  </si>
  <si>
    <t>10KQ</t>
  </si>
  <si>
    <t>η</t>
  </si>
  <si>
    <t>Perpotongan J</t>
  </si>
  <si>
    <t>Perpotongan Kt</t>
  </si>
  <si>
    <t>Perpotongan 10Kq</t>
  </si>
  <si>
    <t>Perpotongan Eff</t>
  </si>
  <si>
    <t>Dimana kita akan mendapatkan nilai sebagai berikut</t>
  </si>
  <si>
    <t>1. Pada kondisi clean hull</t>
  </si>
  <si>
    <t>2. Pada kondisi rough hull</t>
  </si>
  <si>
    <t>Dari harga J yang di dapat diatas kita dapat mengetahui harga n (putaran) propeller yang bekerja pada effisiensi tersebut.</t>
  </si>
  <si>
    <t>n =</t>
  </si>
  <si>
    <t>Va / JxD</t>
  </si>
  <si>
    <t>putaran main engine =</t>
  </si>
  <si>
    <t>2. Pada kondisi rough hull hull</t>
  </si>
  <si>
    <t>Rps  =</t>
  </si>
  <si>
    <t>Rpm / 60</t>
  </si>
  <si>
    <t>BHP  =</t>
  </si>
  <si>
    <t>DHP/(ηG)</t>
  </si>
  <si>
    <t>Q  =</t>
  </si>
  <si>
    <r>
      <rPr>
        <sz val="9"/>
        <color theme="0" tint="-0.89999084444715716"/>
        <rFont val="Consolas"/>
        <family val="3"/>
        <charset val="1"/>
      </rPr>
      <t>(KQ x ρ x Db</t>
    </r>
    <r>
      <rPr>
        <vertAlign val="superscript"/>
        <sz val="9"/>
        <color rgb="FF000000"/>
        <rFont val="Consolas"/>
        <family val="3"/>
        <charset val="1"/>
      </rPr>
      <t>5</t>
    </r>
    <r>
      <rPr>
        <sz val="9"/>
        <color rgb="FF000000"/>
        <rFont val="Consolas"/>
        <family val="3"/>
        <charset val="1"/>
      </rPr>
      <t xml:space="preserve"> x n</t>
    </r>
    <r>
      <rPr>
        <vertAlign val="superscript"/>
        <sz val="9"/>
        <color rgb="FF000000"/>
        <rFont val="Consolas"/>
        <family val="3"/>
        <charset val="1"/>
      </rPr>
      <t>2</t>
    </r>
    <r>
      <rPr>
        <sz val="9"/>
        <color rgb="FF000000"/>
        <rFont val="Consolas"/>
        <family val="3"/>
        <charset val="1"/>
      </rPr>
      <t xml:space="preserve">) </t>
    </r>
  </si>
  <si>
    <t>DHP  =</t>
  </si>
  <si>
    <t>Q x n x 2π</t>
  </si>
  <si>
    <t>SHP  =</t>
  </si>
  <si>
    <t>DHP/(ηsηb)</t>
  </si>
  <si>
    <t>Tabel diatas merupakan perhitungan daya mesin pada putaran tertentu dengan kondisi lambung kapal yang masih bersih (clean hull) tidak ada karat maupun binatang laut yang menempel pada lambung kapal(fouling).</t>
  </si>
  <si>
    <t>Pada kondisi clean hull</t>
  </si>
  <si>
    <t>Rasio Gearbox</t>
  </si>
  <si>
    <t>BHP</t>
  </si>
  <si>
    <t>N engine</t>
  </si>
  <si>
    <t>n-engine</t>
  </si>
  <si>
    <t>n-propeller</t>
  </si>
  <si>
    <t>Q</t>
  </si>
  <si>
    <t>SHP</t>
  </si>
  <si>
    <r>
      <rPr>
        <b/>
        <sz val="9"/>
        <color theme="0" tint="-0.89999084444715716"/>
        <rFont val="Consolas"/>
        <family val="3"/>
        <charset val="1"/>
      </rPr>
      <t>BHP</t>
    </r>
    <r>
      <rPr>
        <b/>
        <vertAlign val="subscript"/>
        <sz val="9"/>
        <color rgb="FF000000"/>
        <rFont val="Consolas"/>
        <family val="3"/>
        <charset val="1"/>
      </rPr>
      <t>SCR</t>
    </r>
  </si>
  <si>
    <t xml:space="preserve">RPM </t>
  </si>
  <si>
    <t>(rpm)</t>
  </si>
  <si>
    <t>(rps)</t>
  </si>
  <si>
    <t>(kW)</t>
  </si>
  <si>
    <t>(%)</t>
  </si>
  <si>
    <t>Pada kondisi rough hull</t>
  </si>
  <si>
    <t>Perencanaan Poros Propeller</t>
  </si>
  <si>
    <t>Perencanaan Diameter Poros Propeller</t>
  </si>
  <si>
    <t>Ds =</t>
  </si>
  <si>
    <t>[(5.1 / τa) * Kt * Cb * T] / 3</t>
  </si>
  <si>
    <t>Diameter Poros Propeller (mm)</t>
  </si>
  <si>
    <r>
      <rPr>
        <sz val="9"/>
        <color rgb="FF000000"/>
        <rFont val="Consolas"/>
        <family val="3"/>
        <charset val="1"/>
      </rPr>
      <t>τ</t>
    </r>
    <r>
      <rPr>
        <vertAlign val="subscript"/>
        <sz val="9"/>
        <color rgb="FF000000"/>
        <rFont val="Consolas"/>
        <family val="3"/>
        <charset val="1"/>
      </rPr>
      <t>a</t>
    </r>
    <r>
      <rPr>
        <sz val="9"/>
        <color rgb="FF000000"/>
        <rFont val="Consolas"/>
        <family val="3"/>
        <charset val="1"/>
      </rPr>
      <t xml:space="preserve"> =  </t>
    </r>
  </si>
  <si>
    <r>
      <rPr>
        <sz val="9"/>
        <color theme="1"/>
        <rFont val="Consolas"/>
        <family val="3"/>
        <charset val="1"/>
      </rPr>
      <t>Tegangan geser yang diijinkan (Kg/mm</t>
    </r>
    <r>
      <rPr>
        <vertAlign val="superscript"/>
        <sz val="9"/>
        <color theme="1"/>
        <rFont val="Consolas"/>
        <family val="3"/>
        <charset val="1"/>
      </rPr>
      <t>2</t>
    </r>
    <r>
      <rPr>
        <sz val="9"/>
        <color theme="1"/>
        <rFont val="Consolas"/>
        <family val="3"/>
        <charset val="1"/>
      </rPr>
      <t>)</t>
    </r>
  </si>
  <si>
    <t>Kt =</t>
  </si>
  <si>
    <t>Faktor Konsentrasi Tegangan</t>
  </si>
  <si>
    <t>Cb =</t>
  </si>
  <si>
    <t>Faktor Beban Lentur</t>
  </si>
  <si>
    <t>T =</t>
  </si>
  <si>
    <t>Momen puntir rencana (kg mm)</t>
  </si>
  <si>
    <t>Daya Perencanaan (Pd)</t>
  </si>
  <si>
    <t xml:space="preserve">Pd = </t>
  </si>
  <si>
    <t>fc * p</t>
  </si>
  <si>
    <t>fc =</t>
  </si>
  <si>
    <t>Faktor koreksi daya</t>
  </si>
  <si>
    <t>p =</t>
  </si>
  <si>
    <t>Daya pada poros (SHP) dalam kw</t>
  </si>
  <si>
    <r>
      <rPr>
        <sz val="9"/>
        <color theme="1"/>
        <rFont val="Consolas"/>
        <family val="3"/>
        <charset val="1"/>
      </rPr>
      <t>tabel faktor-faktor koreksi daya yang akan ditransmisikan</t>
    </r>
    <r>
      <rPr>
        <i/>
        <sz val="9"/>
        <color theme="1"/>
        <rFont val="Consolas"/>
        <family val="3"/>
        <charset val="1"/>
      </rPr>
      <t xml:space="preserve"> fc</t>
    </r>
  </si>
  <si>
    <t>daya yang akan ditransmisikan</t>
  </si>
  <si>
    <t>fc</t>
  </si>
  <si>
    <t>(Daya Rata - Rata)</t>
  </si>
  <si>
    <t xml:space="preserve">1.2 - 2.0 </t>
  </si>
  <si>
    <t>(Daya Maksimum)</t>
  </si>
  <si>
    <t>0.8 - 1.2</t>
  </si>
  <si>
    <t>(Daya normal)</t>
  </si>
  <si>
    <t>1.0 - 1.5</t>
  </si>
  <si>
    <r>
      <rPr>
        <sz val="9"/>
        <color theme="1"/>
        <rFont val="Consolas"/>
        <family val="3"/>
        <charset val="1"/>
      </rPr>
      <t>diambil</t>
    </r>
    <r>
      <rPr>
        <i/>
        <sz val="9"/>
        <color theme="1"/>
        <rFont val="Consolas"/>
        <family val="3"/>
        <charset val="1"/>
      </rPr>
      <t xml:space="preserve"> fc     =</t>
    </r>
  </si>
  <si>
    <t>nilai SHP diambil dari perhitungan sebelumnya</t>
  </si>
  <si>
    <t>jadi Pd =</t>
  </si>
  <si>
    <t>Momen Puntir Rencana (T)</t>
  </si>
  <si>
    <t xml:space="preserve">T = </t>
  </si>
  <si>
    <r>
      <rPr>
        <sz val="9"/>
        <color rgb="FF000000"/>
        <rFont val="Consolas"/>
        <family val="3"/>
        <charset val="1"/>
      </rPr>
      <t>9.74 * 10</t>
    </r>
    <r>
      <rPr>
        <vertAlign val="superscript"/>
        <sz val="9"/>
        <color rgb="FF000000"/>
        <rFont val="Consolas"/>
        <family val="3"/>
        <charset val="1"/>
      </rPr>
      <t>5</t>
    </r>
    <r>
      <rPr>
        <sz val="9"/>
        <color rgb="FF000000"/>
        <rFont val="Consolas"/>
        <family val="3"/>
        <charset val="1"/>
      </rPr>
      <t xml:space="preserve"> * (Pd / N)</t>
    </r>
  </si>
  <si>
    <t>putaran poros (rpm)</t>
  </si>
  <si>
    <t>Pd =</t>
  </si>
  <si>
    <t>Daya perencanaan (kW)</t>
  </si>
  <si>
    <t>nilai N adalah putaran propeller dalam rpm</t>
  </si>
  <si>
    <t>jadi T =</t>
  </si>
  <si>
    <t>kg mm</t>
  </si>
  <si>
    <r>
      <rPr>
        <b/>
        <sz val="9"/>
        <color theme="1"/>
        <rFont val="Consolas"/>
        <family val="3"/>
        <charset val="1"/>
      </rPr>
      <t>Tegangan Geser yang Diijinkan (τ</t>
    </r>
    <r>
      <rPr>
        <b/>
        <vertAlign val="subscript"/>
        <sz val="9"/>
        <color theme="1"/>
        <rFont val="Consolas"/>
        <family val="3"/>
        <charset val="1"/>
      </rPr>
      <t>a</t>
    </r>
    <r>
      <rPr>
        <b/>
        <sz val="9"/>
        <color theme="1"/>
        <rFont val="Consolas"/>
        <family val="3"/>
        <charset val="1"/>
      </rPr>
      <t>)</t>
    </r>
  </si>
  <si>
    <t>σb/(sf1 * sf2)</t>
  </si>
  <si>
    <t>material poros adalah:</t>
  </si>
  <si>
    <t>S 35 C,σb=</t>
  </si>
  <si>
    <r>
      <rPr>
        <sz val="9"/>
        <color rgb="FF000000"/>
        <rFont val="Consolas"/>
        <family val="3"/>
        <charset val="1"/>
      </rPr>
      <t>kg/mm</t>
    </r>
    <r>
      <rPr>
        <vertAlign val="superscript"/>
        <sz val="9"/>
        <color rgb="FF000000"/>
        <rFont val="Consolas"/>
        <family val="3"/>
        <charset val="1"/>
      </rPr>
      <t>2</t>
    </r>
  </si>
  <si>
    <r>
      <rPr>
        <sz val="9"/>
        <color rgb="FF000000"/>
        <rFont val="Consolas"/>
        <family val="3"/>
        <charset val="1"/>
      </rPr>
      <t>sf</t>
    </r>
    <r>
      <rPr>
        <vertAlign val="subscript"/>
        <sz val="9"/>
        <color rgb="FF000000"/>
        <rFont val="Consolas"/>
        <family val="3"/>
        <charset val="1"/>
      </rPr>
      <t>1</t>
    </r>
    <r>
      <rPr>
        <sz val="9"/>
        <color rgb="FF000000"/>
        <rFont val="Consolas"/>
        <family val="3"/>
        <charset val="1"/>
      </rPr>
      <t xml:space="preserve"> = untuk material baja karbon=</t>
    </r>
  </si>
  <si>
    <r>
      <rPr>
        <sz val="9"/>
        <color rgb="FF000000"/>
        <rFont val="Consolas"/>
        <family val="3"/>
        <charset val="1"/>
      </rPr>
      <t>sf</t>
    </r>
    <r>
      <rPr>
        <vertAlign val="subscript"/>
        <sz val="9"/>
        <color rgb="FF000000"/>
        <rFont val="Consolas"/>
        <family val="3"/>
        <charset val="1"/>
      </rPr>
      <t>2</t>
    </r>
    <r>
      <rPr>
        <sz val="9"/>
        <color rgb="FF000000"/>
        <rFont val="Consolas"/>
        <family val="3"/>
        <charset val="1"/>
      </rPr>
      <t xml:space="preserve"> = 1.3 ~ 3 diambil=</t>
    </r>
  </si>
  <si>
    <r>
      <rPr>
        <sz val="9"/>
        <color theme="1"/>
        <rFont val="Consolas"/>
        <family val="3"/>
        <charset val="1"/>
      </rPr>
      <t>jadi τ</t>
    </r>
    <r>
      <rPr>
        <vertAlign val="subscript"/>
        <sz val="9"/>
        <color theme="1"/>
        <rFont val="Consolas"/>
        <family val="3"/>
        <charset val="1"/>
      </rPr>
      <t>a</t>
    </r>
    <r>
      <rPr>
        <sz val="9"/>
        <color theme="1"/>
        <rFont val="Consolas"/>
        <family val="3"/>
        <charset val="1"/>
      </rPr>
      <t xml:space="preserve"> =  </t>
    </r>
  </si>
  <si>
    <r>
      <rPr>
        <sz val="9"/>
        <color theme="1"/>
        <rFont val="Consolas"/>
        <family val="3"/>
        <charset val="1"/>
      </rPr>
      <t>Kg/mm</t>
    </r>
    <r>
      <rPr>
        <vertAlign val="superscript"/>
        <sz val="9"/>
        <color theme="1"/>
        <rFont val="Consolas"/>
        <family val="3"/>
        <charset val="1"/>
      </rPr>
      <t>2</t>
    </r>
  </si>
  <si>
    <t>Faktor Konsentrasi Tegangan (kt)</t>
  </si>
  <si>
    <t>Kt  =</t>
  </si>
  <si>
    <t>( Tumbukan halus )</t>
  </si>
  <si>
    <t>1.0-1.5</t>
  </si>
  <si>
    <t>( Sedikit tumbukan )</t>
  </si>
  <si>
    <t>1.5 - 3.0</t>
  </si>
  <si>
    <t xml:space="preserve">( Tumbukan kasar ) </t>
  </si>
  <si>
    <t>Diambil Kt  =</t>
  </si>
  <si>
    <t>Faktor Beban Lentur (Cb)</t>
  </si>
  <si>
    <t>Cb  =</t>
  </si>
  <si>
    <t>( Tidak mengalami lenturan )</t>
  </si>
  <si>
    <t>1.2 – 2.3</t>
  </si>
  <si>
    <t>( Mengalami lenturan )</t>
  </si>
  <si>
    <t>Diambil Cb  =</t>
  </si>
  <si>
    <t>Diameter Poros Propeller (Ds)</t>
  </si>
  <si>
    <r>
      <rPr>
        <sz val="9"/>
        <color rgb="FF000000"/>
        <rFont val="Consolas"/>
        <family val="3"/>
        <charset val="1"/>
      </rPr>
      <t>Ds       = [(5.1 / Ta) * Kt * Cb * T]</t>
    </r>
    <r>
      <rPr>
        <vertAlign val="superscript"/>
        <sz val="9"/>
        <color rgb="FF000000"/>
        <rFont val="Consolas"/>
        <family val="3"/>
        <charset val="1"/>
      </rPr>
      <t>1/3</t>
    </r>
  </si>
  <si>
    <t>~</t>
  </si>
  <si>
    <t>Tegangan Geser yang Bekerja (τ)</t>
  </si>
  <si>
    <t xml:space="preserve">τ =  </t>
  </si>
  <si>
    <t xml:space="preserve">       5.1*T / (Ds^3)</t>
  </si>
  <si>
    <t>persyaratan bahwa</t>
  </si>
  <si>
    <r>
      <rPr>
        <sz val="9"/>
        <color rgb="FF000000"/>
        <rFont val="Consolas"/>
        <family val="3"/>
        <charset val="1"/>
      </rPr>
      <t>τ</t>
    </r>
    <r>
      <rPr>
        <vertAlign val="subscript"/>
        <sz val="9"/>
        <color rgb="FF000000"/>
        <rFont val="Consolas"/>
        <family val="3"/>
        <charset val="1"/>
      </rPr>
      <t>a</t>
    </r>
  </si>
  <si>
    <t>τ</t>
  </si>
  <si>
    <t>sehingga persyaratan tegangan geser</t>
  </si>
  <si>
    <t>(Ir. Sularso, MSME DAASAR PEMILIHAN DAN PERENCANAAN ELEMEN MESIN)</t>
  </si>
  <si>
    <t>h</t>
  </si>
  <si>
    <t>Perhitungan Persyaratan Pembanding</t>
  </si>
  <si>
    <t>(BKI vol. III section 4 . C.2)</t>
  </si>
  <si>
    <t>DS =</t>
  </si>
  <si>
    <t>diameter poros hasil perhitungan</t>
  </si>
  <si>
    <t>di =</t>
  </si>
  <si>
    <r>
      <rPr>
        <sz val="9"/>
        <color theme="1"/>
        <rFont val="Consolas"/>
        <family val="3"/>
        <charset val="1"/>
      </rPr>
      <t>diameter dari saft bore. Apabila pore pada poros kurang dari 0.4 Ds maka persamaan berikut dapat digunakan = 1-(di/da)</t>
    </r>
    <r>
      <rPr>
        <vertAlign val="superscript"/>
        <sz val="9"/>
        <color theme="1"/>
        <rFont val="Consolas"/>
        <family val="3"/>
        <charset val="1"/>
      </rPr>
      <t>4</t>
    </r>
    <r>
      <rPr>
        <sz val="9"/>
        <color theme="1"/>
        <rFont val="Consolas"/>
        <family val="3"/>
        <charset val="1"/>
      </rPr>
      <t xml:space="preserve"> = 1</t>
    </r>
  </si>
  <si>
    <t>Berdasarkan BV Class Part C, Ch 1, Sec 7, hal 191</t>
  </si>
  <si>
    <t>da =</t>
  </si>
  <si>
    <t>diameter saft aktual</t>
  </si>
  <si>
    <t>Pw (SHP) =</t>
  </si>
  <si>
    <t>putaran propeller</t>
  </si>
  <si>
    <t>RPM</t>
  </si>
  <si>
    <t>Rm =</t>
  </si>
  <si>
    <r>
      <rPr>
        <sz val="9"/>
        <color theme="1"/>
        <rFont val="Consolas"/>
        <family val="3"/>
        <charset val="1"/>
      </rPr>
      <t>kuat ratik dari material propeller ( 400 hingga 600 N/mm</t>
    </r>
    <r>
      <rPr>
        <vertAlign val="superscript"/>
        <sz val="9"/>
        <color theme="1"/>
        <rFont val="Consolas"/>
        <family val="3"/>
        <charset val="1"/>
      </rPr>
      <t>2</t>
    </r>
    <r>
      <rPr>
        <sz val="9"/>
        <color theme="1"/>
        <rFont val="Consolas"/>
        <family val="3"/>
        <charset val="1"/>
      </rPr>
      <t xml:space="preserve"> )</t>
    </r>
  </si>
  <si>
    <t>N/mm²</t>
  </si>
  <si>
    <t>Cw =</t>
  </si>
  <si>
    <t>(560)/(Rm + 160)</t>
  </si>
  <si>
    <t>F =</t>
  </si>
  <si>
    <t>tipe instalasi penggerak untuk propeller (saft)</t>
  </si>
  <si>
    <t>k =</t>
  </si>
  <si>
    <t>propeller saft mengggunakan stern tube seal</t>
  </si>
  <si>
    <t>Ds min =</t>
  </si>
  <si>
    <t>syarat diameter bahwa</t>
  </si>
  <si>
    <t>Ds</t>
  </si>
  <si>
    <r>
      <rPr>
        <sz val="9"/>
        <rFont val="Consolas"/>
        <family val="3"/>
        <charset val="1"/>
      </rPr>
      <t xml:space="preserve">Ds </t>
    </r>
    <r>
      <rPr>
        <vertAlign val="subscript"/>
        <sz val="9"/>
        <rFont val="Consolas"/>
        <family val="3"/>
        <charset val="1"/>
      </rPr>
      <t>min</t>
    </r>
  </si>
  <si>
    <t>Sehingga</t>
  </si>
  <si>
    <t>syarat diameter poros</t>
  </si>
  <si>
    <t>PERENCANAAN PERLENGKAPAN PROPELLER</t>
  </si>
  <si>
    <t>gil</t>
  </si>
  <si>
    <t>keterangan gambar</t>
  </si>
  <si>
    <t xml:space="preserve">1 : </t>
  </si>
  <si>
    <t>Dba =</t>
  </si>
  <si>
    <t>diameter boss propeller pada bagian belakang</t>
  </si>
  <si>
    <t>Dbf =</t>
  </si>
  <si>
    <t>diameter boss propeller pada bagian depan</t>
  </si>
  <si>
    <t>Db =</t>
  </si>
  <si>
    <t>diameter boss propeller = ( Dba + Dbf )/2</t>
  </si>
  <si>
    <t>Lb =</t>
  </si>
  <si>
    <t>panjang boss propeller</t>
  </si>
  <si>
    <t>Ln =</t>
  </si>
  <si>
    <t>panjang bantalan duduk dari propeller</t>
  </si>
  <si>
    <t>tb =</t>
  </si>
  <si>
    <t>tebal poros boss propeller</t>
  </si>
  <si>
    <t>rf =</t>
  </si>
  <si>
    <t>jari jari blade face</t>
  </si>
  <si>
    <t>rb =</t>
  </si>
  <si>
    <t>jari jari blade back</t>
  </si>
  <si>
    <t>diameter poros</t>
  </si>
  <si>
    <t>Da =</t>
  </si>
  <si>
    <t>diameter terkecil ujung konis</t>
  </si>
  <si>
    <t>PERHITUNGAN BOSS PROPELLER</t>
  </si>
  <si>
    <t>Diameter Boss Propeller (Db)</t>
  </si>
  <si>
    <t>0.167 x Dprop</t>
  </si>
  <si>
    <t>tr =</t>
  </si>
  <si>
    <t>0.045 x Dprop</t>
  </si>
  <si>
    <r>
      <rPr>
        <sz val="9"/>
        <color rgb="FF000000"/>
        <rFont val="Consolas"/>
        <family val="3"/>
        <charset val="1"/>
      </rPr>
      <t>(Van Lammern,</t>
    </r>
    <r>
      <rPr>
        <i/>
        <sz val="9"/>
        <color rgb="FF000000"/>
        <rFont val="Consolas"/>
        <family val="3"/>
        <charset val="1"/>
      </rPr>
      <t xml:space="preserve"> "Resistance, Propulsion and steering of ship"</t>
    </r>
    <r>
      <rPr>
        <sz val="9"/>
        <color rgb="FF000000"/>
        <rFont val="Consolas"/>
        <family val="3"/>
        <charset val="1"/>
      </rPr>
      <t>)</t>
    </r>
  </si>
  <si>
    <t>Diameter Boss Terkecil (Dba)</t>
  </si>
  <si>
    <t>Dba/Db =</t>
  </si>
  <si>
    <t>0.85 s/d 0.9, diambil 0.9</t>
  </si>
  <si>
    <t>0.9 X Db</t>
  </si>
  <si>
    <r>
      <rPr>
        <sz val="9"/>
        <color rgb="FF000000"/>
        <rFont val="Consolas"/>
        <family val="3"/>
        <charset val="1"/>
      </rPr>
      <t xml:space="preserve">(T. O'brien, </t>
    </r>
    <r>
      <rPr>
        <i/>
        <sz val="9"/>
        <color rgb="FF000000"/>
        <rFont val="Consolas"/>
        <family val="3"/>
        <charset val="1"/>
      </rPr>
      <t>"The Design Of Marine Screw Propeller"</t>
    </r>
    <r>
      <rPr>
        <sz val="9"/>
        <color rgb="FF000000"/>
        <rFont val="Consolas"/>
        <family val="3"/>
        <charset val="1"/>
      </rPr>
      <t>)</t>
    </r>
  </si>
  <si>
    <t>Diameter Boss Propeller Terbesar ( Dbf)</t>
  </si>
  <si>
    <t>Dbf/Db =</t>
  </si>
  <si>
    <t>1.05 sampai 1.1, Diambl 1.05</t>
  </si>
  <si>
    <t>1.05 x Db</t>
  </si>
  <si>
    <t>Panjang Boss Propeller (Lb)</t>
  </si>
  <si>
    <t>Lb/Ds =</t>
  </si>
  <si>
    <t>1.8 sampai 2.4, Diambil 2</t>
  </si>
  <si>
    <t>2 x Ds</t>
  </si>
  <si>
    <t>Panjang Lubang Dalam Boss Propeller (Ln)</t>
  </si>
  <si>
    <t>Ln/Lb =</t>
  </si>
  <si>
    <t>0.3 X Lb</t>
  </si>
  <si>
    <t>tb/tr =</t>
  </si>
  <si>
    <t>0.75 x tr</t>
  </si>
  <si>
    <t>rf/tr =</t>
  </si>
  <si>
    <t>rb/tr =</t>
  </si>
  <si>
    <t>1 x tr</t>
  </si>
  <si>
    <t xml:space="preserve"> </t>
  </si>
  <si>
    <t>Tebal Sleeve (s)</t>
  </si>
  <si>
    <t>(BKI vol. III 2006)</t>
  </si>
  <si>
    <t>S ≥ 0.03 Ds + 0.75</t>
  </si>
  <si>
    <t>jadi  S ≥</t>
  </si>
  <si>
    <t>Perencanaan</t>
  </si>
  <si>
    <t>BENTUK UJUNG POROS PROPELLER</t>
  </si>
  <si>
    <t>Panjang Konis</t>
  </si>
  <si>
    <t>Panjang Konis atau Lb berkisar antara 1.8 sampai 2.4 diameter poros</t>
  </si>
  <si>
    <t xml:space="preserve">Diambil, </t>
  </si>
  <si>
    <t>Kemiringan Konis</t>
  </si>
  <si>
    <t>Biro Klasifikasi Indonesia menyarankan harga kemiringan konis berkisar antara 1/10 sampai 1/15. Diambil sebesar = 1/15</t>
  </si>
  <si>
    <t>x =</t>
  </si>
  <si>
    <t>1/15 x Lb</t>
  </si>
  <si>
    <t>Diameter Terkecil Ujung Konis</t>
  </si>
  <si>
    <t>Ds - 2*x</t>
  </si>
  <si>
    <t>Diameter Luar Pengikat Boss</t>
  </si>
  <si>
    <t>Biro Klasifikasi Indonesia menyarankan harga diameter luar pengikat boss atau Du tidak boleh kurang dari 60% diamater poros</t>
  </si>
  <si>
    <t>dn =</t>
  </si>
  <si>
    <t>60% x Ds</t>
  </si>
  <si>
    <t>MUR PENGIKAT PROPELLER</t>
  </si>
  <si>
    <t>Diameter Ulir Luar (d)</t>
  </si>
  <si>
    <t>menurut BKI Vol. III, diameter luar ulir(d) ≥ diameter konis yang terbesar  :</t>
  </si>
  <si>
    <t>d≥</t>
  </si>
  <si>
    <t>0.6 x Ds</t>
  </si>
  <si>
    <t>Diambil d =</t>
  </si>
  <si>
    <t>Diameter Inti</t>
  </si>
  <si>
    <t>Dari sularso untuk diameter luar ulir &gt;3 mm, maka diameter inti adalah :</t>
  </si>
  <si>
    <t>Do =</t>
  </si>
  <si>
    <t>di=</t>
  </si>
  <si>
    <t>0.8 x d</t>
  </si>
  <si>
    <t>H =</t>
  </si>
  <si>
    <t>Diameter Luar Mur (Do)</t>
  </si>
  <si>
    <t>2 x d</t>
  </si>
  <si>
    <t>Tebal/Tinggi Mur (H)</t>
  </si>
  <si>
    <t xml:space="preserve">Dari sularso untuk ukuran standar tebal  mur adalah (0,8~1) diameter poros, </t>
  </si>
  <si>
    <t>sehingga:</t>
  </si>
  <si>
    <t>0.9 x d</t>
  </si>
  <si>
    <t>PERENCANAAN PASAK PROPELLER</t>
  </si>
  <si>
    <t>Sumber untuk perencanaan pasak diambil dari buku Dasar Perencanaan dan Pemilihan Elemen Mesin karya “Ir. Soelarso Ms.Me”.</t>
  </si>
  <si>
    <t>Dalam menentukan dimensi dan spesifikasi pasak propeller yang diperlukan, berikut ini urutan perhitungannya :</t>
  </si>
  <si>
    <t>Momen Torsi (Mt) Pada Pasak :</t>
  </si>
  <si>
    <t>MT =</t>
  </si>
  <si>
    <t>Momen Torsi (Kg.m)</t>
  </si>
  <si>
    <t>DH =</t>
  </si>
  <si>
    <t>Delivery Horse Power (Hp)</t>
  </si>
  <si>
    <t>Kecepatan Putar Propeller (Rpm)</t>
  </si>
  <si>
    <t>Sehingga :</t>
  </si>
  <si>
    <t>Mt =</t>
  </si>
  <si>
    <t>Kg.m</t>
  </si>
  <si>
    <t>Parameter yang Dibutuhkan</t>
  </si>
  <si>
    <t>-</t>
  </si>
  <si>
    <t>Diameter Poros (Ds)</t>
  </si>
  <si>
    <t>sesuai perhitungan sebelumnya Ds =</t>
  </si>
  <si>
    <t>Panjang Pasak (L)</t>
  </si>
  <si>
    <t>Panjang pasak (L) antara (0,75–1,5) Ds dari buku DP dan PEM hal. 27,(diambil 1,5)</t>
  </si>
  <si>
    <t>L =</t>
  </si>
  <si>
    <t>1 x Ds</t>
  </si>
  <si>
    <t>L diambil =</t>
  </si>
  <si>
    <t>Lebar Pasak (B)</t>
  </si>
  <si>
    <t xml:space="preserve">Lebar pasak (B) antara 25% - 30% dari diameter poros menurut buku DP dan PEM  </t>
  </si>
  <si>
    <t>hal 27, (diambil 30 %)</t>
  </si>
  <si>
    <t>B=</t>
  </si>
  <si>
    <t>30% x Ds</t>
  </si>
  <si>
    <t>Tebal Pasak (t)</t>
  </si>
  <si>
    <t>t=</t>
  </si>
  <si>
    <t>1/6 x Ds</t>
  </si>
  <si>
    <t>Radius Ujung Pasak (R):</t>
  </si>
  <si>
    <t>R=</t>
  </si>
  <si>
    <t>12.5% x Ds</t>
  </si>
  <si>
    <t>Luas Bidang Geser (A) :</t>
  </si>
  <si>
    <t>A=</t>
  </si>
  <si>
    <t>0.25 x Ds^2</t>
  </si>
  <si>
    <t>Bila momen rencana T ditekankan pada suatu diameter poros (Ds), maka gaya sentrifugal (F) yang terjadi pada permukaan poros adalah :</t>
  </si>
  <si>
    <t xml:space="preserve"> kgmm  =</t>
  </si>
  <si>
    <t>*10^-7mm</t>
  </si>
  <si>
    <r>
      <rPr>
        <sz val="9"/>
        <color rgb="FF000000"/>
        <rFont val="Consolas"/>
        <family val="3"/>
        <charset val="1"/>
      </rPr>
      <t>Kgmm</t>
    </r>
    <r>
      <rPr>
        <vertAlign val="superscript"/>
        <sz val="9"/>
        <color rgb="FF000000"/>
        <rFont val="Consolas"/>
        <family val="3"/>
        <charset val="1"/>
      </rPr>
      <t>2</t>
    </r>
  </si>
  <si>
    <r>
      <rPr>
        <sz val="9"/>
        <color rgb="FF000000"/>
        <rFont val="Consolas"/>
        <family val="3"/>
        <charset val="1"/>
      </rPr>
      <t>Sedangkan tegangan gesek yang diijinkan  (τka) untuk pemakaian umum pada poros diperoleh dengan membagi kekuatan tarik σ</t>
    </r>
    <r>
      <rPr>
        <vertAlign val="subscript"/>
        <sz val="9"/>
        <color rgb="FF000000"/>
        <rFont val="Consolas"/>
        <family val="3"/>
        <charset val="1"/>
      </rPr>
      <t>b</t>
    </r>
    <r>
      <rPr>
        <sz val="9"/>
        <color rgb="FF000000"/>
        <rFont val="Consolas"/>
        <family val="3"/>
        <charset val="1"/>
      </rPr>
      <t xml:space="preserve"> dengan faktor keamanan (Sf</t>
    </r>
    <r>
      <rPr>
        <vertAlign val="subscript"/>
        <sz val="9"/>
        <color rgb="FF000000"/>
        <rFont val="Consolas"/>
        <family val="3"/>
        <charset val="1"/>
      </rPr>
      <t>1</t>
    </r>
    <r>
      <rPr>
        <sz val="9"/>
        <color rgb="FF000000"/>
        <rFont val="Consolas"/>
        <family val="3"/>
        <charset val="1"/>
      </rPr>
      <t xml:space="preserve"> x Sf</t>
    </r>
    <r>
      <rPr>
        <vertAlign val="subscript"/>
        <sz val="9"/>
        <color rgb="FF000000"/>
        <rFont val="Consolas"/>
        <family val="3"/>
        <charset val="1"/>
      </rPr>
      <t>2</t>
    </r>
    <r>
      <rPr>
        <sz val="9"/>
        <color rgb="FF000000"/>
        <rFont val="Consolas"/>
        <family val="3"/>
        <charset val="1"/>
      </rPr>
      <t>), sedang harga untuk Sf umumnya telah ditentukan ;</t>
    </r>
  </si>
  <si>
    <r>
      <rPr>
        <sz val="9"/>
        <color rgb="FF000000"/>
        <rFont val="Consolas"/>
        <family val="3"/>
        <charset val="1"/>
      </rPr>
      <t xml:space="preserve"> Sf</t>
    </r>
    <r>
      <rPr>
        <vertAlign val="subscript"/>
        <sz val="9"/>
        <color rgb="FF000000"/>
        <rFont val="Consolas"/>
        <family val="3"/>
        <charset val="1"/>
      </rPr>
      <t>1</t>
    </r>
  </si>
  <si>
    <t xml:space="preserve"> = umumnya (material baja) diambil</t>
  </si>
  <si>
    <r>
      <rPr>
        <sz val="9"/>
        <color rgb="FF000000"/>
        <rFont val="Consolas"/>
        <family val="3"/>
        <charset val="1"/>
      </rPr>
      <t xml:space="preserve">   Sf</t>
    </r>
    <r>
      <rPr>
        <vertAlign val="subscript"/>
        <sz val="9"/>
        <color rgb="FF000000"/>
        <rFont val="Consolas"/>
        <family val="3"/>
        <charset val="1"/>
      </rPr>
      <t>2</t>
    </r>
  </si>
  <si>
    <t xml:space="preserve">=  1,0 – 1,5 , jika beban dikenakan secara tiba-tiba </t>
  </si>
  <si>
    <t>1,5 – 3,0 , jika beban dikenakan tumbukan ringan</t>
  </si>
  <si>
    <t>3,0 – 5,0 , jika beban dikenakan secara tiba-tiba dan tumbukan berat</t>
  </si>
  <si>
    <r>
      <rPr>
        <sz val="9"/>
        <color rgb="FF000000"/>
        <rFont val="Consolas"/>
        <family val="3"/>
        <charset val="1"/>
      </rPr>
      <t>Karena beban pada propeller dikenakan secara tiba-tiba, maka diambil Sf</t>
    </r>
    <r>
      <rPr>
        <vertAlign val="subscript"/>
        <sz val="9"/>
        <color rgb="FF000000"/>
        <rFont val="Consolas"/>
        <family val="3"/>
        <charset val="1"/>
      </rPr>
      <t>2</t>
    </r>
    <r>
      <rPr>
        <sz val="9"/>
        <color rgb="FF000000"/>
        <rFont val="Consolas"/>
        <family val="3"/>
        <charset val="1"/>
      </rPr>
      <t xml:space="preserve">= </t>
    </r>
  </si>
  <si>
    <t>Bahan pasak digunakan S 45 C dengan harga σb =</t>
  </si>
  <si>
    <t xml:space="preserve"> kg/mm2.</t>
  </si>
  <si>
    <t>τka =</t>
  </si>
  <si>
    <r>
      <rPr>
        <sz val="9"/>
        <rFont val="Consolas"/>
        <family val="3"/>
        <charset val="1"/>
      </rPr>
      <t>kg/mm</t>
    </r>
    <r>
      <rPr>
        <vertAlign val="superscript"/>
        <sz val="9"/>
        <rFont val="Consolas"/>
        <family val="3"/>
        <charset val="1"/>
      </rPr>
      <t>2</t>
    </r>
  </si>
  <si>
    <t>Sedangkan tegangan gesek yang terjadi pada pasak adalah ;</t>
  </si>
  <si>
    <t>τk =</t>
  </si>
  <si>
    <t xml:space="preserve">Karena nilai </t>
  </si>
  <si>
    <t>τka</t>
  </si>
  <si>
    <t>≥</t>
  </si>
  <si>
    <t>τk</t>
  </si>
  <si>
    <t>maka tegangan gesek pasak tersebut</t>
  </si>
  <si>
    <t>Penampang Pasak</t>
  </si>
  <si>
    <t>B x t</t>
  </si>
  <si>
    <r>
      <rPr>
        <sz val="9"/>
        <color rgb="FF000000"/>
        <rFont val="Consolas"/>
        <family val="3"/>
        <charset val="1"/>
      </rPr>
      <t>mm</t>
    </r>
    <r>
      <rPr>
        <vertAlign val="superscript"/>
        <sz val="9"/>
        <color rgb="FF000000"/>
        <rFont val="Consolas"/>
        <family val="3"/>
        <charset val="1"/>
      </rPr>
      <t>2</t>
    </r>
  </si>
  <si>
    <t>Kedalaman Alur Pasak (t1)</t>
  </si>
  <si>
    <t>t1 =</t>
  </si>
  <si>
    <t>0.5 x t</t>
  </si>
  <si>
    <t>Detail Pasak</t>
  </si>
  <si>
    <t>r5 =</t>
  </si>
  <si>
    <t>r4 &gt; r3 &gt; r2 &gt; r1</t>
  </si>
  <si>
    <t>r4 =</t>
  </si>
  <si>
    <t>r3 =</t>
  </si>
  <si>
    <t>r2 =</t>
  </si>
  <si>
    <t>r1 =</t>
  </si>
  <si>
    <t xml:space="preserve">r6                = </t>
  </si>
  <si>
    <t>0.5 x B</t>
  </si>
  <si>
    <t>KOPLING</t>
  </si>
  <si>
    <t xml:space="preserve">Kopling direncanakan sebagai berikut  </t>
  </si>
  <si>
    <t>Jumlah Baut Kopling</t>
  </si>
  <si>
    <t>* Direncanakan =</t>
  </si>
  <si>
    <t xml:space="preserve"> buah baut.</t>
  </si>
  <si>
    <t>Ukuran Kopling</t>
  </si>
  <si>
    <t>*</t>
  </si>
  <si>
    <t>panjang tirus (BKI) untuk kopling :</t>
  </si>
  <si>
    <t>l = (1.25 – 1.5) x Ds</t>
  </si>
  <si>
    <t>diambil l = 1.5 x Ds</t>
  </si>
  <si>
    <t>jadi,l=</t>
  </si>
  <si>
    <t>Kemiringan tirus :</t>
  </si>
  <si>
    <t xml:space="preserve">Untuk konis kopling yang tidak terlalu panjang maka direncanakan nilai terendahnya </t>
  </si>
  <si>
    <t>untuk menghitung kemiringan :</t>
  </si>
  <si>
    <t xml:space="preserve">x = 1/10 x l  =      </t>
  </si>
  <si>
    <t>Diameter terkecil ujung tirus :</t>
  </si>
  <si>
    <t xml:space="preserve">Da = Ds – 2 x  = </t>
  </si>
  <si>
    <t xml:space="preserve"> Diameter luar kopling :</t>
  </si>
  <si>
    <r>
      <rPr>
        <sz val="9"/>
        <color rgb="FF000000"/>
        <rFont val="Consolas"/>
        <family val="3"/>
        <charset val="1"/>
      </rPr>
      <t>D</t>
    </r>
    <r>
      <rPr>
        <vertAlign val="subscript"/>
        <sz val="9"/>
        <color rgb="FF000000"/>
        <rFont val="Consolas"/>
        <family val="3"/>
        <charset val="1"/>
      </rPr>
      <t>out</t>
    </r>
    <r>
      <rPr>
        <sz val="9"/>
        <color rgb="FF000000"/>
        <rFont val="Consolas"/>
        <family val="3"/>
        <charset val="1"/>
      </rPr>
      <t xml:space="preserve"> = (3 – 5.8) x Ds</t>
    </r>
  </si>
  <si>
    <r>
      <rPr>
        <sz val="9"/>
        <color rgb="FF000000"/>
        <rFont val="Consolas"/>
        <family val="3"/>
        <charset val="1"/>
      </rPr>
      <t>Diambil, D</t>
    </r>
    <r>
      <rPr>
        <vertAlign val="subscript"/>
        <sz val="9"/>
        <color rgb="FF000000"/>
        <rFont val="Consolas"/>
        <family val="3"/>
        <charset val="1"/>
      </rPr>
      <t>out</t>
    </r>
    <r>
      <rPr>
        <sz val="9"/>
        <color rgb="FF000000"/>
        <rFont val="Consolas"/>
        <family val="3"/>
        <charset val="1"/>
      </rPr>
      <t xml:space="preserve"> = 3 x Ds = </t>
    </r>
  </si>
  <si>
    <t xml:space="preserve">              =</t>
  </si>
  <si>
    <t>Ketebalan flange kopling</t>
  </si>
  <si>
    <t>Berdasarkan BKI Volume III section 4</t>
  </si>
  <si>
    <t>Faktor Material :</t>
  </si>
  <si>
    <t>CW =</t>
  </si>
  <si>
    <t>560 / ( Rm + 160 )</t>
  </si>
  <si>
    <r>
      <rPr>
        <sz val="9"/>
        <color rgb="FF000000"/>
        <rFont val="Consolas"/>
        <family val="3"/>
        <charset val="1"/>
      </rPr>
      <t xml:space="preserve"> S</t>
    </r>
    <r>
      <rPr>
        <vertAlign val="subscript"/>
        <sz val="9"/>
        <color rgb="FF000000"/>
        <rFont val="Consolas"/>
        <family val="3"/>
        <charset val="1"/>
      </rPr>
      <t>fl =</t>
    </r>
  </si>
  <si>
    <t>Dimana, Rm =</t>
  </si>
  <si>
    <t xml:space="preserve">σb x g </t>
  </si>
  <si>
    <t>pw =</t>
  </si>
  <si>
    <t>daya perencanaan</t>
  </si>
  <si>
    <t>σb =</t>
  </si>
  <si>
    <t>tegangan geser yang diijinkan</t>
  </si>
  <si>
    <t>Faktor material</t>
  </si>
  <si>
    <t>gaya gravitasi (9.8)</t>
  </si>
  <si>
    <t>putaran propeller (rpm)</t>
  </si>
  <si>
    <t>Jadi, Cw =</t>
  </si>
  <si>
    <t>560 / (568.4 + 160 )</t>
  </si>
  <si>
    <t>diameter luar kopling yang direncanakan</t>
  </si>
  <si>
    <t>Diameter lingkaran baut kopling :</t>
  </si>
  <si>
    <t>Db=</t>
  </si>
  <si>
    <t>2.5 x Ds</t>
  </si>
  <si>
    <t>Panjang Kopling</t>
  </si>
  <si>
    <t>L=</t>
  </si>
  <si>
    <t>(2.5~5.5)Ds x 0.5</t>
  </si>
  <si>
    <t>diambil</t>
  </si>
  <si>
    <t>Baut Pengikat Flens Kopling</t>
  </si>
  <si>
    <t>Diameter Minimum Ulir baut Kopling (Df) adalah :</t>
  </si>
  <si>
    <t>Berdasarkan BKI Volume III section 4D 4.2</t>
  </si>
  <si>
    <t>Df=</t>
  </si>
  <si>
    <t>Pw=</t>
  </si>
  <si>
    <t>SHP (kW)</t>
  </si>
  <si>
    <t>Rm=</t>
  </si>
  <si>
    <r>
      <rPr>
        <sz val="9"/>
        <rFont val="Consolas"/>
        <family val="3"/>
        <charset val="1"/>
      </rPr>
      <t>kekuatan tarik material N/mm</t>
    </r>
    <r>
      <rPr>
        <vertAlign val="superscript"/>
        <sz val="9"/>
        <rFont val="Consolas"/>
        <family val="3"/>
        <charset val="1"/>
      </rPr>
      <t>2</t>
    </r>
  </si>
  <si>
    <t>n=</t>
  </si>
  <si>
    <t>putaran poros(= putaran propeller dalam rpm)</t>
  </si>
  <si>
    <t>z=</t>
  </si>
  <si>
    <t>Jumlah Baut (8) buah</t>
  </si>
  <si>
    <t>Jadi :</t>
  </si>
  <si>
    <t>dk=</t>
  </si>
  <si>
    <t>diameter luar mur</t>
  </si>
  <si>
    <t xml:space="preserve">Do = </t>
  </si>
  <si>
    <t>2 x Df</t>
  </si>
  <si>
    <t>Tinggi baut</t>
  </si>
  <si>
    <t xml:space="preserve">H = </t>
  </si>
  <si>
    <t>(0,8 ~ 1) x Df</t>
  </si>
  <si>
    <t>Mur Pengikat Flens Kopling</t>
  </si>
  <si>
    <t>menurut BKI”78 Vol. III, diameter luar ulir(d) ≥ diameter konis yang terbesar  :</t>
  </si>
  <si>
    <t>Diameter Luar Mur</t>
  </si>
  <si>
    <t>D0=</t>
  </si>
  <si>
    <t>Tinggi Mur</t>
  </si>
  <si>
    <t>H=</t>
  </si>
  <si>
    <t>(0.8~1)d</t>
  </si>
  <si>
    <t>Berdasarkan BKI Volume III section 4D 4.2 Diameter minimum baut kopling (Df) adalah</t>
  </si>
  <si>
    <t>Jumlah Baut (10) buah</t>
  </si>
  <si>
    <t>Diameter luar mur (D0)</t>
  </si>
  <si>
    <t>D0 =</t>
  </si>
  <si>
    <t>Tinggi mur (H)</t>
  </si>
  <si>
    <t>(0.8 s/d 1) x Df</t>
  </si>
  <si>
    <t>2.10.</t>
  </si>
  <si>
    <t>PERENCANAAN PASAK KOPLING</t>
  </si>
  <si>
    <t>Bahan Pasak Yang Digunakan adalah S 45 C dengan Spesifikasi Sebagai Berikut :</t>
  </si>
  <si>
    <r>
      <rPr>
        <sz val="9"/>
        <color rgb="FF000000"/>
        <rFont val="Consolas"/>
        <family val="3"/>
        <charset val="1"/>
      </rPr>
      <t>Kg/mm</t>
    </r>
    <r>
      <rPr>
        <vertAlign val="superscript"/>
        <sz val="9"/>
        <color rgb="FF000000"/>
        <rFont val="Consolas"/>
        <family val="3"/>
        <charset val="1"/>
      </rPr>
      <t>2</t>
    </r>
  </si>
  <si>
    <t>Sf1 =</t>
  </si>
  <si>
    <t>Sf2 =</t>
  </si>
  <si>
    <t>Tegangan Geser Yang Diijinkan (τka) :</t>
  </si>
  <si>
    <r>
      <rPr>
        <sz val="9"/>
        <color rgb="FF000000"/>
        <rFont val="Consolas"/>
        <family val="3"/>
        <charset val="1"/>
      </rPr>
      <t>τk</t>
    </r>
    <r>
      <rPr>
        <vertAlign val="subscript"/>
        <sz val="9"/>
        <color rgb="FF000000"/>
        <rFont val="Consolas"/>
        <family val="3"/>
        <charset val="1"/>
      </rPr>
      <t>a</t>
    </r>
    <r>
      <rPr>
        <sz val="9"/>
        <color rgb="FF000000"/>
        <rFont val="Consolas"/>
        <family val="3"/>
        <charset val="1"/>
      </rPr>
      <t xml:space="preserve"> =  </t>
    </r>
  </si>
  <si>
    <t>σb/(sf1xsf2)</t>
  </si>
  <si>
    <t>Gaya Tangensial Permukaan Poros (F) :</t>
  </si>
  <si>
    <t>kgmm</t>
  </si>
  <si>
    <t>Sedangkan,</t>
  </si>
  <si>
    <t>Kg</t>
  </si>
  <si>
    <t>Lebar Pasak (B) :</t>
  </si>
  <si>
    <t>B =</t>
  </si>
  <si>
    <t>(0.25 ~ 0.35) Ds, diambil 0.25 x Ds sehingga</t>
  </si>
  <si>
    <t>panjang pasak</t>
  </si>
  <si>
    <t>Dengan Syarat tka ≥ tk, maka nilai "L" dapat diketahui sebagai berikut :</t>
  </si>
  <si>
    <t>F / ( B.L)</t>
  </si>
  <si>
    <t>τka ≥</t>
  </si>
  <si>
    <t>L ≥</t>
  </si>
  <si>
    <t>F / ( B.τka)</t>
  </si>
  <si>
    <t>Syarat pasak (0.75 – 1.5) x Ds , dalam perhitungan ini diambil nilai 0.75 :</t>
  </si>
  <si>
    <t>Sehingga panjang pasak diambil =</t>
  </si>
  <si>
    <t>Tebal Pasak (t) :</t>
  </si>
  <si>
    <t>Radius Ujung Pasak (R) :</t>
  </si>
  <si>
    <t>0.0125 x Ds</t>
  </si>
  <si>
    <t>A =</t>
  </si>
  <si>
    <r>
      <rPr>
        <b/>
        <sz val="9"/>
        <color rgb="FF000000"/>
        <rFont val="Consolas"/>
        <family val="3"/>
        <charset val="1"/>
      </rPr>
      <t>Kedalaman Alur Pasak Pada Poros (t</t>
    </r>
    <r>
      <rPr>
        <b/>
        <vertAlign val="subscript"/>
        <sz val="9"/>
        <color rgb="FF000000"/>
        <rFont val="Consolas"/>
        <family val="3"/>
        <charset val="1"/>
      </rPr>
      <t>1</t>
    </r>
    <r>
      <rPr>
        <b/>
        <sz val="9"/>
        <color rgb="FF000000"/>
        <rFont val="Consolas"/>
        <family val="3"/>
        <charset val="1"/>
      </rPr>
      <t>) :</t>
    </r>
  </si>
  <si>
    <r>
      <rPr>
        <sz val="9"/>
        <color rgb="FF000000"/>
        <rFont val="Consolas"/>
        <family val="3"/>
        <charset val="1"/>
      </rPr>
      <t>t</t>
    </r>
    <r>
      <rPr>
        <vertAlign val="subscript"/>
        <sz val="9"/>
        <color rgb="FF000000"/>
        <rFont val="Consolas"/>
        <family val="3"/>
        <charset val="1"/>
      </rPr>
      <t xml:space="preserve">1 </t>
    </r>
    <r>
      <rPr>
        <sz val="9"/>
        <color rgb="FF000000"/>
        <rFont val="Consolas"/>
        <family val="3"/>
        <charset val="1"/>
      </rPr>
      <t>=</t>
    </r>
  </si>
  <si>
    <t>50% x t</t>
  </si>
  <si>
    <t>j.</t>
  </si>
  <si>
    <r>
      <rPr>
        <b/>
        <sz val="9"/>
        <color rgb="FF000000"/>
        <rFont val="Consolas"/>
        <family val="3"/>
        <charset val="1"/>
      </rPr>
      <t>Kedalaman Alur Pasak Pada naf (t</t>
    </r>
    <r>
      <rPr>
        <b/>
        <vertAlign val="subscript"/>
        <sz val="9"/>
        <color rgb="FF000000"/>
        <rFont val="Consolas"/>
        <family val="3"/>
        <charset val="1"/>
      </rPr>
      <t>2</t>
    </r>
    <r>
      <rPr>
        <b/>
        <sz val="9"/>
        <color rgb="FF000000"/>
        <rFont val="Consolas"/>
        <family val="3"/>
        <charset val="1"/>
      </rPr>
      <t>) :</t>
    </r>
  </si>
  <si>
    <r>
      <rPr>
        <sz val="9"/>
        <color rgb="FF000000"/>
        <rFont val="Consolas"/>
        <family val="3"/>
        <charset val="1"/>
      </rPr>
      <t>t</t>
    </r>
    <r>
      <rPr>
        <vertAlign val="subscript"/>
        <sz val="9"/>
        <color rgb="FF000000"/>
        <rFont val="Consolas"/>
        <family val="3"/>
        <charset val="1"/>
      </rPr>
      <t xml:space="preserve">2 </t>
    </r>
    <r>
      <rPr>
        <sz val="9"/>
        <color rgb="FF000000"/>
        <rFont val="Consolas"/>
        <family val="3"/>
        <charset val="1"/>
      </rPr>
      <t>=</t>
    </r>
  </si>
  <si>
    <r>
      <rPr>
        <sz val="9"/>
        <color rgb="FF000000"/>
        <rFont val="Consolas"/>
        <family val="3"/>
        <charset val="1"/>
      </rPr>
      <t>t - t</t>
    </r>
    <r>
      <rPr>
        <vertAlign val="subscript"/>
        <sz val="9"/>
        <color rgb="FF000000"/>
        <rFont val="Consolas"/>
        <family val="3"/>
        <charset val="1"/>
      </rPr>
      <t>1</t>
    </r>
  </si>
  <si>
    <t>Di samping perhitungan di atas, juga diperlukan perhitungan untuk menghindari dari kerusakan permukaan samping pasak yang disebabkan oleh tekanan bidang Dalam hal ini tekanan permukaan P (kg/mm2) , adalah ;</t>
  </si>
  <si>
    <t>P =</t>
  </si>
  <si>
    <t>F/L x t</t>
  </si>
  <si>
    <t>Harga tekanan permukaan untuk poros dengan diameter yang besar (&gt; 100 mm) adalah,Pa = 10 kg/mm2. Karena harga P&lt; Pa, maka dengan dimensi tersebut telah memenuhi persyaratan.</t>
  </si>
  <si>
    <t>PERENCANAAN STERN TUBE</t>
  </si>
  <si>
    <t>Stern tube merupakan tabung poros yang digunakan sebagai media pelumasan poros propeller dengan bearing juga dapat berfungsi sebagai penyekat jika terjadi kebocoran. Pada perencanaan ini, sebagai pelumas poros digunakan minyak. Perencanaan stern tube adalah sebagai berikut :</t>
  </si>
  <si>
    <t>Jenis Pelumasan</t>
  </si>
  <si>
    <t>Jenis pelumasan poros propeller kapal ini direncanakan menggunakan sistem pelumasan oil lubricated.</t>
  </si>
  <si>
    <t>Panjang Tabung Poros Propeller (Ls) :</t>
  </si>
  <si>
    <t>Panjang stern tube disesuaikan dengan jarak antara stern post dengan sekat</t>
  </si>
  <si>
    <t>belakang kamar mesin dalam hal ini diperoleh berdasarkan jarak gading yaitu</t>
  </si>
  <si>
    <t>600 mm sehingga diperoleh :</t>
  </si>
  <si>
    <t>Ls=</t>
  </si>
  <si>
    <t>4 x jarak gading</t>
  </si>
  <si>
    <t>jarak gading =</t>
  </si>
  <si>
    <t>Perencanaan Bantalan :</t>
  </si>
  <si>
    <t>Berdasarkan dari BKI 1988 vol. III Sec. IV.</t>
  </si>
  <si>
    <t>Bahan bantalan yang digunakan adalah : synthetic rubber</t>
  </si>
  <si>
    <t>Panjang Bantalan Belakang (Lsa) :</t>
  </si>
  <si>
    <t>Lsa =</t>
  </si>
  <si>
    <t>Panjang Bantalan Depan (Lsf) :</t>
  </si>
  <si>
    <t>Lsf =</t>
  </si>
  <si>
    <t>0.8 x Ds</t>
  </si>
  <si>
    <t>Tebal Bantalan (B) :</t>
  </si>
  <si>
    <r>
      <rPr>
        <sz val="9"/>
        <color rgb="FF000000"/>
        <rFont val="Consolas"/>
        <family val="3"/>
        <charset val="1"/>
      </rPr>
      <t>M</t>
    </r>
    <r>
      <rPr>
        <i/>
        <sz val="9"/>
        <color rgb="FF000000"/>
        <rFont val="Consolas"/>
        <family val="3"/>
        <charset val="1"/>
      </rPr>
      <t>enurut BKI III 1988</t>
    </r>
    <r>
      <rPr>
        <sz val="9"/>
        <color rgb="FF000000"/>
        <rFont val="Consolas"/>
        <family val="3"/>
        <charset val="1"/>
      </rPr>
      <t xml:space="preserve"> tebal bantalan efektif adalah sebagai berikut :</t>
    </r>
  </si>
  <si>
    <t>Jarak maximum yang diijinkan antara bantalan / bearing (lmax) :</t>
  </si>
  <si>
    <t>lmax =</t>
  </si>
  <si>
    <t>k1 x (Ds^0.5)</t>
  </si>
  <si>
    <r>
      <rPr>
        <sz val="9"/>
        <color rgb="FF000000"/>
        <rFont val="Consolas"/>
        <family val="3"/>
        <charset val="1"/>
      </rPr>
      <t xml:space="preserve"> Dimana, k</t>
    </r>
    <r>
      <rPr>
        <vertAlign val="subscript"/>
        <sz val="9"/>
        <color rgb="FF000000"/>
        <rFont val="Consolas"/>
        <family val="3"/>
        <charset val="1"/>
      </rPr>
      <t>1 =</t>
    </r>
  </si>
  <si>
    <t>450 (untuk pelumasan dengan oil)</t>
  </si>
  <si>
    <t>Rumah bantalan (Bearing Bushing )</t>
  </si>
  <si>
    <r>
      <rPr>
        <sz val="9"/>
        <color rgb="FF000000"/>
        <rFont val="Consolas"/>
        <family val="3"/>
        <charset val="1"/>
      </rPr>
      <t xml:space="preserve">a. Bahan Bushing Bearing yang digunakan adalah : </t>
    </r>
    <r>
      <rPr>
        <b/>
        <sz val="9"/>
        <color rgb="FF000000"/>
        <rFont val="Consolas"/>
        <family val="3"/>
        <charset val="1"/>
      </rPr>
      <t>manganese bronze</t>
    </r>
  </si>
  <si>
    <t>b. Tebal Bushing Bearing ( tb )</t>
  </si>
  <si>
    <t>0.18 x DS</t>
  </si>
  <si>
    <t>D.</t>
  </si>
  <si>
    <t>Tebal Stern Tube (T) :</t>
  </si>
  <si>
    <t>b =</t>
  </si>
  <si>
    <t>1.6 T</t>
  </si>
  <si>
    <t>Perlengkapan Packing :</t>
  </si>
  <si>
    <t>Dari Marine Engineer’s  Handbook, menghitung besarnya :</t>
  </si>
  <si>
    <t>d1   = diameter tempat packing</t>
  </si>
  <si>
    <t>dB   = diameter baut penekan packing</t>
  </si>
  <si>
    <t>l1   = panjang tempat packing</t>
  </si>
  <si>
    <t>t    = tebal dari rumah packing</t>
  </si>
  <si>
    <t>t1   = tebal flange rumah packing</t>
  </si>
  <si>
    <t xml:space="preserve">t2   = tebal flange permukaan packing </t>
  </si>
  <si>
    <t>Ds=</t>
  </si>
  <si>
    <t>N=</t>
  </si>
  <si>
    <t>Jumlah Baut</t>
  </si>
  <si>
    <r>
      <rPr>
        <b/>
        <sz val="9"/>
        <color rgb="FF000000"/>
        <rFont val="Consolas"/>
        <family val="3"/>
        <charset val="1"/>
      </rPr>
      <t>Diameter baut penekan packing (d</t>
    </r>
    <r>
      <rPr>
        <b/>
        <vertAlign val="subscript"/>
        <sz val="9"/>
        <color rgb="FF000000"/>
        <rFont val="Consolas"/>
        <family val="3"/>
        <charset val="1"/>
      </rPr>
      <t>B</t>
    </r>
    <r>
      <rPr>
        <b/>
        <sz val="9"/>
        <color rgb="FF000000"/>
        <rFont val="Consolas"/>
        <family val="3"/>
        <charset val="1"/>
      </rPr>
      <t>)</t>
    </r>
  </si>
  <si>
    <t>1.6[(0.12 x D) + 12.7] / √N</t>
  </si>
  <si>
    <t>1.6[(0.12 x 370) + 12.7] / √8</t>
  </si>
  <si>
    <t xml:space="preserve">diambil diameter baut penekan packing </t>
  </si>
  <si>
    <t>Diameter Lingkaran Baut :</t>
  </si>
  <si>
    <t>D1=</t>
  </si>
  <si>
    <t>Penekan Packing (t) :</t>
  </si>
  <si>
    <t>ta =</t>
  </si>
  <si>
    <r>
      <rPr>
        <sz val="9"/>
        <color rgb="FF000000"/>
        <rFont val="Consolas"/>
        <family val="3"/>
        <charset val="1"/>
      </rPr>
      <t>(0.1 x D</t>
    </r>
    <r>
      <rPr>
        <vertAlign val="subscript"/>
        <sz val="9"/>
        <color rgb="FF000000"/>
        <rFont val="Consolas"/>
        <family val="3"/>
        <charset val="1"/>
      </rPr>
      <t>s</t>
    </r>
    <r>
      <rPr>
        <sz val="9"/>
        <color rgb="FF000000"/>
        <rFont val="Consolas"/>
        <family val="3"/>
        <charset val="1"/>
      </rPr>
      <t xml:space="preserve"> + 15)</t>
    </r>
  </si>
  <si>
    <t>tb=</t>
  </si>
  <si>
    <r>
      <rPr>
        <sz val="9"/>
        <color rgb="FF000000"/>
        <rFont val="Consolas"/>
        <family val="3"/>
        <charset val="1"/>
      </rPr>
      <t>(0.1 x D</t>
    </r>
    <r>
      <rPr>
        <vertAlign val="subscript"/>
        <sz val="9"/>
        <color rgb="FF000000"/>
        <rFont val="Consolas"/>
        <family val="3"/>
        <charset val="1"/>
      </rPr>
      <t>s</t>
    </r>
    <r>
      <rPr>
        <sz val="9"/>
        <color rgb="FF000000"/>
        <rFont val="Consolas"/>
        <family val="3"/>
        <charset val="1"/>
      </rPr>
      <t xml:space="preserve"> + 3.3)</t>
    </r>
  </si>
  <si>
    <t>Clearance (s) :</t>
  </si>
  <si>
    <t>s=</t>
  </si>
  <si>
    <t>0.04 x Ds + 0.2</t>
  </si>
  <si>
    <t>Tebal Packing (tpac) :</t>
  </si>
  <si>
    <r>
      <rPr>
        <sz val="9"/>
        <color rgb="FF000000"/>
        <rFont val="Consolas"/>
        <family val="3"/>
        <charset val="1"/>
      </rPr>
      <t>Tebal Packing yang disyaratkan adalah 1 ~ 2√D</t>
    </r>
    <r>
      <rPr>
        <vertAlign val="subscript"/>
        <sz val="9"/>
        <color rgb="FF000000"/>
        <rFont val="Consolas"/>
        <family val="3"/>
        <charset val="1"/>
      </rPr>
      <t xml:space="preserve">s </t>
    </r>
    <r>
      <rPr>
        <sz val="9"/>
        <color rgb="FF000000"/>
        <rFont val="Consolas"/>
        <family val="3"/>
        <charset val="1"/>
      </rPr>
      <t>untuk Ds = 357 mm direncanakan tebal rumah packing adalah 20 sampai dengan 40 mm,</t>
    </r>
  </si>
  <si>
    <t xml:space="preserve"> diambil tpac= </t>
  </si>
  <si>
    <t>Panjang Packing (h) :</t>
  </si>
  <si>
    <t>h=</t>
  </si>
  <si>
    <t>3 x tpac</t>
  </si>
  <si>
    <r>
      <rPr>
        <b/>
        <sz val="9"/>
        <color rgb="FF000000"/>
        <rFont val="Consolas"/>
        <family val="3"/>
        <charset val="1"/>
      </rPr>
      <t>Panjang Tempat Packing (l</t>
    </r>
    <r>
      <rPr>
        <b/>
        <vertAlign val="subscript"/>
        <sz val="9"/>
        <color rgb="FF000000"/>
        <rFont val="Consolas"/>
        <family val="3"/>
        <charset val="1"/>
      </rPr>
      <t>1</t>
    </r>
    <r>
      <rPr>
        <b/>
        <sz val="9"/>
        <color rgb="FF000000"/>
        <rFont val="Consolas"/>
        <family val="3"/>
        <charset val="1"/>
      </rPr>
      <t>) :</t>
    </r>
  </si>
  <si>
    <r>
      <rPr>
        <b/>
        <sz val="9"/>
        <color rgb="FF000000"/>
        <rFont val="Consolas"/>
        <family val="3"/>
        <charset val="1"/>
      </rPr>
      <t>l</t>
    </r>
    <r>
      <rPr>
        <b/>
        <vertAlign val="subscript"/>
        <sz val="9"/>
        <color rgb="FF000000"/>
        <rFont val="Consolas"/>
        <family val="3"/>
        <charset val="1"/>
      </rPr>
      <t>1</t>
    </r>
    <r>
      <rPr>
        <b/>
        <sz val="9"/>
        <color rgb="FF000000"/>
        <rFont val="Consolas"/>
        <family val="3"/>
        <charset val="1"/>
      </rPr>
      <t>=</t>
    </r>
  </si>
  <si>
    <t>(0.4 x Ds) + 1</t>
  </si>
  <si>
    <t>F.</t>
  </si>
  <si>
    <t xml:space="preserve"> Stern Post :</t>
  </si>
  <si>
    <t>Berdasarkan BKI vol. III tahun 1988 hal 96.</t>
  </si>
  <si>
    <t>Tinggi buritan berbentuk segi empat untuk panjang kapal L = 109.6 m, maka :</t>
  </si>
  <si>
    <t>Lebar =</t>
  </si>
  <si>
    <t>(1.4 L) + 90</t>
  </si>
  <si>
    <t>Dimana : L =</t>
  </si>
  <si>
    <t>ii.</t>
  </si>
  <si>
    <t>tebal dinding boss dari propeller=</t>
  </si>
  <si>
    <t>0.6 x h</t>
  </si>
  <si>
    <t>Tinggi=</t>
  </si>
  <si>
    <t>(1.6 L) + 15</t>
  </si>
  <si>
    <t>G.</t>
  </si>
  <si>
    <t>Perencanaan Guard :</t>
  </si>
  <si>
    <t>Perencanaan gambar untuk guard adalah sebagai berikut  :</t>
  </si>
  <si>
    <t>i. Panjang Guard = 190 mm</t>
  </si>
  <si>
    <t>ii. Tebal Guard = 20 mm</t>
  </si>
  <si>
    <t>Propeller</t>
  </si>
  <si>
    <t>Tipe</t>
  </si>
  <si>
    <t>Diameter (m)</t>
  </si>
  <si>
    <t>n (rps)</t>
  </si>
  <si>
    <t>P/D</t>
  </si>
  <si>
    <t>Ae/A0</t>
  </si>
  <si>
    <t>Pitch</t>
  </si>
  <si>
    <t>Z</t>
  </si>
  <si>
    <t>Tr</t>
  </si>
  <si>
    <t>Dimension of 3 Bladed Propellers Wageningen B-Series</t>
  </si>
  <si>
    <t>r/R</t>
  </si>
  <si>
    <r>
      <rPr>
        <b/>
        <sz val="9"/>
        <rFont val="Consolas"/>
        <family val="3"/>
        <charset val="1"/>
      </rPr>
      <t>c</t>
    </r>
    <r>
      <rPr>
        <b/>
        <vertAlign val="subscript"/>
        <sz val="9"/>
        <rFont val="Consolas"/>
        <family val="3"/>
        <charset val="1"/>
      </rPr>
      <t>r</t>
    </r>
    <r>
      <rPr>
        <b/>
        <sz val="9"/>
        <rFont val="Consolas"/>
        <family val="3"/>
        <charset val="1"/>
      </rPr>
      <t>Z</t>
    </r>
  </si>
  <si>
    <r>
      <rPr>
        <b/>
        <sz val="9"/>
        <rFont val="Consolas"/>
        <family val="3"/>
        <charset val="1"/>
      </rPr>
      <t>a</t>
    </r>
    <r>
      <rPr>
        <b/>
        <vertAlign val="subscript"/>
        <sz val="9"/>
        <rFont val="Consolas"/>
        <family val="3"/>
        <charset val="1"/>
      </rPr>
      <t>r</t>
    </r>
    <r>
      <rPr>
        <b/>
        <sz val="9"/>
        <rFont val="Consolas"/>
        <family val="3"/>
        <charset val="1"/>
      </rPr>
      <t>/c</t>
    </r>
    <r>
      <rPr>
        <b/>
        <vertAlign val="subscript"/>
        <sz val="9"/>
        <rFont val="Consolas"/>
        <family val="3"/>
        <charset val="1"/>
      </rPr>
      <t>r</t>
    </r>
  </si>
  <si>
    <r>
      <rPr>
        <b/>
        <sz val="9"/>
        <rFont val="Consolas"/>
        <family val="3"/>
        <charset val="1"/>
      </rPr>
      <t>b</t>
    </r>
    <r>
      <rPr>
        <b/>
        <vertAlign val="subscript"/>
        <sz val="9"/>
        <rFont val="Consolas"/>
        <family val="3"/>
        <charset val="1"/>
      </rPr>
      <t>r</t>
    </r>
    <r>
      <rPr>
        <b/>
        <sz val="9"/>
        <rFont val="Consolas"/>
        <family val="3"/>
        <charset val="1"/>
      </rPr>
      <t>/c</t>
    </r>
    <r>
      <rPr>
        <b/>
        <vertAlign val="subscript"/>
        <sz val="9"/>
        <rFont val="Consolas"/>
        <family val="3"/>
        <charset val="1"/>
      </rPr>
      <t>r</t>
    </r>
  </si>
  <si>
    <r>
      <rPr>
        <b/>
        <sz val="9"/>
        <rFont val="Consolas"/>
        <family val="3"/>
        <charset val="1"/>
      </rPr>
      <t>S</t>
    </r>
    <r>
      <rPr>
        <b/>
        <vertAlign val="subscript"/>
        <sz val="9"/>
        <rFont val="Consolas"/>
        <family val="3"/>
        <charset val="1"/>
      </rPr>
      <t>r</t>
    </r>
    <r>
      <rPr>
        <b/>
        <sz val="9"/>
        <rFont val="Consolas"/>
        <family val="3"/>
        <charset val="1"/>
      </rPr>
      <t>/D = A</t>
    </r>
    <r>
      <rPr>
        <b/>
        <vertAlign val="subscript"/>
        <sz val="9"/>
        <rFont val="Consolas"/>
        <family val="3"/>
        <charset val="1"/>
      </rPr>
      <t xml:space="preserve">r </t>
    </r>
    <r>
      <rPr>
        <b/>
        <sz val="9"/>
        <rFont val="Consolas"/>
        <family val="3"/>
        <charset val="1"/>
      </rPr>
      <t>- B</t>
    </r>
    <r>
      <rPr>
        <b/>
        <vertAlign val="subscript"/>
        <sz val="9"/>
        <rFont val="Consolas"/>
        <family val="3"/>
        <charset val="1"/>
      </rPr>
      <t>r</t>
    </r>
    <r>
      <rPr>
        <b/>
        <sz val="9"/>
        <rFont val="Consolas"/>
        <family val="3"/>
        <charset val="1"/>
      </rPr>
      <t>Z</t>
    </r>
  </si>
  <si>
    <r>
      <rPr>
        <b/>
        <sz val="9"/>
        <rFont val="Consolas"/>
        <family val="3"/>
        <charset val="1"/>
      </rPr>
      <t>DA</t>
    </r>
    <r>
      <rPr>
        <b/>
        <vertAlign val="subscript"/>
        <sz val="9"/>
        <rFont val="Consolas"/>
        <family val="3"/>
        <charset val="1"/>
      </rPr>
      <t>E</t>
    </r>
    <r>
      <rPr>
        <b/>
        <sz val="9"/>
        <rFont val="Consolas"/>
        <family val="3"/>
        <charset val="1"/>
      </rPr>
      <t>/A</t>
    </r>
    <r>
      <rPr>
        <b/>
        <vertAlign val="subscript"/>
        <sz val="9"/>
        <rFont val="Consolas"/>
        <family val="3"/>
        <charset val="1"/>
      </rPr>
      <t>o</t>
    </r>
  </si>
  <si>
    <r>
      <rPr>
        <b/>
        <sz val="9"/>
        <rFont val="Consolas"/>
        <family val="3"/>
        <charset val="1"/>
      </rPr>
      <t>A</t>
    </r>
    <r>
      <rPr>
        <b/>
        <vertAlign val="subscript"/>
        <sz val="9"/>
        <rFont val="Consolas"/>
        <family val="3"/>
        <charset val="1"/>
      </rPr>
      <t>r</t>
    </r>
  </si>
  <si>
    <r>
      <rPr>
        <b/>
        <sz val="9"/>
        <rFont val="Consolas"/>
        <family val="3"/>
        <charset val="1"/>
      </rPr>
      <t>B</t>
    </r>
    <r>
      <rPr>
        <b/>
        <vertAlign val="subscript"/>
        <sz val="9"/>
        <rFont val="Consolas"/>
        <family val="3"/>
        <charset val="1"/>
      </rPr>
      <t>r</t>
    </r>
  </si>
  <si>
    <t>Keterangan :</t>
  </si>
  <si>
    <t>R</t>
  </si>
  <si>
    <t>:</t>
  </si>
  <si>
    <t>Radius propeller</t>
  </si>
  <si>
    <t>Rasio jarak tebal blade  (pitch)</t>
  </si>
  <si>
    <t>Jumlah blade</t>
  </si>
  <si>
    <r>
      <rPr>
        <sz val="9"/>
        <rFont val="Consolas"/>
        <family val="3"/>
        <charset val="1"/>
      </rPr>
      <t>C</t>
    </r>
    <r>
      <rPr>
        <vertAlign val="subscript"/>
        <sz val="9"/>
        <rFont val="Consolas"/>
        <family val="3"/>
        <charset val="1"/>
      </rPr>
      <t>r</t>
    </r>
  </si>
  <si>
    <t>Panjang antara trailling edge ke leading edge pada r/R</t>
  </si>
  <si>
    <t>D</t>
  </si>
  <si>
    <r>
      <rPr>
        <sz val="9"/>
        <rFont val="Consolas"/>
        <family val="3"/>
        <charset val="1"/>
      </rPr>
      <t>A</t>
    </r>
    <r>
      <rPr>
        <vertAlign val="subscript"/>
        <sz val="9"/>
        <rFont val="Consolas"/>
        <family val="3"/>
        <charset val="1"/>
      </rPr>
      <t>E</t>
    </r>
    <r>
      <rPr>
        <sz val="9"/>
        <rFont val="Consolas"/>
        <family val="3"/>
        <charset val="1"/>
      </rPr>
      <t>/A</t>
    </r>
    <r>
      <rPr>
        <vertAlign val="subscript"/>
        <sz val="9"/>
        <rFont val="Consolas"/>
        <family val="3"/>
        <charset val="1"/>
      </rPr>
      <t>o</t>
    </r>
  </si>
  <si>
    <t>Perbandingan luasan daun propeller dengan seluruh lingkaran propeller</t>
  </si>
  <si>
    <r>
      <rPr>
        <sz val="9"/>
        <rFont val="Consolas"/>
        <family val="3"/>
        <charset val="1"/>
      </rPr>
      <t>a</t>
    </r>
    <r>
      <rPr>
        <vertAlign val="subscript"/>
        <sz val="9"/>
        <rFont val="Consolas"/>
        <family val="3"/>
        <charset val="1"/>
      </rPr>
      <t>r</t>
    </r>
  </si>
  <si>
    <t>Jarak antara generator line ke leading edge</t>
  </si>
  <si>
    <r>
      <rPr>
        <sz val="9"/>
        <rFont val="Consolas"/>
        <family val="3"/>
        <charset val="1"/>
      </rPr>
      <t>b</t>
    </r>
    <r>
      <rPr>
        <vertAlign val="subscript"/>
        <sz val="9"/>
        <rFont val="Consolas"/>
        <family val="3"/>
        <charset val="1"/>
      </rPr>
      <t>r</t>
    </r>
  </si>
  <si>
    <t>Jarak maksimum tebal ke leading edge</t>
  </si>
  <si>
    <r>
      <rPr>
        <sz val="9"/>
        <rFont val="Consolas"/>
        <family val="3"/>
        <charset val="1"/>
      </rPr>
      <t>S</t>
    </r>
    <r>
      <rPr>
        <vertAlign val="subscript"/>
        <sz val="9"/>
        <rFont val="Consolas"/>
        <family val="3"/>
        <charset val="1"/>
      </rPr>
      <t>r</t>
    </r>
  </si>
  <si>
    <t>Tebal maksimum</t>
  </si>
  <si>
    <t>Perhitungan dengan Metode Wageningen</t>
  </si>
  <si>
    <r>
      <rPr>
        <b/>
        <sz val="9"/>
        <rFont val="Consolas"/>
        <family val="3"/>
        <charset val="1"/>
      </rPr>
      <t>c</t>
    </r>
    <r>
      <rPr>
        <b/>
        <vertAlign val="subscript"/>
        <sz val="9"/>
        <rFont val="Consolas"/>
        <family val="3"/>
        <charset val="1"/>
      </rPr>
      <t>r</t>
    </r>
  </si>
  <si>
    <r>
      <rPr>
        <b/>
        <sz val="9"/>
        <rFont val="Consolas"/>
        <family val="3"/>
        <charset val="1"/>
      </rPr>
      <t>a</t>
    </r>
    <r>
      <rPr>
        <b/>
        <vertAlign val="subscript"/>
        <sz val="9"/>
        <rFont val="Consolas"/>
        <family val="3"/>
        <charset val="1"/>
      </rPr>
      <t>r</t>
    </r>
  </si>
  <si>
    <r>
      <rPr>
        <b/>
        <sz val="9"/>
        <rFont val="Consolas"/>
        <family val="3"/>
        <charset val="1"/>
      </rPr>
      <t>b</t>
    </r>
    <r>
      <rPr>
        <b/>
        <vertAlign val="subscript"/>
        <sz val="9"/>
        <rFont val="Consolas"/>
        <family val="3"/>
        <charset val="1"/>
      </rPr>
      <t>r</t>
    </r>
  </si>
  <si>
    <r>
      <rPr>
        <b/>
        <sz val="9"/>
        <rFont val="Consolas"/>
        <family val="3"/>
        <charset val="1"/>
      </rPr>
      <t>S</t>
    </r>
    <r>
      <rPr>
        <b/>
        <vertAlign val="subscript"/>
        <sz val="9"/>
        <rFont val="Consolas"/>
        <family val="3"/>
        <charset val="1"/>
      </rPr>
      <t>r</t>
    </r>
  </si>
  <si>
    <t>Dr</t>
  </si>
  <si>
    <t>Ar-Br</t>
  </si>
  <si>
    <t>(m)</t>
  </si>
  <si>
    <t>Tabel V1 untuk Y Face Propeller</t>
  </si>
  <si>
    <t>Untuk Perhitungan Propeller Nose Radius mengacu pada rumusan di Buku The Design of Marine Screw Propeller hal. 72.</t>
  </si>
  <si>
    <t>P (m)</t>
  </si>
  <si>
    <t>Setelah mengetahui nilai cr, ar, br, dan Sr yang ada di atas, maka selanjutnya adalah penentuan penampang ketebalan tiap bagian daun propeller menggunakan rumus sebagai berikut ini.</t>
  </si>
  <si>
    <t>(Marine Propellers and Propulsions, hal 104)</t>
  </si>
  <si>
    <t>Perhitungan untuk Ordinat Y Face Propeller</t>
  </si>
  <si>
    <t xml:space="preserve"> Tabel V2 untuk Y Back Propeller.</t>
  </si>
  <si>
    <t>Perhitungan untuk Ordinat Y Back Propeller</t>
  </si>
  <si>
    <t>Distribusi Pitch</t>
  </si>
  <si>
    <t>%Ho/2Π</t>
  </si>
  <si>
    <t>Ordinat</t>
  </si>
  <si>
    <t>Gambar</t>
  </si>
  <si>
    <t>P</t>
  </si>
  <si>
    <t>P/2Π</t>
  </si>
  <si>
    <t>Radius of the nose in % of D for leading edge</t>
  </si>
  <si>
    <t>Ø (%D)</t>
  </si>
  <si>
    <t>Ø (m)</t>
  </si>
  <si>
    <t>R (m)</t>
  </si>
  <si>
    <t>e% =</t>
  </si>
  <si>
    <t>Ddisplacement</t>
  </si>
  <si>
    <t xml:space="preserve">PERHITUNGAN VOLUME RUANG MUAT </t>
  </si>
  <si>
    <t>Berat Bahan Bakar</t>
  </si>
  <si>
    <r>
      <rPr>
        <sz val="12"/>
        <color rgb="FF000000"/>
        <rFont val="Consolas"/>
        <family val="3"/>
        <charset val="1"/>
      </rPr>
      <t>W</t>
    </r>
    <r>
      <rPr>
        <vertAlign val="subscript"/>
        <sz val="12"/>
        <color rgb="FF000000"/>
        <rFont val="Consolas"/>
        <family val="3"/>
        <charset val="1"/>
      </rPr>
      <t>fo</t>
    </r>
    <r>
      <rPr>
        <sz val="12"/>
        <color rgb="FF000000"/>
        <rFont val="Consolas"/>
        <family val="3"/>
        <charset val="1"/>
      </rPr>
      <t xml:space="preserve"> =</t>
    </r>
  </si>
  <si>
    <r>
      <rPr>
        <sz val="12"/>
        <color rgb="FF000000"/>
        <rFont val="Consolas"/>
        <family val="3"/>
        <charset val="1"/>
      </rPr>
      <t>BHP</t>
    </r>
    <r>
      <rPr>
        <vertAlign val="subscript"/>
        <sz val="12"/>
        <color rgb="FF000000"/>
        <rFont val="Consolas"/>
        <family val="3"/>
        <charset val="1"/>
      </rPr>
      <t>mc</t>
    </r>
    <r>
      <rPr>
        <sz val="12"/>
        <color rgb="FF000000"/>
        <rFont val="Consolas"/>
        <family val="3"/>
        <charset val="1"/>
      </rPr>
      <t xml:space="preserve"> x b</t>
    </r>
    <r>
      <rPr>
        <vertAlign val="subscript"/>
        <sz val="12"/>
        <color rgb="FF000000"/>
        <rFont val="Consolas"/>
        <family val="3"/>
        <charset val="1"/>
      </rPr>
      <t>mc</t>
    </r>
    <r>
      <rPr>
        <sz val="12"/>
        <color rgb="FF000000"/>
        <rFont val="Consolas"/>
        <family val="3"/>
        <charset val="1"/>
      </rPr>
      <t xml:space="preserve"> x S/Vs x 10</t>
    </r>
    <r>
      <rPr>
        <vertAlign val="superscript"/>
        <sz val="12"/>
        <color rgb="FF000000"/>
        <rFont val="Consolas"/>
        <family val="3"/>
        <charset val="1"/>
      </rPr>
      <t>-6</t>
    </r>
    <r>
      <rPr>
        <sz val="12"/>
        <color rgb="FF000000"/>
        <rFont val="Consolas"/>
        <family val="3"/>
        <charset val="1"/>
      </rPr>
      <t xml:space="preserve"> x C ( ton )</t>
    </r>
  </si>
  <si>
    <r>
      <rPr>
        <sz val="12"/>
        <color rgb="FF000000"/>
        <rFont val="Consolas"/>
        <family val="3"/>
        <charset val="1"/>
      </rPr>
      <t>BHP</t>
    </r>
    <r>
      <rPr>
        <vertAlign val="subscript"/>
        <sz val="12"/>
        <color rgb="FF000000"/>
        <rFont val="Consolas"/>
        <family val="3"/>
        <charset val="1"/>
      </rPr>
      <t>mc</t>
    </r>
    <r>
      <rPr>
        <sz val="12"/>
        <color rgb="FF000000"/>
        <rFont val="Consolas"/>
        <family val="3"/>
        <charset val="1"/>
      </rPr>
      <t xml:space="preserve"> =</t>
    </r>
  </si>
  <si>
    <t>Bhp mesin induk ( katalog mesin ) kW</t>
  </si>
  <si>
    <r>
      <rPr>
        <sz val="12"/>
        <color rgb="FF000000"/>
        <rFont val="Consolas"/>
        <family val="3"/>
        <charset val="1"/>
      </rPr>
      <t>b</t>
    </r>
    <r>
      <rPr>
        <vertAlign val="subscript"/>
        <sz val="12"/>
        <color rgb="FF000000"/>
        <rFont val="Consolas"/>
        <family val="3"/>
        <charset val="1"/>
      </rPr>
      <t>mc</t>
    </r>
    <r>
      <rPr>
        <sz val="12"/>
        <color rgb="FF000000"/>
        <rFont val="Consolas"/>
        <family val="3"/>
        <charset val="1"/>
      </rPr>
      <t xml:space="preserve"> =</t>
    </r>
  </si>
  <si>
    <t>spesifik konsumsi bahan bakar mesin induk ( g/kWh )</t>
  </si>
  <si>
    <t>g/kWh</t>
  </si>
  <si>
    <t>jarak pelayaran ( mil )</t>
  </si>
  <si>
    <t>miles</t>
  </si>
  <si>
    <t>kecepatan dinas ( knot )</t>
  </si>
  <si>
    <t>C =</t>
  </si>
  <si>
    <t>koreksi cadangan ( 1,3 - 1,5 )</t>
  </si>
  <si>
    <t>Menentukan volume bahan bakar mesin induk</t>
  </si>
  <si>
    <r>
      <rPr>
        <sz val="12"/>
        <color rgb="FF000000"/>
        <rFont val="Consolas"/>
        <family val="3"/>
        <charset val="1"/>
      </rPr>
      <t>V</t>
    </r>
    <r>
      <rPr>
        <vertAlign val="subscript"/>
        <sz val="12"/>
        <color rgb="FF000000"/>
        <rFont val="Consolas"/>
        <family val="3"/>
        <charset val="1"/>
      </rPr>
      <t>fo</t>
    </r>
    <r>
      <rPr>
        <sz val="12"/>
        <color rgb="FF000000"/>
        <rFont val="Consolas"/>
        <family val="3"/>
        <charset val="1"/>
      </rPr>
      <t xml:space="preserve"> =</t>
    </r>
  </si>
  <si>
    <r>
      <rPr>
        <sz val="12"/>
        <color rgb="FF000000"/>
        <rFont val="Consolas"/>
        <family val="3"/>
        <charset val="1"/>
      </rPr>
      <t>W</t>
    </r>
    <r>
      <rPr>
        <vertAlign val="subscript"/>
        <sz val="12"/>
        <color rgb="FF000000"/>
        <rFont val="Consolas"/>
        <family val="3"/>
        <charset val="1"/>
      </rPr>
      <t>fo</t>
    </r>
    <r>
      <rPr>
        <sz val="12"/>
        <color rgb="FF000000"/>
        <rFont val="Consolas"/>
        <family val="3"/>
        <charset val="1"/>
      </rPr>
      <t>/ρ ( m</t>
    </r>
    <r>
      <rPr>
        <vertAlign val="superscript"/>
        <sz val="12"/>
        <color rgb="FF000000"/>
        <rFont val="Consolas"/>
        <family val="3"/>
        <charset val="1"/>
      </rPr>
      <t>3</t>
    </r>
    <r>
      <rPr>
        <sz val="12"/>
        <color rgb="FF000000"/>
        <rFont val="Consolas"/>
        <family val="3"/>
        <charset val="1"/>
      </rPr>
      <t xml:space="preserve"> )</t>
    </r>
  </si>
  <si>
    <r>
      <rPr>
        <sz val="12"/>
        <color rgb="FF000000"/>
        <rFont val="Consolas"/>
        <family val="3"/>
        <charset val="1"/>
      </rPr>
      <t>ton/m</t>
    </r>
    <r>
      <rPr>
        <vertAlign val="superscript"/>
        <sz val="12"/>
        <color rgb="FF000000"/>
        <rFont val="Consolas"/>
        <family val="3"/>
        <charset val="1"/>
      </rPr>
      <t>3</t>
    </r>
  </si>
  <si>
    <r>
      <rPr>
        <sz val="12"/>
        <color rgb="FF000000"/>
        <rFont val="Consolas"/>
        <family val="3"/>
        <charset val="1"/>
      </rPr>
      <t>m</t>
    </r>
    <r>
      <rPr>
        <vertAlign val="superscript"/>
        <sz val="12"/>
        <color rgb="FF000000"/>
        <rFont val="Consolas"/>
        <family val="3"/>
        <charset val="1"/>
      </rPr>
      <t>3</t>
    </r>
  </si>
  <si>
    <t>Volume bahan bakar mesin induk terdapat penambahan karena:</t>
  </si>
  <si>
    <t>&gt; Double bottom ( 2% )</t>
  </si>
  <si>
    <r>
      <rPr>
        <sz val="12"/>
        <color rgb="FF000000"/>
        <rFont val="Consolas"/>
        <family val="3"/>
        <charset val="1"/>
      </rPr>
      <t>V</t>
    </r>
    <r>
      <rPr>
        <vertAlign val="subscript"/>
        <sz val="12"/>
        <color rgb="FF000000"/>
        <rFont val="Consolas"/>
        <family val="3"/>
        <charset val="1"/>
      </rPr>
      <t>fo</t>
    </r>
    <r>
      <rPr>
        <sz val="12"/>
        <color rgb="FF000000"/>
        <rFont val="Consolas"/>
        <family val="3"/>
        <charset val="1"/>
      </rPr>
      <t xml:space="preserve"> x 2% =</t>
    </r>
  </si>
  <si>
    <t>&gt; Ekspansi karena panas ( 2% )</t>
  </si>
  <si>
    <t>Total volume bahan bakar setelah penambahan</t>
  </si>
  <si>
    <r>
      <rPr>
        <sz val="12"/>
        <color rgb="FF000000"/>
        <rFont val="Consolas"/>
        <family val="3"/>
        <charset val="1"/>
      </rPr>
      <t>V</t>
    </r>
    <r>
      <rPr>
        <vertAlign val="subscript"/>
        <sz val="12"/>
        <color rgb="FF000000"/>
        <rFont val="Consolas"/>
        <family val="3"/>
        <charset val="1"/>
      </rPr>
      <t>fo total</t>
    </r>
    <r>
      <rPr>
        <sz val="12"/>
        <color rgb="FF000000"/>
        <rFont val="Consolas"/>
        <family val="3"/>
        <charset val="1"/>
      </rPr>
      <t xml:space="preserve"> =</t>
    </r>
  </si>
  <si>
    <t>Berat Bahan Bakar Mesin Bantu</t>
  </si>
  <si>
    <r>
      <rPr>
        <sz val="12"/>
        <color rgb="FF000000"/>
        <rFont val="Consolas"/>
        <family val="3"/>
        <charset val="1"/>
      </rPr>
      <t>W</t>
    </r>
    <r>
      <rPr>
        <vertAlign val="subscript"/>
        <sz val="12"/>
        <color rgb="FF000000"/>
        <rFont val="Consolas"/>
        <family val="3"/>
        <charset val="1"/>
      </rPr>
      <t>fb</t>
    </r>
    <r>
      <rPr>
        <sz val="12"/>
        <color rgb="FF000000"/>
        <rFont val="Consolas"/>
        <family val="3"/>
        <charset val="1"/>
      </rPr>
      <t xml:space="preserve"> =</t>
    </r>
  </si>
  <si>
    <r>
      <rPr>
        <sz val="12"/>
        <color rgb="FF000000"/>
        <rFont val="Consolas"/>
        <family val="3"/>
        <charset val="1"/>
      </rPr>
      <t>( 0,1 -  0,2 ) W</t>
    </r>
    <r>
      <rPr>
        <vertAlign val="subscript"/>
        <sz val="12"/>
        <color rgb="FF000000"/>
        <rFont val="Consolas"/>
        <family val="3"/>
        <charset val="1"/>
      </rPr>
      <t>fo</t>
    </r>
  </si>
  <si>
    <t>Menentukan bahan bakar mesin bantu</t>
  </si>
  <si>
    <r>
      <rPr>
        <sz val="12"/>
        <color rgb="FF000000"/>
        <rFont val="Consolas"/>
        <family val="3"/>
        <charset val="1"/>
      </rPr>
      <t>V</t>
    </r>
    <r>
      <rPr>
        <vertAlign val="subscript"/>
        <sz val="12"/>
        <color rgb="FF000000"/>
        <rFont val="Consolas"/>
        <family val="3"/>
        <charset val="1"/>
      </rPr>
      <t>fb</t>
    </r>
    <r>
      <rPr>
        <sz val="12"/>
        <color rgb="FF000000"/>
        <rFont val="Consolas"/>
        <family val="3"/>
        <charset val="1"/>
      </rPr>
      <t xml:space="preserve"> =</t>
    </r>
  </si>
  <si>
    <r>
      <rPr>
        <sz val="12"/>
        <color rgb="FF000000"/>
        <rFont val="Consolas"/>
        <family val="3"/>
        <charset val="1"/>
      </rPr>
      <t>W</t>
    </r>
    <r>
      <rPr>
        <vertAlign val="subscript"/>
        <sz val="12"/>
        <color rgb="FF000000"/>
        <rFont val="Consolas"/>
        <family val="3"/>
        <charset val="1"/>
      </rPr>
      <t>fb</t>
    </r>
    <r>
      <rPr>
        <sz val="12"/>
        <color rgb="FF000000"/>
        <rFont val="Consolas"/>
        <family val="3"/>
        <charset val="1"/>
      </rPr>
      <t xml:space="preserve"> / ρ diesel ( m</t>
    </r>
    <r>
      <rPr>
        <vertAlign val="superscript"/>
        <sz val="12"/>
        <color rgb="FF000000"/>
        <rFont val="Consolas"/>
        <family val="3"/>
        <charset val="1"/>
      </rPr>
      <t>3</t>
    </r>
    <r>
      <rPr>
        <sz val="12"/>
        <color rgb="FF000000"/>
        <rFont val="Consolas"/>
        <family val="3"/>
        <charset val="1"/>
      </rPr>
      <t xml:space="preserve"> ) </t>
    </r>
  </si>
  <si>
    <r>
      <rPr>
        <sz val="12"/>
        <color rgb="FF000000"/>
        <rFont val="Consolas"/>
        <family val="3"/>
        <charset val="1"/>
      </rPr>
      <t>Volume bahan bahan bakar mesin bantu ada penambahan sebesar 4% V</t>
    </r>
    <r>
      <rPr>
        <vertAlign val="subscript"/>
        <sz val="12"/>
        <color rgb="FF000000"/>
        <rFont val="Consolas"/>
        <family val="3"/>
        <charset val="1"/>
      </rPr>
      <t>fb</t>
    </r>
    <r>
      <rPr>
        <sz val="12"/>
        <color rgb="FF000000"/>
        <rFont val="Consolas"/>
        <family val="3"/>
        <charset val="1"/>
      </rPr>
      <t>.</t>
    </r>
  </si>
  <si>
    <r>
      <rPr>
        <sz val="12"/>
        <color rgb="FF000000"/>
        <rFont val="Consolas"/>
        <family val="3"/>
        <charset val="1"/>
      </rPr>
      <t>V</t>
    </r>
    <r>
      <rPr>
        <vertAlign val="subscript"/>
        <sz val="12"/>
        <color rgb="FF000000"/>
        <rFont val="Consolas"/>
        <family val="3"/>
        <charset val="1"/>
      </rPr>
      <t>fb</t>
    </r>
    <r>
      <rPr>
        <sz val="12"/>
        <color rgb="FF000000"/>
        <rFont val="Consolas"/>
        <family val="3"/>
        <charset val="1"/>
      </rPr>
      <t xml:space="preserve"> x 4% =</t>
    </r>
  </si>
  <si>
    <t>Total volume bahan bakar mesin bantu setelah penambahan</t>
  </si>
  <si>
    <r>
      <rPr>
        <sz val="12"/>
        <color rgb="FF000000"/>
        <rFont val="Consolas"/>
        <family val="3"/>
        <charset val="1"/>
      </rPr>
      <t>V</t>
    </r>
    <r>
      <rPr>
        <vertAlign val="subscript"/>
        <sz val="12"/>
        <color rgb="FF000000"/>
        <rFont val="Consolas"/>
        <family val="3"/>
        <charset val="1"/>
      </rPr>
      <t>fb total</t>
    </r>
    <r>
      <rPr>
        <sz val="12"/>
        <color rgb="FF000000"/>
        <rFont val="Consolas"/>
        <family val="3"/>
        <charset val="1"/>
      </rPr>
      <t xml:space="preserve"> =</t>
    </r>
  </si>
  <si>
    <t>Berat Minyak Pelumas</t>
  </si>
  <si>
    <r>
      <rPr>
        <sz val="12"/>
        <color rgb="FF000000"/>
        <rFont val="Consolas"/>
        <family val="3"/>
        <charset val="1"/>
      </rPr>
      <t>W</t>
    </r>
    <r>
      <rPr>
        <vertAlign val="subscript"/>
        <sz val="12"/>
        <color rgb="FF000000"/>
        <rFont val="Consolas"/>
        <family val="3"/>
        <charset val="1"/>
      </rPr>
      <t>lo</t>
    </r>
    <r>
      <rPr>
        <sz val="12"/>
        <color rgb="FF000000"/>
        <rFont val="Consolas"/>
        <family val="3"/>
        <charset val="1"/>
      </rPr>
      <t xml:space="preserve"> =</t>
    </r>
  </si>
  <si>
    <r>
      <rPr>
        <sz val="12"/>
        <color rgb="FF000000"/>
        <rFont val="Consolas"/>
        <family val="3"/>
        <charset val="1"/>
      </rPr>
      <t>BHP</t>
    </r>
    <r>
      <rPr>
        <vertAlign val="subscript"/>
        <sz val="12"/>
        <color rgb="FF000000"/>
        <rFont val="Consolas"/>
        <family val="3"/>
        <charset val="1"/>
      </rPr>
      <t>mc</t>
    </r>
    <r>
      <rPr>
        <sz val="12"/>
        <color rgb="FF000000"/>
        <rFont val="Consolas"/>
        <family val="3"/>
        <charset val="1"/>
      </rPr>
      <t xml:space="preserve"> x b</t>
    </r>
    <r>
      <rPr>
        <vertAlign val="subscript"/>
        <sz val="12"/>
        <color rgb="FF000000"/>
        <rFont val="Consolas"/>
        <family val="3"/>
        <charset val="1"/>
      </rPr>
      <t>lo</t>
    </r>
    <r>
      <rPr>
        <sz val="12"/>
        <color rgb="FF000000"/>
        <rFont val="Consolas"/>
        <family val="3"/>
        <charset val="1"/>
      </rPr>
      <t xml:space="preserve"> x S/Vs x 10</t>
    </r>
    <r>
      <rPr>
        <vertAlign val="superscript"/>
        <sz val="12"/>
        <color rgb="FF000000"/>
        <rFont val="Consolas"/>
        <family val="3"/>
        <charset val="1"/>
      </rPr>
      <t>-6</t>
    </r>
    <r>
      <rPr>
        <sz val="12"/>
        <color rgb="FF000000"/>
        <rFont val="Consolas"/>
        <family val="3"/>
        <charset val="1"/>
      </rPr>
      <t xml:space="preserve"> x C ( ton )</t>
    </r>
  </si>
  <si>
    <r>
      <rPr>
        <sz val="12"/>
        <color rgb="FF000000"/>
        <rFont val="Consolas"/>
        <family val="3"/>
        <charset val="1"/>
      </rPr>
      <t>b</t>
    </r>
    <r>
      <rPr>
        <vertAlign val="subscript"/>
        <sz val="12"/>
        <color rgb="FF000000"/>
        <rFont val="Consolas"/>
        <family val="3"/>
        <charset val="1"/>
      </rPr>
      <t>lo</t>
    </r>
    <r>
      <rPr>
        <sz val="12"/>
        <color rgb="FF000000"/>
        <rFont val="Consolas"/>
        <family val="3"/>
        <charset val="1"/>
      </rPr>
      <t xml:space="preserve"> =</t>
    </r>
  </si>
  <si>
    <t>spesifik konsumsi minyak pelumas ( 1,2 - 1,6 ) ( kW/h )</t>
  </si>
  <si>
    <t>Menentukan volume minyak pelumas</t>
  </si>
  <si>
    <r>
      <rPr>
        <sz val="12"/>
        <color rgb="FF000000"/>
        <rFont val="Consolas"/>
        <family val="3"/>
        <charset val="1"/>
      </rPr>
      <t>V</t>
    </r>
    <r>
      <rPr>
        <vertAlign val="subscript"/>
        <sz val="12"/>
        <color rgb="FF000000"/>
        <rFont val="Consolas"/>
        <family val="3"/>
        <charset val="1"/>
      </rPr>
      <t>lo</t>
    </r>
    <r>
      <rPr>
        <sz val="12"/>
        <color rgb="FF000000"/>
        <rFont val="Consolas"/>
        <family val="3"/>
        <charset val="1"/>
      </rPr>
      <t xml:space="preserve"> =</t>
    </r>
  </si>
  <si>
    <r>
      <rPr>
        <sz val="12"/>
        <color rgb="FF000000"/>
        <rFont val="Consolas"/>
        <family val="3"/>
        <charset val="1"/>
      </rPr>
      <t>W</t>
    </r>
    <r>
      <rPr>
        <vertAlign val="subscript"/>
        <sz val="12"/>
        <color rgb="FF000000"/>
        <rFont val="Consolas"/>
        <family val="3"/>
        <charset val="1"/>
      </rPr>
      <t>lo</t>
    </r>
    <r>
      <rPr>
        <sz val="12"/>
        <color rgb="FF000000"/>
        <rFont val="Consolas"/>
        <family val="3"/>
        <charset val="1"/>
      </rPr>
      <t>/ρ ( m</t>
    </r>
    <r>
      <rPr>
        <vertAlign val="superscript"/>
        <sz val="12"/>
        <color rgb="FF000000"/>
        <rFont val="Consolas"/>
        <family val="3"/>
        <charset val="1"/>
      </rPr>
      <t>3</t>
    </r>
    <r>
      <rPr>
        <sz val="12"/>
        <color rgb="FF000000"/>
        <rFont val="Consolas"/>
        <family val="3"/>
        <charset val="1"/>
      </rPr>
      <t xml:space="preserve"> )</t>
    </r>
  </si>
  <si>
    <r>
      <rPr>
        <sz val="12"/>
        <color rgb="FF000000"/>
        <rFont val="Consolas"/>
        <family val="3"/>
        <charset val="1"/>
      </rPr>
      <t>Volume minyak pelumas ada penambahan sebesar 4% V</t>
    </r>
    <r>
      <rPr>
        <vertAlign val="subscript"/>
        <sz val="12"/>
        <color rgb="FF000000"/>
        <rFont val="Consolas"/>
        <family val="3"/>
        <charset val="1"/>
      </rPr>
      <t>lo</t>
    </r>
    <r>
      <rPr>
        <sz val="12"/>
        <color rgb="FF000000"/>
        <rFont val="Consolas"/>
        <family val="3"/>
        <charset val="1"/>
      </rPr>
      <t>.</t>
    </r>
  </si>
  <si>
    <r>
      <rPr>
        <sz val="12"/>
        <color rgb="FF000000"/>
        <rFont val="Consolas"/>
        <family val="3"/>
        <charset val="1"/>
      </rPr>
      <t>V</t>
    </r>
    <r>
      <rPr>
        <vertAlign val="subscript"/>
        <sz val="12"/>
        <color rgb="FF000000"/>
        <rFont val="Consolas"/>
        <family val="3"/>
        <charset val="1"/>
      </rPr>
      <t>lo</t>
    </r>
    <r>
      <rPr>
        <sz val="12"/>
        <color rgb="FF000000"/>
        <rFont val="Consolas"/>
        <family val="3"/>
        <charset val="1"/>
      </rPr>
      <t xml:space="preserve"> x 4% =</t>
    </r>
  </si>
  <si>
    <t>Total volume minyak pelumas setelah penambahan</t>
  </si>
  <si>
    <r>
      <rPr>
        <sz val="12"/>
        <color rgb="FF000000"/>
        <rFont val="Consolas"/>
        <family val="3"/>
        <charset val="1"/>
      </rPr>
      <t>V</t>
    </r>
    <r>
      <rPr>
        <vertAlign val="subscript"/>
        <sz val="12"/>
        <color rgb="FF000000"/>
        <rFont val="Consolas"/>
        <family val="3"/>
        <charset val="1"/>
      </rPr>
      <t>lo total</t>
    </r>
    <r>
      <rPr>
        <sz val="12"/>
        <color rgb="FF000000"/>
        <rFont val="Consolas"/>
        <family val="3"/>
        <charset val="1"/>
      </rPr>
      <t xml:space="preserve"> =</t>
    </r>
  </si>
  <si>
    <r>
      <rPr>
        <b/>
        <sz val="12"/>
        <color rgb="FF000000"/>
        <rFont val="Consolas"/>
        <family val="3"/>
        <charset val="1"/>
      </rPr>
      <t>Berat Air Tawar W</t>
    </r>
    <r>
      <rPr>
        <b/>
        <vertAlign val="subscript"/>
        <sz val="12"/>
        <color rgb="FF000000"/>
        <rFont val="Consolas"/>
        <family val="3"/>
        <charset val="1"/>
      </rPr>
      <t>fw</t>
    </r>
  </si>
  <si>
    <t>&gt; Untuk diminum                  =</t>
  </si>
  <si>
    <t>( 10 - 20 ) kg / orang hari</t>
  </si>
  <si>
    <t>[ ( 10 - 20 ) x Jml ABK x S ] / ( 24 x Vs )</t>
  </si>
  <si>
    <t>&gt; Untuk cuci                           =</t>
  </si>
  <si>
    <t>( 80 - 200 ) kg / orang hari</t>
  </si>
  <si>
    <t>[ ( 80 - 200 ) x Jml ABK x S ] / ( 24 x Vs )</t>
  </si>
  <si>
    <t>&gt; Untuk Pendingin Mesin    =</t>
  </si>
  <si>
    <t>( 2 - 5 ) kg / BHP</t>
  </si>
  <si>
    <t>Berat Total Air Tawar =</t>
  </si>
  <si>
    <t>Menentukan volume air bersih</t>
  </si>
  <si>
    <r>
      <rPr>
        <sz val="12"/>
        <color rgb="FF000000"/>
        <rFont val="Consolas"/>
        <family val="3"/>
        <charset val="1"/>
      </rPr>
      <t>V</t>
    </r>
    <r>
      <rPr>
        <vertAlign val="subscript"/>
        <sz val="12"/>
        <color rgb="FF000000"/>
        <rFont val="Consolas"/>
        <family val="3"/>
        <charset val="1"/>
      </rPr>
      <t>fw</t>
    </r>
    <r>
      <rPr>
        <sz val="12"/>
        <color rgb="FF000000"/>
        <rFont val="Consolas"/>
        <family val="3"/>
        <charset val="1"/>
      </rPr>
      <t xml:space="preserve"> =</t>
    </r>
  </si>
  <si>
    <r>
      <rPr>
        <b/>
        <sz val="12"/>
        <color rgb="FF000000"/>
        <rFont val="Consolas"/>
        <family val="3"/>
        <charset val="1"/>
      </rPr>
      <t>Berat Bahan Makanan W</t>
    </r>
    <r>
      <rPr>
        <b/>
        <vertAlign val="subscript"/>
        <sz val="12"/>
        <color rgb="FF000000"/>
        <rFont val="Consolas"/>
        <family val="3"/>
        <charset val="1"/>
      </rPr>
      <t>p</t>
    </r>
  </si>
  <si>
    <r>
      <rPr>
        <sz val="12"/>
        <color rgb="FF000000"/>
        <rFont val="Consolas"/>
        <family val="3"/>
        <charset val="1"/>
      </rPr>
      <t>W</t>
    </r>
    <r>
      <rPr>
        <vertAlign val="subscript"/>
        <sz val="12"/>
        <color rgb="FF000000"/>
        <rFont val="Consolas"/>
        <family val="3"/>
        <charset val="1"/>
      </rPr>
      <t>p</t>
    </r>
    <r>
      <rPr>
        <sz val="12"/>
        <color rgb="FF000000"/>
        <rFont val="Consolas"/>
        <family val="3"/>
        <charset val="1"/>
      </rPr>
      <t xml:space="preserve"> =</t>
    </r>
  </si>
  <si>
    <t>5 kg / orang hari</t>
  </si>
  <si>
    <t>( 5 x Jml ABK x S ) / ( 24 / Vs )</t>
  </si>
  <si>
    <r>
      <rPr>
        <b/>
        <sz val="12"/>
        <color rgb="FF000000"/>
        <rFont val="Consolas"/>
        <family val="3"/>
        <charset val="1"/>
      </rPr>
      <t>Berat Crew Dan  Barang Bawaan W</t>
    </r>
    <r>
      <rPr>
        <b/>
        <vertAlign val="subscript"/>
        <sz val="12"/>
        <color rgb="FF000000"/>
        <rFont val="Consolas"/>
        <family val="3"/>
        <charset val="1"/>
      </rPr>
      <t>cp</t>
    </r>
  </si>
  <si>
    <t>&gt; Untuk crew                         =</t>
  </si>
  <si>
    <t>75 kg / orang hari</t>
  </si>
  <si>
    <t>( 75 x Jml ABK x S ) / ( 24 x Vs )</t>
  </si>
  <si>
    <t>&gt; Untuk barang                    =</t>
  </si>
  <si>
    <t>25 kg / orang hari</t>
  </si>
  <si>
    <t>( 25 x Jml ABK x S ) / ( 24 x Vs )</t>
  </si>
  <si>
    <r>
      <rPr>
        <sz val="12"/>
        <rFont val="Consolas"/>
        <family val="3"/>
        <charset val="1"/>
      </rPr>
      <t>W</t>
    </r>
    <r>
      <rPr>
        <vertAlign val="subscript"/>
        <sz val="12"/>
        <rFont val="Consolas"/>
        <family val="3"/>
        <charset val="1"/>
      </rPr>
      <t>cp</t>
    </r>
    <r>
      <rPr>
        <sz val="12"/>
        <rFont val="Consolas"/>
        <family val="3"/>
        <charset val="1"/>
      </rPr>
      <t xml:space="preserve"> =</t>
    </r>
  </si>
  <si>
    <t>Berat crew + Berat barang</t>
  </si>
  <si>
    <t>Berat Cadangan</t>
  </si>
  <si>
    <t>Terdiri dari peralatan di gudang :</t>
  </si>
  <si>
    <t>&gt; Cat</t>
  </si>
  <si>
    <t>&gt; Peralatan reparasi kecil yang dapat diatasi oleh ABK</t>
  </si>
  <si>
    <t>&gt; Peralatan lain yang diperlukan pelayaran</t>
  </si>
  <si>
    <r>
      <rPr>
        <sz val="12"/>
        <color rgb="FF000000"/>
        <rFont val="Consolas"/>
        <family val="3"/>
        <charset val="1"/>
      </rPr>
      <t>W</t>
    </r>
    <r>
      <rPr>
        <vertAlign val="subscript"/>
        <sz val="12"/>
        <color rgb="FF000000"/>
        <rFont val="Consolas"/>
        <family val="3"/>
        <charset val="1"/>
      </rPr>
      <t>r</t>
    </r>
    <r>
      <rPr>
        <sz val="12"/>
        <color rgb="FF000000"/>
        <rFont val="Consolas"/>
        <family val="3"/>
        <charset val="1"/>
      </rPr>
      <t xml:space="preserve"> =</t>
    </r>
  </si>
  <si>
    <t>( 0,5 - 1,5 ) % x Displ ( ton )</t>
  </si>
  <si>
    <t xml:space="preserve">Berat Muatan Bersih </t>
  </si>
  <si>
    <r>
      <rPr>
        <sz val="12"/>
        <rFont val="Consolas"/>
        <family val="3"/>
        <charset val="1"/>
      </rPr>
      <t>W</t>
    </r>
    <r>
      <rPr>
        <vertAlign val="subscript"/>
        <sz val="12"/>
        <rFont val="Consolas"/>
        <family val="3"/>
        <charset val="1"/>
      </rPr>
      <t>pc</t>
    </r>
    <r>
      <rPr>
        <sz val="12"/>
        <rFont val="Consolas"/>
        <family val="3"/>
        <charset val="1"/>
      </rPr>
      <t xml:space="preserve"> =</t>
    </r>
  </si>
  <si>
    <r>
      <rPr>
        <sz val="12"/>
        <color rgb="FF000000"/>
        <rFont val="Consolas"/>
        <family val="3"/>
        <charset val="1"/>
      </rPr>
      <t>V</t>
    </r>
    <r>
      <rPr>
        <vertAlign val="subscript"/>
        <sz val="12"/>
        <color rgb="FF000000"/>
        <rFont val="Consolas"/>
        <family val="3"/>
        <charset val="1"/>
      </rPr>
      <t>rm</t>
    </r>
    <r>
      <rPr>
        <sz val="12"/>
        <color rgb="FF000000"/>
        <rFont val="Consolas"/>
        <family val="3"/>
        <charset val="1"/>
      </rPr>
      <t xml:space="preserve"> / S</t>
    </r>
    <r>
      <rPr>
        <vertAlign val="subscript"/>
        <sz val="12"/>
        <color rgb="FF000000"/>
        <rFont val="Consolas"/>
        <family val="3"/>
        <charset val="1"/>
      </rPr>
      <t>f</t>
    </r>
    <r>
      <rPr>
        <sz val="12"/>
        <color rgb="FF000000"/>
        <rFont val="Consolas"/>
        <family val="3"/>
        <charset val="1"/>
      </rPr>
      <t xml:space="preserve"> ( ton )</t>
    </r>
  </si>
  <si>
    <r>
      <rPr>
        <sz val="12"/>
        <color rgb="FF000000"/>
        <rFont val="Consolas"/>
        <family val="3"/>
        <charset val="1"/>
      </rPr>
      <t>V</t>
    </r>
    <r>
      <rPr>
        <vertAlign val="subscript"/>
        <sz val="12"/>
        <color rgb="FF000000"/>
        <rFont val="Consolas"/>
        <family val="3"/>
        <charset val="1"/>
      </rPr>
      <t>rm</t>
    </r>
    <r>
      <rPr>
        <sz val="12"/>
        <color rgb="FF000000"/>
        <rFont val="Consolas"/>
        <family val="3"/>
        <charset val="1"/>
      </rPr>
      <t xml:space="preserve"> =</t>
    </r>
  </si>
  <si>
    <r>
      <rPr>
        <sz val="12"/>
        <color rgb="FF000000"/>
        <rFont val="Consolas"/>
        <family val="3"/>
        <charset val="1"/>
      </rPr>
      <t>Volume ruang muat ( m</t>
    </r>
    <r>
      <rPr>
        <vertAlign val="subscript"/>
        <sz val="12"/>
        <color rgb="FF000000"/>
        <rFont val="Consolas"/>
        <family val="3"/>
        <charset val="1"/>
      </rPr>
      <t>3</t>
    </r>
    <r>
      <rPr>
        <sz val="12"/>
        <color rgb="FF000000"/>
        <rFont val="Consolas"/>
        <family val="3"/>
        <charset val="1"/>
      </rPr>
      <t xml:space="preserve"> )</t>
    </r>
  </si>
  <si>
    <t>Ddisplacement - LWT</t>
  </si>
  <si>
    <t>Berat Total</t>
  </si>
  <si>
    <t>Wfo + Wdo + Wlo + Wfw + Wp + Wcp + Wr</t>
  </si>
  <si>
    <t>Ddisp - DWT</t>
  </si>
  <si>
    <t>DWT - Berat Total</t>
  </si>
  <si>
    <t>profile</t>
  </si>
  <si>
    <t>HFO Tank</t>
  </si>
  <si>
    <t>No. Frame</t>
  </si>
  <si>
    <t>Faktor simpson</t>
  </si>
  <si>
    <t>A</t>
  </si>
  <si>
    <t>FS * A</t>
  </si>
  <si>
    <t>sum =</t>
  </si>
  <si>
    <t>First frame</t>
  </si>
  <si>
    <t>end frame</t>
  </si>
  <si>
    <t>Total fame</t>
  </si>
  <si>
    <t>jarak antar frame</t>
  </si>
  <si>
    <t>V</t>
  </si>
  <si>
    <t>1/3 * h * (Fs*A)</t>
  </si>
  <si>
    <t>m^3</t>
  </si>
  <si>
    <t>half-breadth</t>
  </si>
  <si>
    <t>High end</t>
  </si>
  <si>
    <t>high first</t>
  </si>
  <si>
    <t>delta high</t>
  </si>
  <si>
    <t>dH / 4</t>
  </si>
  <si>
    <t>Prediksi panjang</t>
  </si>
  <si>
    <t>V/(t*l)</t>
  </si>
  <si>
    <t>WL</t>
  </si>
  <si>
    <t>V (P)</t>
  </si>
  <si>
    <t>V (P&amp;S)</t>
  </si>
  <si>
    <t>Ballast 1 (P)</t>
  </si>
  <si>
    <t>dH / 2</t>
  </si>
  <si>
    <t>V/(H*B)</t>
  </si>
  <si>
    <t>jarak antar WL</t>
  </si>
  <si>
    <t>Ballast 2 (P)</t>
  </si>
  <si>
    <t>Ballast 3 (P)</t>
  </si>
  <si>
    <t>Ballast 4 (P)</t>
  </si>
  <si>
    <t>Ballast 5 (P)</t>
  </si>
  <si>
    <t>Ballast wing tank (P)</t>
  </si>
  <si>
    <t>Total Volume Ballast</t>
  </si>
  <si>
    <t>MDO (P)</t>
  </si>
  <si>
    <t>Lub O TK</t>
  </si>
  <si>
    <t>Fresh Water Tank</t>
  </si>
  <si>
    <t>Panjang</t>
  </si>
  <si>
    <t>Cargo tank 5</t>
  </si>
  <si>
    <t>dH / 3</t>
  </si>
  <si>
    <t>Cargo tank 4</t>
  </si>
  <si>
    <t>Cargo tank 3</t>
  </si>
  <si>
    <t>202 5617</t>
  </si>
  <si>
    <t>Cargo tank 2</t>
  </si>
  <si>
    <t>Cargo tank 1</t>
  </si>
  <si>
    <t>Volume total ruang kargo</t>
  </si>
  <si>
    <t>PERHITUNGAN BALLAST</t>
  </si>
  <si>
    <t>Nama</t>
  </si>
  <si>
    <t>No. Doc</t>
  </si>
  <si>
    <t>: 0</t>
  </si>
  <si>
    <t>No. Rev</t>
  </si>
  <si>
    <t>: 01</t>
  </si>
  <si>
    <t>Halaman</t>
  </si>
  <si>
    <t>l1</t>
  </si>
  <si>
    <t>l</t>
  </si>
  <si>
    <t>Perhitungan Kapasitas Ballast System</t>
  </si>
  <si>
    <t>Volume Displacement</t>
  </si>
  <si>
    <t>RL 2007 Rules and Regulation, Part 3          Definition</t>
  </si>
  <si>
    <t>∇ =</t>
  </si>
  <si>
    <t>L x B X T x Cb</t>
  </si>
  <si>
    <t>Lebar</t>
  </si>
  <si>
    <t>Sarat</t>
  </si>
  <si>
    <t>Koefisien blok</t>
  </si>
  <si>
    <r>
      <rPr>
        <sz val="11"/>
        <rFont val="Calibri"/>
        <family val="2"/>
        <charset val="1"/>
      </rPr>
      <t>m</t>
    </r>
    <r>
      <rPr>
        <vertAlign val="superscript"/>
        <sz val="11"/>
        <rFont val="Calibri"/>
        <family val="2"/>
        <charset val="1"/>
      </rPr>
      <t>3</t>
    </r>
  </si>
  <si>
    <t>Ship Displacement</t>
  </si>
  <si>
    <t xml:space="preserve"> ∆ =</t>
  </si>
  <si>
    <t>∇ x ρ</t>
  </si>
  <si>
    <r>
      <rPr>
        <sz val="11"/>
        <rFont val="Calibri"/>
        <family val="2"/>
        <charset val="1"/>
      </rPr>
      <t xml:space="preserve"> ton/m</t>
    </r>
    <r>
      <rPr>
        <vertAlign val="superscript"/>
        <sz val="11"/>
        <rFont val="Calibri"/>
        <family val="2"/>
        <charset val="1"/>
      </rPr>
      <t>3</t>
    </r>
  </si>
  <si>
    <t>Berat air ballast</t>
  </si>
  <si>
    <t>Wb =</t>
  </si>
  <si>
    <t>(10% - 20% ) x ∆</t>
  </si>
  <si>
    <t>Volume ballast</t>
  </si>
  <si>
    <t>Vb =</t>
  </si>
  <si>
    <t>Wb / ρ</t>
  </si>
  <si>
    <t xml:space="preserve">Kapasitas ballast </t>
  </si>
  <si>
    <t>waktu yang dibutuhkan untuk ballasting dan deballasting ( t )</t>
  </si>
  <si>
    <t>jam</t>
  </si>
  <si>
    <t>Qb =</t>
  </si>
  <si>
    <t>Vb / t</t>
  </si>
  <si>
    <r>
      <rPr>
        <sz val="11"/>
        <rFont val="Calibri"/>
        <family val="2"/>
        <charset val="1"/>
      </rPr>
      <t>m</t>
    </r>
    <r>
      <rPr>
        <vertAlign val="superscript"/>
        <sz val="11"/>
        <rFont val="Calibri"/>
        <family val="2"/>
        <charset val="1"/>
      </rPr>
      <t>3</t>
    </r>
    <r>
      <rPr>
        <sz val="11"/>
        <rFont val="Calibri"/>
        <family val="2"/>
        <charset val="1"/>
      </rPr>
      <t>/h</t>
    </r>
  </si>
  <si>
    <t>Diameter pipa utama</t>
  </si>
  <si>
    <t>A x v</t>
  </si>
  <si>
    <t>vb =</t>
  </si>
  <si>
    <t>1/4 x π x D² x vb</t>
  </si>
  <si>
    <r>
      <rPr>
        <sz val="11"/>
        <rFont val="Calibri"/>
        <family val="2"/>
        <charset val="1"/>
      </rPr>
      <t>D</t>
    </r>
    <r>
      <rPr>
        <vertAlign val="superscript"/>
        <sz val="11"/>
        <rFont val="Calibri"/>
        <family val="2"/>
        <charset val="1"/>
      </rPr>
      <t xml:space="preserve">2 </t>
    </r>
    <r>
      <rPr>
        <sz val="11"/>
        <rFont val="Calibri"/>
        <family val="2"/>
        <charset val="1"/>
      </rPr>
      <t>=</t>
    </r>
  </si>
  <si>
    <t>Qb / (1/4 x π x vb )</t>
  </si>
  <si>
    <t>Then for ballast pipe, it will be use JIS G 3454 CARBON STEEL PIPES FOR PRESSURE SERVICE</t>
  </si>
  <si>
    <t>Inside diameter (dm) =</t>
  </si>
  <si>
    <t>Thickness =</t>
  </si>
  <si>
    <t>Outside diameter =</t>
  </si>
  <si>
    <t>Nominal pipe size =</t>
  </si>
  <si>
    <t>150A</t>
  </si>
  <si>
    <t>sch 40</t>
  </si>
  <si>
    <t>minimal thickness (L.R Regulation) =</t>
  </si>
  <si>
    <t>Perhitungan head pompa ballast</t>
  </si>
  <si>
    <t>Pada ruang mesin</t>
  </si>
  <si>
    <t>Hz =</t>
  </si>
  <si>
    <t>jarak dari ballast tank ke overboard</t>
  </si>
  <si>
    <t>( T + 1 )</t>
  </si>
  <si>
    <t>Hp =</t>
  </si>
  <si>
    <t>Different pressure in suction side and discharge side</t>
  </si>
  <si>
    <t>( Pdiscd - Psuct ) / ρg</t>
  </si>
  <si>
    <t>( Pdiscd - Psuct ) / ρg =0</t>
  </si>
  <si>
    <t xml:space="preserve"> Because pressure in suction and discharge have same value</t>
  </si>
  <si>
    <t>Hv =</t>
  </si>
  <si>
    <t>Different flow velocity in suction side and discharge side</t>
  </si>
  <si>
    <r>
      <rPr>
        <sz val="11"/>
        <rFont val="Calibri"/>
        <family val="2"/>
        <charset val="1"/>
      </rPr>
      <t>( V</t>
    </r>
    <r>
      <rPr>
        <vertAlign val="superscript"/>
        <sz val="11"/>
        <rFont val="Calibri"/>
        <family val="2"/>
        <charset val="1"/>
      </rPr>
      <t>2</t>
    </r>
    <r>
      <rPr>
        <sz val="11"/>
        <rFont val="Calibri"/>
        <family val="2"/>
        <charset val="1"/>
      </rPr>
      <t>disch - V</t>
    </r>
    <r>
      <rPr>
        <vertAlign val="superscript"/>
        <sz val="11"/>
        <rFont val="Calibri"/>
        <family val="2"/>
        <charset val="1"/>
      </rPr>
      <t>2</t>
    </r>
    <r>
      <rPr>
        <sz val="11"/>
        <rFont val="Calibri"/>
        <family val="2"/>
        <charset val="1"/>
      </rPr>
      <t xml:space="preserve">suct ) / 2g = </t>
    </r>
  </si>
  <si>
    <r>
      <rPr>
        <sz val="11"/>
        <rFont val="Calibri"/>
        <family val="2"/>
        <charset val="1"/>
      </rPr>
      <t>( 3</t>
    </r>
    <r>
      <rPr>
        <vertAlign val="superscript"/>
        <sz val="11"/>
        <rFont val="Calibri"/>
        <family val="2"/>
        <charset val="1"/>
      </rPr>
      <t>2</t>
    </r>
    <r>
      <rPr>
        <sz val="11"/>
        <rFont val="Calibri"/>
        <family val="2"/>
        <charset val="1"/>
      </rPr>
      <t xml:space="preserve"> - 3</t>
    </r>
    <r>
      <rPr>
        <vertAlign val="superscript"/>
        <sz val="11"/>
        <rFont val="Calibri"/>
        <family val="2"/>
        <charset val="1"/>
      </rPr>
      <t>2</t>
    </r>
    <r>
      <rPr>
        <sz val="11"/>
        <rFont val="Calibri"/>
        <family val="2"/>
        <charset val="1"/>
      </rPr>
      <t xml:space="preserve"> ) / ( 2 x 9.81 ) =0</t>
    </r>
  </si>
  <si>
    <t>Perhitungan head losses pada pipa hisap</t>
  </si>
  <si>
    <r>
      <rPr>
        <sz val="11"/>
        <rFont val="Calibri"/>
        <family val="2"/>
        <charset val="1"/>
      </rPr>
      <t>Major losses = λ x L x v</t>
    </r>
    <r>
      <rPr>
        <vertAlign val="superscript"/>
        <sz val="11"/>
        <rFont val="Calibri"/>
        <family val="2"/>
        <charset val="1"/>
      </rPr>
      <t>2</t>
    </r>
    <r>
      <rPr>
        <sz val="11"/>
        <rFont val="Calibri"/>
        <family val="2"/>
        <charset val="1"/>
      </rPr>
      <t xml:space="preserve"> / (D x 2g)</t>
    </r>
  </si>
  <si>
    <t>0.02+0.0005/dm</t>
  </si>
  <si>
    <t>Length of suction side</t>
  </si>
  <si>
    <t>RL 2007 Rules and Regulation, part 5, chapter 12.9.6.3</t>
  </si>
  <si>
    <t>v =</t>
  </si>
  <si>
    <t>Velocity of galvanized steel =3,0 m/s</t>
  </si>
  <si>
    <t>dm</t>
  </si>
  <si>
    <t>Minor loses = manufaktur pada jalur hisap</t>
  </si>
  <si>
    <t>No.</t>
  </si>
  <si>
    <t>Accesoris</t>
  </si>
  <si>
    <t>n</t>
  </si>
  <si>
    <t>k</t>
  </si>
  <si>
    <t>n x k</t>
  </si>
  <si>
    <t>Elbow 90⁰</t>
  </si>
  <si>
    <t>Butterfly valve</t>
  </si>
  <si>
    <t>Gate valve</t>
  </si>
  <si>
    <t>T Joint</t>
  </si>
  <si>
    <t>Strainer</t>
  </si>
  <si>
    <t>Σ :</t>
  </si>
  <si>
    <t>minor losses = (Σ n.k) x v² /2g</t>
  </si>
  <si>
    <t>Head Losses pada jalur hisap</t>
  </si>
  <si>
    <t>Major Head Loss + Minor Head Loss</t>
  </si>
  <si>
    <t>Perhitungan head losses pada jalur buang</t>
  </si>
  <si>
    <t>Minor loses = manufaktur pada jalur buang</t>
  </si>
  <si>
    <t>SDNRV</t>
  </si>
  <si>
    <t>Head Total = Hz + Hp + Hv + Head losses</t>
  </si>
  <si>
    <t>min Spec Pump</t>
  </si>
  <si>
    <r>
      <rPr>
        <sz val="11"/>
        <color theme="1"/>
        <rFont val="Calibri"/>
        <family val="2"/>
        <charset val="1"/>
      </rPr>
      <t>m</t>
    </r>
    <r>
      <rPr>
        <vertAlign val="superscript"/>
        <sz val="11"/>
        <color theme="1"/>
        <rFont val="Calibri"/>
        <family val="2"/>
        <charset val="1"/>
      </rPr>
      <t>3</t>
    </r>
    <r>
      <rPr>
        <sz val="11"/>
        <color theme="1"/>
        <rFont val="Calibri"/>
        <family val="2"/>
        <charset val="1"/>
      </rPr>
      <t>/h</t>
    </r>
  </si>
  <si>
    <t>Head =</t>
  </si>
  <si>
    <t>Mencari Jumlah ABK</t>
  </si>
  <si>
    <t>Jumlah ABK yang direncanakan Harus kurang dari atau sama dengan hasil dari persamaan berikut</t>
  </si>
  <si>
    <t>Zc = Cst x [ Cdk (CN/1000)^0.16 + Ceng ( BHP/10 )^0.33 + Cadets ]</t>
  </si>
  <si>
    <t>Cst</t>
  </si>
  <si>
    <t>: Koefisien Steward Deck ( 1,2 - 1,33 )</t>
  </si>
  <si>
    <t>Cdk</t>
  </si>
  <si>
    <t>: Koefisien Deck Departement ( 11,5 - 14,5 )</t>
  </si>
  <si>
    <t>Ceng</t>
  </si>
  <si>
    <t>: Koefisien Engine Departement ( 8,5 - 11 )</t>
  </si>
  <si>
    <t xml:space="preserve">BHP </t>
  </si>
  <si>
    <t>: Tenaga Mesin</t>
  </si>
  <si>
    <t>Cadets</t>
  </si>
  <si>
    <t>: Perwira Tambahan</t>
  </si>
  <si>
    <t>CN</t>
  </si>
  <si>
    <t>: ( L.B.H ) / 1000</t>
  </si>
  <si>
    <t>Zc =</t>
  </si>
  <si>
    <t>Cst x [ Cdk (CN/1000)^1/6 + Ceng ( BHP/10 )^1/3 + Cadets ]</t>
  </si>
  <si>
    <t>Maka Jumlah Crew Sebagai Berikut :</t>
  </si>
  <si>
    <t>No</t>
  </si>
  <si>
    <t>Jabatan</t>
  </si>
  <si>
    <t>Jumlah</t>
  </si>
  <si>
    <t>Master</t>
  </si>
  <si>
    <t>Captain</t>
  </si>
  <si>
    <t>Person</t>
  </si>
  <si>
    <t>Deck Departement</t>
  </si>
  <si>
    <t>Chief Officer</t>
  </si>
  <si>
    <t>Medic</t>
  </si>
  <si>
    <t>Quarter Master</t>
  </si>
  <si>
    <t>ooo</t>
  </si>
  <si>
    <t>Radio Operator</t>
  </si>
  <si>
    <t>person</t>
  </si>
  <si>
    <t>Boatswain</t>
  </si>
  <si>
    <t>Engine Departement</t>
  </si>
  <si>
    <t>Chief Engineer</t>
  </si>
  <si>
    <t>Second Engineer</t>
  </si>
  <si>
    <t>Electrician</t>
  </si>
  <si>
    <t>Fireman</t>
  </si>
  <si>
    <t>Oiler</t>
  </si>
  <si>
    <t>Pumpman</t>
  </si>
  <si>
    <t>Catering Departement</t>
  </si>
  <si>
    <t>Chief Cook</t>
  </si>
  <si>
    <t>Assistant Cook</t>
  </si>
  <si>
    <t>Boys</t>
  </si>
  <si>
    <t>Total</t>
  </si>
  <si>
    <t>Perhitungan Diameter Utama Pipa Bilga</t>
  </si>
  <si>
    <t>Untuk Kapal Tankers</t>
  </si>
  <si>
    <t>Dh =</t>
  </si>
  <si>
    <t>Dimana:</t>
  </si>
  <si>
    <t>dH  =</t>
  </si>
  <si>
    <t>Diameter dalam pipa utama bilga (mm)</t>
  </si>
  <si>
    <t>L   =</t>
  </si>
  <si>
    <t>Lpp (mm)</t>
  </si>
  <si>
    <t>B   =</t>
  </si>
  <si>
    <t>Lebar kapal dg kulit (lebar maksimum)</t>
  </si>
  <si>
    <t>H   =</t>
  </si>
  <si>
    <t>Tinggi kapal (m)</t>
  </si>
  <si>
    <t>l1   =</t>
  </si>
  <si>
    <t>Total panjang ruangan antara cofferdam/sekat pump room dan sekat stern tube (m)</t>
  </si>
  <si>
    <t>Perhitungan Diameter Cabang Pipa Bilga</t>
  </si>
  <si>
    <t>Dz   =</t>
  </si>
  <si>
    <t>Dz  =</t>
  </si>
  <si>
    <t>Diameter dalam pipa cabang bilga (mm)</t>
  </si>
  <si>
    <t>l    =</t>
  </si>
  <si>
    <t>Panjang dari kompartment yang memiliki sekat kedap (m)</t>
  </si>
  <si>
    <t>Perhitungan Pompa Bilga</t>
  </si>
  <si>
    <t>Q kapasitas</t>
  </si>
  <si>
    <t>dan Head wajib dihitung</t>
  </si>
  <si>
    <t>Calculation of main bilge line</t>
  </si>
  <si>
    <t>dm :</t>
  </si>
  <si>
    <t>1.68 √L(B + D) + 25</t>
  </si>
  <si>
    <t>RL 2007 Rules and Regulation, part 5, chapter 13.5</t>
  </si>
  <si>
    <t>Where :</t>
  </si>
  <si>
    <t>L :</t>
  </si>
  <si>
    <t>97% Lwl</t>
  </si>
  <si>
    <t>, Lwl :</t>
  </si>
  <si>
    <t>B :</t>
  </si>
  <si>
    <t>D :</t>
  </si>
  <si>
    <t>So, dm :</t>
  </si>
  <si>
    <t>thickness =</t>
  </si>
  <si>
    <t>125A</t>
  </si>
  <si>
    <t>Calculation of main bilge pipe</t>
  </si>
  <si>
    <t>db :</t>
  </si>
  <si>
    <t>2.15 √C(B + D) + 25</t>
  </si>
  <si>
    <t>C :</t>
  </si>
  <si>
    <t>Length each Compartemen</t>
  </si>
  <si>
    <t>So, db :</t>
  </si>
  <si>
    <t>Then for bilge branch pipe, it will be use JIS G 3454 CARBON STEEL PIPES FOR PRESSURE SERVICE</t>
  </si>
  <si>
    <t>Inside diameter (db) =</t>
  </si>
  <si>
    <t>Ketebalan =</t>
  </si>
  <si>
    <t>80A</t>
  </si>
  <si>
    <t>Calculation of head losses in suction line</t>
  </si>
  <si>
    <t>Major losses =  λ x L x v^2 / (D x 2g)</t>
  </si>
  <si>
    <t xml:space="preserve"> λ   =</t>
  </si>
  <si>
    <t>Length of Suction Side</t>
  </si>
  <si>
    <t>v   =</t>
  </si>
  <si>
    <t>D   =</t>
  </si>
  <si>
    <t>dH</t>
  </si>
  <si>
    <t>0,024 x 103 x 2^2 / 106,5234(2x9,8)</t>
  </si>
  <si>
    <t>Minor losses = head because accesoris in suction line</t>
  </si>
  <si>
    <t>Σ</t>
  </si>
  <si>
    <t>Minor losses = (Σ n.k) x v² /2g</t>
  </si>
  <si>
    <t>33 x 2² /(2x9.8)</t>
  </si>
  <si>
    <t>Head Loss in Suction Line</t>
  </si>
  <si>
    <t>Calculation of head losses in discharge line</t>
  </si>
  <si>
    <t>0.02+0.0005/dH</t>
  </si>
  <si>
    <t>Length of Discharge Side</t>
  </si>
  <si>
    <t xml:space="preserve"> 0.02469x 10 x 2^2 / (0.125 x (2x9.8)</t>
  </si>
  <si>
    <t>Minor losses = head because accesoris in discharge line</t>
  </si>
  <si>
    <t>Three Way valve</t>
  </si>
  <si>
    <t>4.14 x 2² /(2x9.8)</t>
  </si>
  <si>
    <t>Head Loss in Discharge Line</t>
  </si>
  <si>
    <t>HEAD TOTAL =</t>
  </si>
  <si>
    <t>Hz + Hp + Hv + Σ head losses (suction and discharge)</t>
  </si>
  <si>
    <t>0 + 0 + 0 + 10.79 + 5.72</t>
  </si>
  <si>
    <t>Perhitungan Kapasitas Oily Bilge System</t>
  </si>
  <si>
    <r>
      <rPr>
        <sz val="12"/>
        <rFont val="Calibri"/>
        <family val="2"/>
        <charset val="1"/>
      </rPr>
      <t>Volume dari bilge well lebih dari 2.5 m</t>
    </r>
    <r>
      <rPr>
        <vertAlign val="superscript"/>
        <sz val="12"/>
        <rFont val="Calibri"/>
        <family val="2"/>
        <charset val="1"/>
      </rPr>
      <t>3</t>
    </r>
  </si>
  <si>
    <t>Panjang =</t>
  </si>
  <si>
    <t>Tinggi =</t>
  </si>
  <si>
    <t>Volume =</t>
  </si>
  <si>
    <r>
      <rPr>
        <b/>
        <sz val="12"/>
        <rFont val="Calibri"/>
        <family val="2"/>
        <charset val="1"/>
      </rPr>
      <t>m</t>
    </r>
    <r>
      <rPr>
        <b/>
        <vertAlign val="superscript"/>
        <sz val="12"/>
        <rFont val="Calibri"/>
        <family val="2"/>
        <charset val="1"/>
      </rPr>
      <t>3</t>
    </r>
  </si>
  <si>
    <t>waktu yang dibutuhkan selama pengeringan bilge well selama 75 menit</t>
  </si>
  <si>
    <t>oily bilge well kapasitas V/t</t>
  </si>
  <si>
    <t>v = total volume bilge well</t>
  </si>
  <si>
    <t>Volume bilge well/t</t>
  </si>
  <si>
    <t>t = waktu pengeringan</t>
  </si>
  <si>
    <t>2.5/(75/60)</t>
  </si>
  <si>
    <r>
      <rPr>
        <b/>
        <sz val="12"/>
        <rFont val="Calibri"/>
        <family val="2"/>
        <charset val="1"/>
      </rPr>
      <t>m</t>
    </r>
    <r>
      <rPr>
        <b/>
        <vertAlign val="superscript"/>
        <sz val="12"/>
        <rFont val="Calibri"/>
        <family val="2"/>
        <charset val="1"/>
      </rPr>
      <t>3</t>
    </r>
    <r>
      <rPr>
        <b/>
        <sz val="12"/>
        <rFont val="Calibri"/>
        <family val="2"/>
        <charset val="1"/>
      </rPr>
      <t>/hr</t>
    </r>
  </si>
  <si>
    <t xml:space="preserve">diameter pipa oil bilge system </t>
  </si>
  <si>
    <t>Q/velocity</t>
  </si>
  <si>
    <t>perhitungan diameter pipa :</t>
  </si>
  <si>
    <t>0.25 x π x dz^2</t>
  </si>
  <si>
    <t>dz =</t>
  </si>
  <si>
    <t>Untuk pipa pada oil bilge, yang akan digunakan yaitu ASME Section III - ASME QSC 467</t>
  </si>
  <si>
    <t>20XS</t>
  </si>
  <si>
    <t>sch 80</t>
  </si>
  <si>
    <t xml:space="preserve">Calculation of oily waste collecting tank volume </t>
  </si>
  <si>
    <t>IMO "Guidelines for systems for Handling Oily Wastes In Machinery Spaces Of Ship".</t>
  </si>
  <si>
    <t>Untuk perhitungan volume oily waste collecting tank nilai volume harus disesuaikan dengan jenis kapal.</t>
  </si>
  <si>
    <t xml:space="preserve">Perhitungan sludge tank </t>
  </si>
  <si>
    <t xml:space="preserve">Menurut BKI rules for machinery sec 11, capacity of sludge tank </t>
  </si>
  <si>
    <t>Perhitungan dengan rumus :</t>
  </si>
  <si>
    <t xml:space="preserve">V = </t>
  </si>
  <si>
    <t>K1 x C x D</t>
  </si>
  <si>
    <t>K1 =</t>
  </si>
  <si>
    <t>0.015, ship with HFO and using purifier</t>
  </si>
  <si>
    <t>0.005, for ship with MDO or HFO fuel without purifier</t>
  </si>
  <si>
    <r>
      <rPr>
        <sz val="12"/>
        <rFont val="Calibri"/>
        <family val="2"/>
        <charset val="1"/>
      </rPr>
      <t>fuel oil consumption per day (m</t>
    </r>
    <r>
      <rPr>
        <vertAlign val="superscript"/>
        <sz val="12"/>
        <rFont val="Calibri"/>
        <family val="2"/>
        <charset val="1"/>
      </rPr>
      <t>3</t>
    </r>
    <r>
      <rPr>
        <sz val="12"/>
        <rFont val="Calibri"/>
        <family val="2"/>
        <charset val="1"/>
      </rPr>
      <t>)</t>
    </r>
  </si>
  <si>
    <t>time interval port to port</t>
  </si>
  <si>
    <t xml:space="preserve">Power Main Engine </t>
  </si>
  <si>
    <t>SFOC =</t>
  </si>
  <si>
    <t>Specific Fuel Oil Consumption</t>
  </si>
  <si>
    <t>gr/kWh</t>
  </si>
  <si>
    <t>y FO =</t>
  </si>
  <si>
    <r>
      <rPr>
        <sz val="12"/>
        <rFont val="Calibri"/>
        <family val="2"/>
        <charset val="1"/>
      </rPr>
      <t>ton/m</t>
    </r>
    <r>
      <rPr>
        <vertAlign val="superscript"/>
        <sz val="12"/>
        <rFont val="Calibri"/>
        <family val="2"/>
        <charset val="1"/>
      </rPr>
      <t>3</t>
    </r>
  </si>
  <si>
    <t>Perhitungan jumlah konsumsi HFO harian :</t>
  </si>
  <si>
    <t xml:space="preserve">CFO = </t>
  </si>
  <si>
    <t>P x SFOC x T</t>
  </si>
  <si>
    <r>
      <rPr>
        <sz val="12"/>
        <rFont val="Calibri"/>
        <family val="2"/>
        <charset val="1"/>
      </rPr>
      <t>m</t>
    </r>
    <r>
      <rPr>
        <vertAlign val="superscript"/>
        <sz val="12"/>
        <rFont val="Calibri"/>
        <family val="2"/>
        <charset val="1"/>
      </rPr>
      <t>3</t>
    </r>
  </si>
  <si>
    <t>SLOC =</t>
  </si>
  <si>
    <t>Specific Lubricating Oil Consumption</t>
  </si>
  <si>
    <t>y LO =</t>
  </si>
  <si>
    <t>Perhitungan jumlah konsumsi MDO harian  :</t>
  </si>
  <si>
    <t>CDO =</t>
  </si>
  <si>
    <t>(0.1 - 0.2)*CFO</t>
  </si>
  <si>
    <r>
      <rPr>
        <sz val="12"/>
        <rFont val="Calibri"/>
        <family val="2"/>
        <charset val="1"/>
      </rPr>
      <t xml:space="preserve">C </t>
    </r>
    <r>
      <rPr>
        <vertAlign val="subscript"/>
        <sz val="12"/>
        <rFont val="Calibri"/>
        <family val="2"/>
        <charset val="1"/>
      </rPr>
      <t>total</t>
    </r>
    <r>
      <rPr>
        <sz val="12"/>
        <rFont val="Calibri"/>
        <family val="2"/>
        <charset val="1"/>
      </rPr>
      <t xml:space="preserve"> =</t>
    </r>
  </si>
  <si>
    <t>Dapat diketahui volume sludge tank adalah :</t>
  </si>
  <si>
    <t>V1 =</t>
  </si>
  <si>
    <t>dimensi sludge tank :</t>
  </si>
  <si>
    <t>The capacity of the oily bilge water tank shall be determined as follows:</t>
  </si>
  <si>
    <t>V oily bilge water tank =</t>
  </si>
  <si>
    <t>Perhitungan Head Loss</t>
  </si>
  <si>
    <t>calculation instalation in engine room</t>
  </si>
  <si>
    <t>head static of pump (hz)    =</t>
  </si>
  <si>
    <t xml:space="preserve">distance between sludge tank to int. shore connection is </t>
  </si>
  <si>
    <t>head pressure (hp) = the difference of pressure on discharge and suction side (Pdis - Psuc)</t>
  </si>
  <si>
    <t>head velocity (hv) = difference of velocity on suction and discharge side.</t>
  </si>
  <si>
    <r>
      <rPr>
        <sz val="12"/>
        <rFont val="Calibri"/>
        <family val="2"/>
        <charset val="1"/>
      </rPr>
      <t>hv = (v</t>
    </r>
    <r>
      <rPr>
        <vertAlign val="superscript"/>
        <sz val="12"/>
        <rFont val="Calibri"/>
        <family val="2"/>
        <charset val="1"/>
      </rPr>
      <t>2</t>
    </r>
    <r>
      <rPr>
        <sz val="12"/>
        <rFont val="Calibri"/>
        <family val="2"/>
        <charset val="1"/>
      </rPr>
      <t>dis - v</t>
    </r>
    <r>
      <rPr>
        <vertAlign val="superscript"/>
        <sz val="12"/>
        <rFont val="Calibri"/>
        <family val="2"/>
        <charset val="1"/>
      </rPr>
      <t>2</t>
    </r>
    <r>
      <rPr>
        <sz val="12"/>
        <rFont val="Calibri"/>
        <family val="2"/>
        <charset val="1"/>
      </rPr>
      <t>suc)/2g =</t>
    </r>
  </si>
  <si>
    <t>calculation of head losses on suction pipe</t>
  </si>
  <si>
    <t>head caused by friction on suction pipe</t>
  </si>
  <si>
    <t>Head-loss = H Discharge + H Suction</t>
  </si>
  <si>
    <t xml:space="preserve">where : </t>
  </si>
  <si>
    <t>Mayor Loses=</t>
  </si>
  <si>
    <t>Re= (D x V) /u</t>
  </si>
  <si>
    <t>(Pompa dan Kompresor Ir.Sularso,MSME hal 28)</t>
  </si>
  <si>
    <t>where :</t>
  </si>
  <si>
    <t>D are inside diameter of pipe =</t>
  </si>
  <si>
    <t>V=</t>
  </si>
  <si>
    <t>u =</t>
  </si>
  <si>
    <t>cst at 20° (HFO type MRG)</t>
  </si>
  <si>
    <t>m^2/s</t>
  </si>
  <si>
    <t>v.D/U</t>
  </si>
  <si>
    <t>(laminer)</t>
  </si>
  <si>
    <t>for to find a friction losses use formula 64/Rn</t>
  </si>
  <si>
    <t xml:space="preserve"> λ =</t>
  </si>
  <si>
    <t>length of suction side (L) is =</t>
  </si>
  <si>
    <t xml:space="preserve">major losses (hf) </t>
  </si>
  <si>
    <t xml:space="preserve"> λ x L x v2 / (D x 2g) </t>
  </si>
  <si>
    <t>calculate minor losses (head because of accessoris on pipe)</t>
  </si>
  <si>
    <t>Butterfly Valve</t>
  </si>
  <si>
    <t>Elbow 90°</t>
  </si>
  <si>
    <t>minor losses (hm) = Σ  x v2 / (2g)</t>
  </si>
  <si>
    <t xml:space="preserve">minor losses = </t>
  </si>
  <si>
    <t>Head losses on suction pipe (hl1) = major losses + minor losses</t>
  </si>
  <si>
    <t>calculation of head losses on discharge pipe</t>
  </si>
  <si>
    <t>D on the friction is inside diameter of bilge pipe =</t>
  </si>
  <si>
    <t xml:space="preserve">length (L) of discharge side is = </t>
  </si>
  <si>
    <t xml:space="preserve">mayor losses (hf) =  λ x L x v2 / (D x 2g) </t>
  </si>
  <si>
    <t>Three way valve</t>
  </si>
  <si>
    <t>total head losses (hl) = hl1 + hl2</t>
  </si>
  <si>
    <t>Total Head (H tot) = hs + hp hv + hl =</t>
  </si>
  <si>
    <t>A. Perhitungan Panas Total (Qt)</t>
  </si>
  <si>
    <t>BEBAN PANS TRANSMISI (Qtr)</t>
  </si>
  <si>
    <t>Room</t>
  </si>
  <si>
    <t>Volume (m^3)</t>
  </si>
  <si>
    <t>Ouside Coondition</t>
  </si>
  <si>
    <t>Insiede Condition</t>
  </si>
  <si>
    <t>ΔT (°C)</t>
  </si>
  <si>
    <t>Wall</t>
  </si>
  <si>
    <t>Qtr</t>
  </si>
  <si>
    <t xml:space="preserve">Panjang </t>
  </si>
  <si>
    <t>Tinggi</t>
  </si>
  <si>
    <t>Temp</t>
  </si>
  <si>
    <t>RH</t>
  </si>
  <si>
    <t>Koeff Heat</t>
  </si>
  <si>
    <t>F-A Wall</t>
  </si>
  <si>
    <t>Side Wall</t>
  </si>
  <si>
    <t>Roof</t>
  </si>
  <si>
    <t>Area</t>
  </si>
  <si>
    <t>(°C)</t>
  </si>
  <si>
    <t>(W/m^2 °C )</t>
  </si>
  <si>
    <t>(m^2)</t>
  </si>
  <si>
    <t>(watt)</t>
  </si>
  <si>
    <t>Mess Room</t>
  </si>
  <si>
    <t>Galley</t>
  </si>
  <si>
    <t>Musholla</t>
  </si>
  <si>
    <t>Library</t>
  </si>
  <si>
    <t>Tally Office</t>
  </si>
  <si>
    <t xml:space="preserve">Fireman </t>
  </si>
  <si>
    <t>Asistant Cook</t>
  </si>
  <si>
    <t>BEBAN PANAS AKIBAT PENGHUNI RUANGAN (Qperson = Qp)</t>
  </si>
  <si>
    <t>Qty</t>
  </si>
  <si>
    <t>Sensible</t>
  </si>
  <si>
    <t>Latent</t>
  </si>
  <si>
    <t>Q Penghuni</t>
  </si>
  <si>
    <t>(Person)</t>
  </si>
  <si>
    <t>(Watt)</t>
  </si>
  <si>
    <t>Kecepatan Angin Rata - Rata real madrid</t>
  </si>
  <si>
    <t>1 kph =</t>
  </si>
  <si>
    <t>Kecepatan angin rata - rata =</t>
  </si>
  <si>
    <t>kph</t>
  </si>
  <si>
    <t>BEBAN PANAS AKIBAT RAMBAT DARI JENDELA (Qwindow = Qw)</t>
  </si>
  <si>
    <t>ΔT</t>
  </si>
  <si>
    <t>Jumlah Jendela</t>
  </si>
  <si>
    <t>U Factor Double Kaca</t>
  </si>
  <si>
    <t>Luas Jendela</t>
  </si>
  <si>
    <t>Qw</t>
  </si>
  <si>
    <t>(buah)</t>
  </si>
  <si>
    <t>(W/m.°K)</t>
  </si>
  <si>
    <t>BEBAN PANAS DARI PENGGUNAAN LAMPU PENERANGAN (Qlampu = Ql)</t>
  </si>
  <si>
    <t>Load</t>
  </si>
  <si>
    <t>Ql</t>
  </si>
  <si>
    <t>Constant</t>
  </si>
  <si>
    <t>(W/m^2)</t>
  </si>
  <si>
    <t>BEBAN PANAS PERALATAN (Qmachine  = Qm)</t>
  </si>
  <si>
    <t>Beban Panas yang Dihasilkan</t>
  </si>
  <si>
    <t xml:space="preserve">Beban Panas Total </t>
  </si>
  <si>
    <t>Beban Panas</t>
  </si>
  <si>
    <t>Qp</t>
  </si>
  <si>
    <t>Qm</t>
  </si>
  <si>
    <t>Q total</t>
  </si>
  <si>
    <t>B. Perhitungan Kapasitas Udara</t>
  </si>
  <si>
    <t>Vs</t>
  </si>
  <si>
    <t>Diameter Ducting</t>
  </si>
  <si>
    <t>Pembacaan Circular Equivalent</t>
  </si>
  <si>
    <t>Ukuran Ducting</t>
  </si>
  <si>
    <t>(m^3/h)</t>
  </si>
  <si>
    <t>(m^3/s)</t>
  </si>
  <si>
    <t>l/s</t>
  </si>
  <si>
    <t>100 x 100</t>
  </si>
  <si>
    <t>125 x 100</t>
  </si>
  <si>
    <t>300 x 175</t>
  </si>
  <si>
    <t>Product Selection</t>
  </si>
  <si>
    <t>Nominal Size Diffuser</t>
  </si>
  <si>
    <t>Count</t>
  </si>
  <si>
    <t>in</t>
  </si>
  <si>
    <r>
      <rPr>
        <b/>
        <sz val="9"/>
        <color theme="1"/>
        <rFont val="Consolas"/>
        <family val="3"/>
        <charset val="1"/>
      </rPr>
      <t>m</t>
    </r>
    <r>
      <rPr>
        <b/>
        <vertAlign val="superscript"/>
        <sz val="9"/>
        <color theme="1"/>
        <rFont val="Consolas"/>
        <family val="3"/>
        <charset val="1"/>
      </rPr>
      <t>3</t>
    </r>
    <r>
      <rPr>
        <b/>
        <sz val="9"/>
        <color theme="1"/>
        <rFont val="Consolas"/>
        <family val="3"/>
        <charset val="1"/>
      </rPr>
      <t>/h</t>
    </r>
  </si>
  <si>
    <t>TDF-SA-Q-Z-H</t>
  </si>
  <si>
    <t>Velocity</t>
  </si>
  <si>
    <t>Discharge</t>
  </si>
  <si>
    <t>Friction Loss</t>
  </si>
  <si>
    <t>(m/s)</t>
  </si>
  <si>
    <t>Pa/m</t>
  </si>
  <si>
    <t xml:space="preserve">Total </t>
  </si>
  <si>
    <t>da</t>
  </si>
  <si>
    <t xml:space="preserve">C. Perhitungan Udara Resirkulasi </t>
  </si>
  <si>
    <t xml:space="preserve">Kebutuhan Udara Segar Tiap Ruangan </t>
  </si>
  <si>
    <t>kg/m^3</t>
  </si>
  <si>
    <t>Cp =</t>
  </si>
  <si>
    <t>kJ/Kg.°C</t>
  </si>
  <si>
    <t>ΔT =</t>
  </si>
  <si>
    <t>°C</t>
  </si>
  <si>
    <t>vr = vs - vfa</t>
  </si>
  <si>
    <t>vs =</t>
  </si>
  <si>
    <t>m^3/h</t>
  </si>
  <si>
    <t>m^3/s</t>
  </si>
  <si>
    <t>vfa =</t>
  </si>
  <si>
    <t>vr =</t>
  </si>
  <si>
    <t>Volume Spesifik Udara Segar (Vfa)</t>
  </si>
  <si>
    <t>Suhu luar =</t>
  </si>
  <si>
    <t>33°C</t>
  </si>
  <si>
    <t>RH =</t>
  </si>
  <si>
    <t>Vfa =</t>
  </si>
  <si>
    <t>m^3/kg</t>
  </si>
  <si>
    <t>Volume Spesifik Udara Sirkulasi (Vr)</t>
  </si>
  <si>
    <t>Suhu Dalam =</t>
  </si>
  <si>
    <t>27°C</t>
  </si>
  <si>
    <t>Vr =</t>
  </si>
  <si>
    <t>hfa =</t>
  </si>
  <si>
    <t>kJ/kg</t>
  </si>
  <si>
    <t>hr =</t>
  </si>
  <si>
    <t>hmix =</t>
  </si>
  <si>
    <t>D. Beban Panas Akibat Tambahan Pernafasan Manusia (∆he)</t>
  </si>
  <si>
    <t>Jumlah Orang</t>
  </si>
  <si>
    <t>E. Perhitungan Kapasitas Beban Pendingin dari Mesin Pendingin (QL)</t>
  </si>
  <si>
    <t>Qload  =</t>
  </si>
  <si>
    <t>Vs x ρ x ∆h</t>
  </si>
  <si>
    <t>kJ/h</t>
  </si>
  <si>
    <t>AHU SELECTED</t>
  </si>
  <si>
    <t>Units</t>
  </si>
  <si>
    <t>Daikin AHU</t>
  </si>
  <si>
    <t>Model</t>
  </si>
  <si>
    <t>Modular P 1</t>
  </si>
  <si>
    <t>SPECIFICATION</t>
  </si>
  <si>
    <t>Airflow</t>
  </si>
  <si>
    <r>
      <rPr>
        <sz val="9"/>
        <color theme="1"/>
        <rFont val="Consolas"/>
        <family val="3"/>
        <charset val="1"/>
      </rPr>
      <t>m</t>
    </r>
    <r>
      <rPr>
        <vertAlign val="superscript"/>
        <sz val="9"/>
        <color theme="1"/>
        <rFont val="Consolas"/>
        <family val="3"/>
        <charset val="1"/>
      </rPr>
      <t>3</t>
    </r>
    <r>
      <rPr>
        <sz val="9"/>
        <color theme="1"/>
        <rFont val="Consolas"/>
        <family val="3"/>
        <charset val="1"/>
      </rPr>
      <t>/h</t>
    </r>
  </si>
  <si>
    <r>
      <rPr>
        <b/>
        <sz val="9"/>
        <color theme="1"/>
        <rFont val="Consolas"/>
        <family val="3"/>
        <charset val="1"/>
      </rPr>
      <t>Heat exchanger thermal efficiency</t>
    </r>
    <r>
      <rPr>
        <b/>
        <vertAlign val="superscript"/>
        <sz val="9"/>
        <color theme="1"/>
        <rFont val="Consolas"/>
        <family val="3"/>
        <charset val="1"/>
      </rPr>
      <t>1</t>
    </r>
  </si>
  <si>
    <t>%</t>
  </si>
  <si>
    <t>External static pressure</t>
  </si>
  <si>
    <t>Nom.</t>
  </si>
  <si>
    <t>Pa</t>
  </si>
  <si>
    <r>
      <rPr>
        <b/>
        <sz val="9"/>
        <color theme="1"/>
        <rFont val="Consolas"/>
        <family val="3"/>
        <charset val="1"/>
      </rPr>
      <t>Cureent</t>
    </r>
    <r>
      <rPr>
        <b/>
        <vertAlign val="superscript"/>
        <sz val="9"/>
        <color theme="1"/>
        <rFont val="Consolas"/>
        <family val="3"/>
        <charset val="1"/>
      </rPr>
      <t>2</t>
    </r>
  </si>
  <si>
    <r>
      <rPr>
        <b/>
        <sz val="9"/>
        <color theme="1"/>
        <rFont val="Consolas"/>
        <family val="3"/>
        <charset val="1"/>
      </rPr>
      <t>Power input</t>
    </r>
    <r>
      <rPr>
        <b/>
        <vertAlign val="superscript"/>
        <sz val="9"/>
        <color theme="1"/>
        <rFont val="Consolas"/>
        <family val="3"/>
        <charset val="1"/>
      </rPr>
      <t>2</t>
    </r>
  </si>
  <si>
    <r>
      <rPr>
        <b/>
        <sz val="9"/>
        <color theme="1"/>
        <rFont val="Consolas"/>
        <family val="3"/>
        <charset val="1"/>
      </rPr>
      <t>SFPv</t>
    </r>
    <r>
      <rPr>
        <b/>
        <vertAlign val="superscript"/>
        <sz val="9"/>
        <color theme="1"/>
        <rFont val="Consolas"/>
        <family val="3"/>
        <charset val="1"/>
      </rPr>
      <t>3</t>
    </r>
  </si>
  <si>
    <r>
      <rPr>
        <sz val="9"/>
        <color theme="1"/>
        <rFont val="Consolas"/>
        <family val="3"/>
        <charset val="1"/>
      </rPr>
      <t>kW/m</t>
    </r>
    <r>
      <rPr>
        <vertAlign val="superscript"/>
        <sz val="9"/>
        <color theme="1"/>
        <rFont val="Consolas"/>
        <family val="3"/>
        <charset val="1"/>
      </rPr>
      <t>3</t>
    </r>
    <r>
      <rPr>
        <sz val="9"/>
        <color theme="1"/>
        <rFont val="Consolas"/>
        <family val="3"/>
        <charset val="1"/>
      </rPr>
      <t>/s</t>
    </r>
  </si>
  <si>
    <t>Electrical supply</t>
  </si>
  <si>
    <t>phase</t>
  </si>
  <si>
    <t>ph</t>
  </si>
  <si>
    <t>Frequency</t>
  </si>
  <si>
    <t>Hz</t>
  </si>
  <si>
    <t>Voltage</t>
  </si>
  <si>
    <t>Dimension Unit</t>
  </si>
  <si>
    <t>Weight unit</t>
  </si>
  <si>
    <t>Ruangan</t>
  </si>
  <si>
    <r>
      <rPr>
        <b/>
        <sz val="9"/>
        <color theme="1"/>
        <rFont val="Consolas"/>
        <family val="3"/>
        <charset val="1"/>
      </rPr>
      <t>Kapasitas Udara Ruangan (m</t>
    </r>
    <r>
      <rPr>
        <b/>
        <vertAlign val="superscript"/>
        <sz val="9"/>
        <color theme="1"/>
        <rFont val="Consolas"/>
        <family val="3"/>
        <charset val="1"/>
      </rPr>
      <t>3</t>
    </r>
    <r>
      <rPr>
        <b/>
        <sz val="9"/>
        <color theme="1"/>
        <rFont val="Consolas"/>
        <family val="3"/>
        <charset val="1"/>
      </rPr>
      <t>/h)</t>
    </r>
  </si>
  <si>
    <t>Error %</t>
  </si>
  <si>
    <t>PFE Perhitungan</t>
  </si>
  <si>
    <t>Perhitungan</t>
  </si>
  <si>
    <t>PFE Katalog</t>
  </si>
  <si>
    <t>Perhitungan Katalog</t>
  </si>
  <si>
    <t>Catalogue Error %</t>
  </si>
  <si>
    <t>Material</t>
  </si>
  <si>
    <t>Harga per linear foot</t>
  </si>
  <si>
    <t>Alumunium</t>
  </si>
  <si>
    <t>$2 sd 5$</t>
  </si>
  <si>
    <t>Fiberglass</t>
  </si>
  <si>
    <t>$4 sd $7</t>
  </si>
  <si>
    <t>Galvanized steel</t>
  </si>
  <si>
    <t>$4 sd $12</t>
  </si>
  <si>
    <t>Polyester</t>
  </si>
  <si>
    <t>$1 sd $4</t>
  </si>
  <si>
    <t xml:space="preserve">Flex duct </t>
  </si>
  <si>
    <t>$1 sd $3</t>
  </si>
  <si>
    <t>PIPA</t>
  </si>
  <si>
    <t>DIAMETER</t>
  </si>
  <si>
    <t>METER</t>
  </si>
  <si>
    <t>FEET</t>
  </si>
  <si>
    <t>PER FEET (0.3048)</t>
  </si>
  <si>
    <t>TOTAL</t>
  </si>
  <si>
    <t>Pipe Entry Projecting</t>
  </si>
  <si>
    <t>P1</t>
  </si>
  <si>
    <t>250 mm</t>
  </si>
  <si>
    <t>P2</t>
  </si>
  <si>
    <t>Mitre Bend 90 deg.</t>
  </si>
  <si>
    <t>P3</t>
  </si>
  <si>
    <t>Through Tee</t>
  </si>
  <si>
    <t>P4</t>
  </si>
  <si>
    <t>200 mm</t>
  </si>
  <si>
    <t>P5</t>
  </si>
  <si>
    <t>150 mm</t>
  </si>
  <si>
    <t>Branch Tee</t>
  </si>
  <si>
    <t>P6</t>
  </si>
  <si>
    <t>P7</t>
  </si>
  <si>
    <t>125 mm</t>
  </si>
  <si>
    <t>Messroom</t>
  </si>
  <si>
    <t>80 mm</t>
  </si>
  <si>
    <t>P9</t>
  </si>
  <si>
    <t>100 mm</t>
  </si>
  <si>
    <t>P11</t>
  </si>
  <si>
    <t>P14</t>
  </si>
  <si>
    <t>P16</t>
  </si>
  <si>
    <t>P18</t>
  </si>
  <si>
    <t>P21</t>
  </si>
  <si>
    <t>P22</t>
  </si>
  <si>
    <t>P23</t>
  </si>
  <si>
    <t>P25</t>
  </si>
  <si>
    <t>P26</t>
  </si>
  <si>
    <t>P28</t>
  </si>
  <si>
    <t>P30</t>
  </si>
  <si>
    <t>P31</t>
  </si>
  <si>
    <t>P33</t>
  </si>
  <si>
    <t>P35</t>
  </si>
  <si>
    <t>P37</t>
  </si>
  <si>
    <t>P38</t>
  </si>
  <si>
    <t>P40</t>
  </si>
  <si>
    <t>P42</t>
  </si>
  <si>
    <t>P44</t>
  </si>
  <si>
    <t>P45</t>
  </si>
  <si>
    <t>P47</t>
  </si>
  <si>
    <t>P52</t>
  </si>
  <si>
    <t>P54</t>
  </si>
  <si>
    <t>TOTAL PIPE</t>
  </si>
  <si>
    <t>PIPE</t>
  </si>
  <si>
    <t>AHU</t>
  </si>
  <si>
    <t>Fitting</t>
  </si>
  <si>
    <t>Diffuser</t>
  </si>
  <si>
    <t>Damper</t>
  </si>
  <si>
    <t>Standard Bend</t>
  </si>
  <si>
    <t>Perancangan sistem  ruang pendinginin cargo / Akomodasi</t>
  </si>
  <si>
    <t>Maulana Muslim Dianto/0319040065/D4 ME 7B</t>
  </si>
  <si>
    <t>Awak Kapal (N)</t>
  </si>
  <si>
    <t>orang</t>
  </si>
  <si>
    <t>days</t>
  </si>
  <si>
    <t>freighters</t>
  </si>
  <si>
    <t>F</t>
  </si>
  <si>
    <t>for freighters</t>
  </si>
  <si>
    <t>1m3=</t>
  </si>
  <si>
    <t>ft3</t>
  </si>
  <si>
    <t>Volume Ruang</t>
  </si>
  <si>
    <t>L</t>
  </si>
  <si>
    <t>High Celling (T)</t>
  </si>
  <si>
    <t>Net Floor</t>
  </si>
  <si>
    <t>gross volume</t>
  </si>
  <si>
    <t>Density (pcf)</t>
  </si>
  <si>
    <t>Beban Produk (lb)</t>
  </si>
  <si>
    <t>Fish Store</t>
  </si>
  <si>
    <t>Vegetable Store</t>
  </si>
  <si>
    <t>Meat Store</t>
  </si>
  <si>
    <t>Item</t>
  </si>
  <si>
    <t>Meat and Fish</t>
  </si>
  <si>
    <t>Fruit and Vegetables</t>
  </si>
  <si>
    <t>Dairy Product</t>
  </si>
  <si>
    <t>Specific heat in Btu/lb F</t>
  </si>
  <si>
    <t>Quarter Master+assistant cook+electrican man+fireman</t>
  </si>
  <si>
    <t>seaman+oiler</t>
  </si>
  <si>
    <t>oiler+seaman</t>
  </si>
  <si>
    <t>boys+steward</t>
  </si>
  <si>
    <t>galley</t>
  </si>
  <si>
    <t>office</t>
  </si>
  <si>
    <t>Kecepatan Angin Rata - Rata Jeddah</t>
  </si>
  <si>
    <t xml:space="preserve">U Factor </t>
  </si>
  <si>
    <t>Luas</t>
  </si>
  <si>
    <t>Jendela</t>
  </si>
  <si>
    <t>Double Kaca</t>
  </si>
  <si>
    <t xml:space="preserve">Ukuran </t>
  </si>
  <si>
    <t>Diameter</t>
  </si>
  <si>
    <t xml:space="preserve">Ducting </t>
  </si>
  <si>
    <t>Pembacaan</t>
  </si>
  <si>
    <t>175 x 150</t>
  </si>
  <si>
    <t>Vr = Vs - Vfa</t>
  </si>
  <si>
    <r>
      <rPr>
        <sz val="11"/>
        <color theme="1"/>
        <rFont val="Calibri Light"/>
        <family val="2"/>
        <charset val="1"/>
      </rPr>
      <t>35</t>
    </r>
    <r>
      <rPr>
        <sz val="11"/>
        <color theme="1"/>
        <rFont val="Calibri"/>
        <family val="2"/>
        <charset val="1"/>
      </rPr>
      <t>°C</t>
    </r>
  </si>
  <si>
    <r>
      <rPr>
        <sz val="11"/>
        <color theme="1"/>
        <rFont val="Calibri Light"/>
        <family val="2"/>
        <charset val="1"/>
      </rPr>
      <t>27</t>
    </r>
    <r>
      <rPr>
        <sz val="11"/>
        <color theme="1"/>
        <rFont val="Calibri"/>
        <family val="2"/>
        <charset val="1"/>
      </rPr>
      <t>°C</t>
    </r>
  </si>
  <si>
    <t>Beban</t>
  </si>
  <si>
    <t>Panas</t>
  </si>
  <si>
    <t xml:space="preserve">JANGKAR </t>
  </si>
  <si>
    <t>Cbwl</t>
  </si>
  <si>
    <t>Penentuan jangkar berdasarkan peraturan BKI 1996 Vol. III</t>
  </si>
  <si>
    <t>Z = D^2/3 + 2.H.B + A/10</t>
  </si>
  <si>
    <t>D = Displacement kapal</t>
  </si>
  <si>
    <t>B = Lebar kapal</t>
  </si>
  <si>
    <t>H = fb + ƩH</t>
  </si>
  <si>
    <t>fb = Lambung timbul (H-T)</t>
  </si>
  <si>
    <t>ƩH = jumlah bangunan atas x tinggi masing-masing bangunan atas tsb</t>
  </si>
  <si>
    <t>A = Luas penampang membujur dr bangunan atas di atas garis air pd center line</t>
  </si>
  <si>
    <t>D=</t>
  </si>
  <si>
    <t>Lwl x B x T x Cbwl x ρ</t>
  </si>
  <si>
    <t>fb + ƩH</t>
  </si>
  <si>
    <t>(H-T) + (jumlah lt x tinggi)</t>
  </si>
  <si>
    <t>deck</t>
  </si>
  <si>
    <t>tinggi</t>
  </si>
  <si>
    <t>lebar</t>
  </si>
  <si>
    <t>main</t>
  </si>
  <si>
    <t>poop</t>
  </si>
  <si>
    <t>boat</t>
  </si>
  <si>
    <t>(LWL x T) + (luas bangunan atas)</t>
  </si>
  <si>
    <t>bridge</t>
  </si>
  <si>
    <t>navigation</t>
  </si>
  <si>
    <t>Z=</t>
  </si>
  <si>
    <t>D^2/3 + 2.H.B + A/10</t>
  </si>
  <si>
    <t>BKI - Part1 - Vol II - 2022 - Rules for Hull</t>
  </si>
  <si>
    <t xml:space="preserve">Berdasarkan pada tabel BKI jilid II tahun 2006 section 18, maka dengan nilai </t>
  </si>
  <si>
    <t>Z =</t>
  </si>
  <si>
    <t xml:space="preserve">diperoleh data jangkar sebagai berikut : </t>
  </si>
  <si>
    <t>1.</t>
  </si>
  <si>
    <t>Jangkar</t>
  </si>
  <si>
    <t>jumlah jangkar</t>
  </si>
  <si>
    <t>buah</t>
  </si>
  <si>
    <t>berat jangkar</t>
  </si>
  <si>
    <t>2.</t>
  </si>
  <si>
    <t>Rantai jangkar</t>
  </si>
  <si>
    <t>panjang rantai jangkar</t>
  </si>
  <si>
    <t>diameter rantai jangkar</t>
  </si>
  <si>
    <t>d1</t>
  </si>
  <si>
    <t>d2</t>
  </si>
  <si>
    <t>d3</t>
  </si>
  <si>
    <t>3.</t>
  </si>
  <si>
    <t>Tali tarik</t>
  </si>
  <si>
    <t xml:space="preserve">panjang </t>
  </si>
  <si>
    <t>beban putus</t>
  </si>
  <si>
    <t>4.</t>
  </si>
  <si>
    <t>tali tambat (mooring ropes)</t>
  </si>
  <si>
    <t>jumlah tali tambat</t>
  </si>
  <si>
    <t>panjang</t>
  </si>
  <si>
    <t>WINDLASS</t>
  </si>
  <si>
    <t>windlass direncanakan diletakkan di forecastle deck untuk menaikkan dan menurunkan</t>
  </si>
  <si>
    <t>jangkar.</t>
  </si>
  <si>
    <t xml:space="preserve">1. </t>
  </si>
  <si>
    <t>gaya tarik angkat jangkar (Tcl)</t>
  </si>
  <si>
    <t>kutrang Tcl satu jangkar</t>
  </si>
  <si>
    <t xml:space="preserve">Tcl = 2,35 x (Ga + (Pa x La)) </t>
  </si>
  <si>
    <t>Tcl = 1,175 x (Ga + (Pa x La)</t>
  </si>
  <si>
    <t>Ga = berat jangkar</t>
  </si>
  <si>
    <t>La = panjang rantai jangkar yang menggantung</t>
  </si>
  <si>
    <t>Pa = berat rantai jangkar permeter</t>
  </si>
  <si>
    <t xml:space="preserve">Pa = </t>
  </si>
  <si>
    <t>0.023 * d^2</t>
  </si>
  <si>
    <t>diameter =</t>
  </si>
  <si>
    <t>sehingga :</t>
  </si>
  <si>
    <t>Torsi pada kabel lifter (Mcl)</t>
  </si>
  <si>
    <t>Mcl = (Tcl x Dcl)/(2 x efisiensi kabel lifter)</t>
  </si>
  <si>
    <t>Dcl = diameter efektif kabel lifter</t>
  </si>
  <si>
    <t>Dcl = 0,0136 x dc</t>
  </si>
  <si>
    <t>dc =</t>
  </si>
  <si>
    <t>efisiensi kabel lifter (0,9-0,92) diambil =</t>
  </si>
  <si>
    <t>kgm</t>
  </si>
  <si>
    <t>Torsi pada poros motor (Mm)</t>
  </si>
  <si>
    <t>Mm = Mcl / (ia x efisiensi peralatan mesin jangkar)</t>
  </si>
  <si>
    <t>ia = perbandingan putaran poros motor windlass dengan putaran kabel lifter</t>
  </si>
  <si>
    <t>ia = nm / ncl</t>
  </si>
  <si>
    <t>untuk windlass yang digerakkan listrik, putaran motor penggerak (nm) =</t>
  </si>
  <si>
    <t>ncl = putaran kabel lifter (marine auxiliary machinary and system, hal : 408)</t>
  </si>
  <si>
    <t>ncl = (60xVa)/0,04d</t>
  </si>
  <si>
    <t>jadi, ia = nm / ncl</t>
  </si>
  <si>
    <t xml:space="preserve">untuk efisiensi peralatan mesin jangkar (0,7-0,85) diambil </t>
  </si>
  <si>
    <t>daya efektif windlass</t>
  </si>
  <si>
    <t>Pe = (Mm x Nm)/716,2</t>
  </si>
  <si>
    <t>CAPSTAN</t>
  </si>
  <si>
    <t>Data mooring rope (tali tambat)</t>
  </si>
  <si>
    <t xml:space="preserve">jumlah tali </t>
  </si>
  <si>
    <t>panjang tali</t>
  </si>
  <si>
    <t>gaya tarik pada capstan</t>
  </si>
  <si>
    <t>TWB = Pbr (beban putus) / 6</t>
  </si>
  <si>
    <t>putaran pada poros penggulung capstan (Nw)</t>
  </si>
  <si>
    <t>Nw = (19,1 x Vw)/(Dw+dw)</t>
  </si>
  <si>
    <t xml:space="preserve">Vw = kecepatan tarik capstan diambil </t>
  </si>
  <si>
    <t xml:space="preserve">dw = diameter tali tambat </t>
  </si>
  <si>
    <t>(NIKA-DualForce Nylon Rope)</t>
  </si>
  <si>
    <t>Dw = diameter penggulung tali (5-8)dw, diambil 7dw</t>
  </si>
  <si>
    <t>Momen torsi penggulung (Mm)</t>
  </si>
  <si>
    <t>Mm = Twb x (Dw + dw) / (2 x Ia x efisiensi motor)</t>
  </si>
  <si>
    <t xml:space="preserve">efisiensi motor penggulung capstan </t>
  </si>
  <si>
    <t xml:space="preserve">Nm = putaran motor capstan jenis elektrik (800-1450) rpm, diambil </t>
  </si>
  <si>
    <t>Ia = Nm / Nw</t>
  </si>
  <si>
    <t>5.</t>
  </si>
  <si>
    <t>Daya motor capstan (Ne)</t>
  </si>
  <si>
    <t>Pe = (Mm x Nm)/975</t>
  </si>
  <si>
    <t>PERHITUNGAN VOLUME CHAIN LOCKER</t>
  </si>
  <si>
    <t xml:space="preserve">Volume chain locker dihitung berdasarkan dari panjang dan diameter rantai jangkar. Dalam perencanaan </t>
  </si>
  <si>
    <t>ditambah volume cadangan kurang lebih 20%. Pada chain locker diberi dekat pemisah antara kotak</t>
  </si>
  <si>
    <t>sebelah kanan dan kotak sebelah kiri.</t>
  </si>
  <si>
    <t>diketahui :</t>
  </si>
  <si>
    <t>panjang tali rantai</t>
  </si>
  <si>
    <t>panjang tali dalam fathom</t>
  </si>
  <si>
    <t>15 fathom = 25 m</t>
  </si>
  <si>
    <t>15 x 522.5/25</t>
  </si>
  <si>
    <t>diameter rantai jangkar dalam inch</t>
  </si>
  <si>
    <t>fathom</t>
  </si>
  <si>
    <t>50 mm/25,4</t>
  </si>
  <si>
    <t>inch</t>
  </si>
  <si>
    <t>maka volume chain locker adalah :</t>
  </si>
  <si>
    <t>Sm =</t>
  </si>
  <si>
    <t>(panjang tali/100) x d^2</t>
  </si>
  <si>
    <t>untuk perencanaan volume ditambah 20%, maka :</t>
  </si>
  <si>
    <t>(20% x Sm) + Sm</t>
  </si>
  <si>
    <t>perencanaan ukuran chair locker :</t>
  </si>
  <si>
    <t>volume chain locker yang di pakai :</t>
  </si>
  <si>
    <t>V = P x L x T</t>
  </si>
  <si>
    <t>STEERING GEAR</t>
  </si>
  <si>
    <t>Berdasarkan BKI, Luas daun kemudi :</t>
  </si>
  <si>
    <t>A = ((T x L)/100) / (1 + 25 (B/L)^2)</t>
  </si>
  <si>
    <t>sarat kapal</t>
  </si>
  <si>
    <t xml:space="preserve">L = </t>
  </si>
  <si>
    <t>panjang kapal</t>
  </si>
  <si>
    <t>lebar kapal</t>
  </si>
  <si>
    <t>m^2</t>
  </si>
  <si>
    <t>Luas balansir :</t>
  </si>
  <si>
    <t>A' =</t>
  </si>
  <si>
    <t xml:space="preserve">23% x A </t>
  </si>
  <si>
    <t>untuk baling-baling tunggal dengan kemudi balansir :</t>
  </si>
  <si>
    <t>h / b</t>
  </si>
  <si>
    <t>h = tinggi kemudi</t>
  </si>
  <si>
    <t>b = lebar kemudi</t>
  </si>
  <si>
    <t>h = λ x b = 1,8 x b</t>
  </si>
  <si>
    <t>A = h x b = 1,8 x b^2</t>
  </si>
  <si>
    <t>b^2 = A / 1,8</t>
  </si>
  <si>
    <t>b^2 = 4.694 / 1,8</t>
  </si>
  <si>
    <t xml:space="preserve">b^2 = </t>
  </si>
  <si>
    <t xml:space="preserve">b = </t>
  </si>
  <si>
    <t>maka :</t>
  </si>
  <si>
    <t>h = 1,8 x b</t>
  </si>
  <si>
    <t>x' = A' / h</t>
  </si>
  <si>
    <t>kapsitas mesin kemudi (power steering gear)</t>
  </si>
  <si>
    <t>dasarnya adalah gaya dan momen yang bekerja pada mesin tersebut</t>
  </si>
  <si>
    <t>gaya normal kemudi (Pn)</t>
  </si>
  <si>
    <t>Pn = 1,56 x A x Va^2 x sin α</t>
  </si>
  <si>
    <t>A = luas daun kemudi (m^2)</t>
  </si>
  <si>
    <t>Va = kecepatan kapal (knot)</t>
  </si>
  <si>
    <t>sin α = 35°</t>
  </si>
  <si>
    <t>Momen puntir kemudi (Mp)</t>
  </si>
  <si>
    <t>Mp = Pn ( x - a )</t>
  </si>
  <si>
    <t>x = b ( 0,195 + 0,305 sin 35°)</t>
  </si>
  <si>
    <t xml:space="preserve">a = jarak poros kemudi </t>
  </si>
  <si>
    <t>Daya steering gear ( D )</t>
  </si>
  <si>
    <t xml:space="preserve">D = ( 1,4 x Mp x nrs ) / ( 1000 x sg ) </t>
  </si>
  <si>
    <t>nrs = 1/3 x (35°/30°)</t>
  </si>
  <si>
    <t>sg = 0,1 s/d 0,35</t>
  </si>
  <si>
    <t>diambil =</t>
  </si>
  <si>
    <t>D = ( 1,4 x Mp x nrs ) / (1000 x sg )</t>
  </si>
  <si>
    <t>diameter tongkat kemudi (Dt)</t>
  </si>
  <si>
    <t>menurut BKI Volume II 1996 :</t>
  </si>
  <si>
    <t>Dt = 9 x Mp^1/3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</si>
</sst>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00"/>
    <numFmt numFmtId="165" formatCode="dd\-mmm"/>
    <numFmt numFmtId="166" formatCode="0.00_ "/>
    <numFmt numFmtId="167" formatCode="0.00000"/>
    <numFmt numFmtId="168" formatCode="0.0000000"/>
    <numFmt numFmtId="169" formatCode="0.00000000"/>
    <numFmt numFmtId="170" formatCode="0.000E+00"/>
    <numFmt numFmtId="171" formatCode="0.000000000"/>
    <numFmt numFmtId="172" formatCode="0.000000"/>
    <numFmt numFmtId="173" formatCode="0.000"/>
    <numFmt numFmtId="174" formatCode="0E+00"/>
    <numFmt numFmtId="175" formatCode="0.0"/>
    <numFmt numFmtId="176" formatCode="#,##0.000"/>
    <numFmt numFmtId="177" formatCode="0.0%"/>
    <numFmt numFmtId="178" formatCode="0.0000000000"/>
    <numFmt numFmtId="179" formatCode="0.000_ "/>
    <numFmt numFmtId="180" formatCode="_-[$$-409]* #,##0.00_ ;_-[$$-409]* \-#,##0.00\ ;_-[$$-409]* \-??_ ;_-@_ "/>
    <numFmt numFmtId="181" formatCode="_-[$Rp-3809]* #,##0.00_-;\-[$Rp-3809]* #,##0.00_-;_-[$Rp-3809]* \-??_-;_-@_-"/>
    <numFmt numFmtId="182" formatCode="_-&quot;Rp&quot;* #,##0_-;&quot;-Rp&quot;* #,##0_-;_-&quot;Rp&quot;* \-_-;_-@_-"/>
    <numFmt numFmtId="183" formatCode="_-[$$-409]* #,##0.0_ ;_-[$$-409]* \-#,##0.0\ ;_-[$$-409]* \-??_ ;_-@_ "/>
  </numFmts>
  <fonts count="96" x14ac:knownFonts="1">
    <font>
      <sz val="12"/>
      <color theme="1"/>
      <name val="Calibri"/>
      <family val="2"/>
      <charset val="1"/>
    </font>
    <font>
      <sz val="11"/>
      <color theme="1"/>
      <name val="Calibri"/>
      <family val="2"/>
      <charset val="1"/>
    </font>
    <font>
      <sz val="10"/>
      <name val="Arial"/>
      <family val="2"/>
      <charset val="1"/>
    </font>
    <font>
      <sz val="11"/>
      <color rgb="FF000000"/>
      <name val="Calibri"/>
      <family val="2"/>
      <charset val="1"/>
    </font>
    <font>
      <b/>
      <sz val="11"/>
      <color theme="1"/>
      <name val="Calibri"/>
      <family val="2"/>
      <charset val="1"/>
    </font>
    <font>
      <b/>
      <sz val="12"/>
      <color theme="1"/>
      <name val="Calibri"/>
      <family val="2"/>
      <charset val="1"/>
    </font>
    <font>
      <sz val="8"/>
      <color theme="1"/>
      <name val="Calibri"/>
      <family val="2"/>
      <charset val="1"/>
    </font>
    <font>
      <b/>
      <sz val="11"/>
      <color rgb="FF000000"/>
      <name val="Calibri"/>
      <family val="2"/>
      <charset val="1"/>
    </font>
    <font>
      <b/>
      <i/>
      <sz val="11"/>
      <color rgb="FF000000"/>
      <name val="Calibri"/>
      <family val="2"/>
      <charset val="1"/>
    </font>
    <font>
      <sz val="12"/>
      <color rgb="FF006100"/>
      <name val="Calibri"/>
      <family val="2"/>
      <charset val="1"/>
    </font>
    <font>
      <sz val="11"/>
      <name val="Calibri"/>
      <family val="2"/>
      <charset val="1"/>
    </font>
    <font>
      <b/>
      <sz val="11"/>
      <name val="Calibri"/>
      <family val="2"/>
      <charset val="1"/>
    </font>
    <font>
      <vertAlign val="subscript"/>
      <sz val="11"/>
      <name val="Calibri"/>
      <family val="2"/>
      <charset val="1"/>
    </font>
    <font>
      <sz val="12"/>
      <color rgb="FF000000"/>
      <name val="Calibri"/>
      <family val="2"/>
      <charset val="1"/>
    </font>
    <font>
      <b/>
      <sz val="12"/>
      <color rgb="FF000000"/>
      <name val="Calibri"/>
      <family val="2"/>
      <charset val="1"/>
    </font>
    <font>
      <b/>
      <i/>
      <sz val="12"/>
      <color rgb="FF000000"/>
      <name val="Calibri"/>
      <family val="2"/>
      <charset val="1"/>
    </font>
    <font>
      <i/>
      <sz val="12"/>
      <color rgb="FF000000"/>
      <name val="Calibri"/>
      <family val="2"/>
      <charset val="1"/>
    </font>
    <font>
      <sz val="12"/>
      <name val="Calibri"/>
      <family val="2"/>
      <charset val="1"/>
    </font>
    <font>
      <vertAlign val="superscript"/>
      <sz val="12"/>
      <name val="Calibri"/>
      <family val="2"/>
      <charset val="1"/>
    </font>
    <font>
      <vertAlign val="subscript"/>
      <sz val="12"/>
      <name val="Calibri"/>
      <family val="2"/>
      <charset val="1"/>
    </font>
    <font>
      <b/>
      <sz val="12"/>
      <name val="Calibri"/>
      <family val="2"/>
      <charset val="1"/>
    </font>
    <font>
      <b/>
      <vertAlign val="subscript"/>
      <sz val="12"/>
      <name val="Calibri"/>
      <family val="2"/>
      <charset val="1"/>
    </font>
    <font>
      <b/>
      <vertAlign val="superscript"/>
      <sz val="12"/>
      <name val="Calibri"/>
      <family val="2"/>
      <charset val="1"/>
    </font>
    <font>
      <sz val="12"/>
      <color rgb="FFFF0000"/>
      <name val="Calibri"/>
      <family val="2"/>
      <charset val="1"/>
    </font>
    <font>
      <vertAlign val="subscript"/>
      <sz val="12"/>
      <color rgb="FF000000"/>
      <name val="Calibri"/>
      <family val="2"/>
      <charset val="1"/>
    </font>
    <font>
      <sz val="9"/>
      <color theme="1"/>
      <name val="Consolas"/>
      <family val="3"/>
      <charset val="1"/>
    </font>
    <font>
      <sz val="9"/>
      <color rgb="FF000000"/>
      <name val="Consolas"/>
      <family val="3"/>
      <charset val="1"/>
    </font>
    <font>
      <b/>
      <sz val="9"/>
      <color rgb="FF000000"/>
      <name val="Consolas"/>
      <family val="3"/>
      <charset val="1"/>
    </font>
    <font>
      <b/>
      <sz val="9"/>
      <name val="Consolas"/>
      <family val="3"/>
      <charset val="1"/>
    </font>
    <font>
      <sz val="9"/>
      <name val="Consolas"/>
      <family val="3"/>
      <charset val="1"/>
    </font>
    <font>
      <vertAlign val="subscript"/>
      <sz val="9"/>
      <name val="Consolas"/>
      <family val="3"/>
      <charset val="1"/>
    </font>
    <font>
      <b/>
      <i/>
      <sz val="9"/>
      <color rgb="FF000000"/>
      <name val="Consolas"/>
      <family val="3"/>
      <charset val="1"/>
    </font>
    <font>
      <b/>
      <vertAlign val="subscript"/>
      <sz val="9"/>
      <color rgb="FF000000"/>
      <name val="Consolas"/>
      <family val="3"/>
      <charset val="1"/>
    </font>
    <font>
      <vertAlign val="subscript"/>
      <sz val="9"/>
      <color rgb="FF000000"/>
      <name val="Consolas"/>
      <family val="3"/>
      <charset val="1"/>
    </font>
    <font>
      <sz val="9"/>
      <color rgb="FF006100"/>
      <name val="Consolas"/>
      <family val="3"/>
      <charset val="1"/>
    </font>
    <font>
      <i/>
      <sz val="9"/>
      <color rgb="FF000000"/>
      <name val="Consolas"/>
      <family val="3"/>
      <charset val="1"/>
    </font>
    <font>
      <vertAlign val="superscript"/>
      <sz val="9"/>
      <color rgb="FF000000"/>
      <name val="Consolas"/>
      <family val="3"/>
      <charset val="1"/>
    </font>
    <font>
      <b/>
      <vertAlign val="superscript"/>
      <sz val="9"/>
      <name val="Consolas"/>
      <family val="3"/>
      <charset val="1"/>
    </font>
    <font>
      <b/>
      <sz val="12"/>
      <color rgb="FFFA7D00"/>
      <name val="Calibri"/>
      <family val="2"/>
      <charset val="1"/>
    </font>
    <font>
      <b/>
      <sz val="9"/>
      <color rgb="FFFA7D00"/>
      <name val="Consolas"/>
      <family val="3"/>
      <charset val="1"/>
    </font>
    <font>
      <sz val="12"/>
      <color theme="0"/>
      <name val="Calibri"/>
      <family val="2"/>
      <charset val="1"/>
    </font>
    <font>
      <sz val="9"/>
      <color theme="0"/>
      <name val="Consolas"/>
      <family val="3"/>
      <charset val="1"/>
    </font>
    <font>
      <b/>
      <sz val="12"/>
      <color theme="0"/>
      <name val="Calibri"/>
      <family val="2"/>
      <charset val="1"/>
    </font>
    <font>
      <u/>
      <sz val="9"/>
      <name val="Consolas"/>
      <family val="3"/>
      <charset val="1"/>
    </font>
    <font>
      <vertAlign val="superscript"/>
      <sz val="9"/>
      <name val="Consolas"/>
      <family val="3"/>
      <charset val="1"/>
    </font>
    <font>
      <b/>
      <vertAlign val="subscript"/>
      <sz val="9"/>
      <name val="Consolas"/>
      <family val="3"/>
      <charset val="1"/>
    </font>
    <font>
      <sz val="12"/>
      <color theme="1"/>
      <name val="Consolas"/>
      <family val="3"/>
      <charset val="1"/>
    </font>
    <font>
      <sz val="12"/>
      <color rgb="FF000000"/>
      <name val="Consolas"/>
      <family val="3"/>
      <charset val="1"/>
    </font>
    <font>
      <b/>
      <sz val="12"/>
      <color rgb="FF000000"/>
      <name val="Consolas"/>
      <family val="3"/>
      <charset val="1"/>
    </font>
    <font>
      <b/>
      <sz val="12"/>
      <name val="Consolas"/>
      <family val="3"/>
      <charset val="1"/>
    </font>
    <font>
      <sz val="12"/>
      <name val="Consolas"/>
      <family val="3"/>
      <charset val="1"/>
    </font>
    <font>
      <vertAlign val="subscript"/>
      <sz val="12"/>
      <name val="Consolas"/>
      <family val="3"/>
      <charset val="1"/>
    </font>
    <font>
      <vertAlign val="subscript"/>
      <sz val="9"/>
      <color theme="1"/>
      <name val="Consolas"/>
      <family val="3"/>
      <charset val="1"/>
    </font>
    <font>
      <b/>
      <sz val="9"/>
      <color theme="1"/>
      <name val="Consolas"/>
      <family val="3"/>
      <charset val="1"/>
    </font>
    <font>
      <vertAlign val="superscript"/>
      <sz val="9"/>
      <color theme="1"/>
      <name val="Consolas"/>
      <family val="3"/>
      <charset val="1"/>
    </font>
    <font>
      <sz val="9"/>
      <color rgb="FF969696"/>
      <name val="Consolas"/>
      <family val="3"/>
      <charset val="1"/>
    </font>
    <font>
      <b/>
      <sz val="9"/>
      <color theme="0" tint="-0.89999084444715716"/>
      <name val="Consolas"/>
      <family val="3"/>
      <charset val="1"/>
    </font>
    <font>
      <sz val="9"/>
      <color theme="0" tint="-0.89999084444715716"/>
      <name val="Consolas"/>
      <family val="3"/>
      <charset val="1"/>
    </font>
    <font>
      <i/>
      <sz val="9"/>
      <color theme="1"/>
      <name val="Consolas"/>
      <family val="3"/>
      <charset val="1"/>
    </font>
    <font>
      <sz val="9"/>
      <color rgb="FF00B050"/>
      <name val="Consolas"/>
      <family val="3"/>
      <charset val="1"/>
    </font>
    <font>
      <b/>
      <vertAlign val="subscript"/>
      <sz val="9"/>
      <color theme="1"/>
      <name val="Consolas"/>
      <family val="3"/>
      <charset val="1"/>
    </font>
    <font>
      <i/>
      <sz val="9"/>
      <name val="Consolas"/>
      <family val="3"/>
      <charset val="1"/>
    </font>
    <font>
      <sz val="9"/>
      <color rgb="FFFF0000"/>
      <name val="Consolas"/>
      <family val="3"/>
      <charset val="1"/>
    </font>
    <font>
      <i/>
      <sz val="9"/>
      <color rgb="FF00B050"/>
      <name val="Consolas"/>
      <family val="3"/>
      <charset val="1"/>
    </font>
    <font>
      <sz val="11"/>
      <color theme="1"/>
      <name val="Consolas"/>
      <family val="3"/>
      <charset val="1"/>
    </font>
    <font>
      <b/>
      <sz val="9"/>
      <color theme="0"/>
      <name val="Consolas"/>
      <family val="3"/>
      <charset val="1"/>
    </font>
    <font>
      <vertAlign val="subscript"/>
      <sz val="12"/>
      <color rgb="FF000000"/>
      <name val="Consolas"/>
      <family val="3"/>
      <charset val="1"/>
    </font>
    <font>
      <vertAlign val="superscript"/>
      <sz val="12"/>
      <color rgb="FF000000"/>
      <name val="Consolas"/>
      <family val="3"/>
      <charset val="1"/>
    </font>
    <font>
      <sz val="12"/>
      <color rgb="FF006100"/>
      <name val="Consolas"/>
      <family val="3"/>
      <charset val="1"/>
    </font>
    <font>
      <b/>
      <sz val="12"/>
      <color theme="1"/>
      <name val="Consolas"/>
      <family val="3"/>
      <charset val="1"/>
    </font>
    <font>
      <b/>
      <vertAlign val="subscript"/>
      <sz val="12"/>
      <color rgb="FF000000"/>
      <name val="Consolas"/>
      <family val="3"/>
      <charset val="1"/>
    </font>
    <font>
      <i/>
      <sz val="12"/>
      <color rgb="FF000000"/>
      <name val="Consolas"/>
      <family val="3"/>
      <charset val="1"/>
    </font>
    <font>
      <u/>
      <sz val="12"/>
      <name val="Consolas"/>
      <family val="3"/>
      <charset val="1"/>
    </font>
    <font>
      <sz val="10"/>
      <color theme="1"/>
      <name val="Calibri"/>
      <family val="2"/>
      <charset val="1"/>
    </font>
    <font>
      <sz val="10"/>
      <name val="Calibri"/>
      <family val="2"/>
      <charset val="1"/>
    </font>
    <font>
      <sz val="10"/>
      <color theme="1"/>
      <name val="Consolas"/>
      <family val="3"/>
      <charset val="1"/>
    </font>
    <font>
      <sz val="12"/>
      <color theme="1"/>
      <name val="Tahoma"/>
      <family val="2"/>
      <charset val="1"/>
    </font>
    <font>
      <i/>
      <sz val="11"/>
      <color theme="1"/>
      <name val="Calibri"/>
      <family val="2"/>
      <charset val="1"/>
    </font>
    <font>
      <vertAlign val="superscript"/>
      <sz val="11"/>
      <name val="Calibri"/>
      <family val="2"/>
      <charset val="1"/>
    </font>
    <font>
      <b/>
      <i/>
      <sz val="11"/>
      <name val="Calibri"/>
      <family val="2"/>
      <charset val="1"/>
    </font>
    <font>
      <i/>
      <sz val="11"/>
      <name val="Calibri"/>
      <family val="2"/>
      <charset val="1"/>
    </font>
    <font>
      <vertAlign val="superscript"/>
      <sz val="11"/>
      <color theme="1"/>
      <name val="Calibri"/>
      <family val="2"/>
      <charset val="1"/>
    </font>
    <font>
      <b/>
      <i/>
      <sz val="12"/>
      <color theme="1"/>
      <name val="Calibri"/>
      <family val="2"/>
      <charset val="1"/>
    </font>
    <font>
      <i/>
      <sz val="12"/>
      <color theme="1"/>
      <name val="Calibri"/>
      <family val="2"/>
      <charset val="1"/>
    </font>
    <font>
      <sz val="12"/>
      <color rgb="FF9C5700"/>
      <name val="Calibri"/>
      <family val="2"/>
      <charset val="1"/>
    </font>
    <font>
      <b/>
      <i/>
      <sz val="12"/>
      <name val="Calibri"/>
      <family val="2"/>
      <charset val="1"/>
    </font>
    <font>
      <i/>
      <sz val="12"/>
      <name val="Calibri"/>
      <family val="2"/>
      <charset val="1"/>
    </font>
    <font>
      <b/>
      <vertAlign val="superscript"/>
      <sz val="9"/>
      <color theme="1"/>
      <name val="Consolas"/>
      <family val="3"/>
      <charset val="1"/>
    </font>
    <font>
      <b/>
      <sz val="11"/>
      <color rgb="FFFF0000"/>
      <name val="Calibri"/>
      <family val="2"/>
      <charset val="1"/>
    </font>
    <font>
      <sz val="11"/>
      <color theme="1"/>
      <name val="Times New Roman"/>
      <family val="1"/>
      <charset val="1"/>
    </font>
    <font>
      <sz val="11"/>
      <color theme="1"/>
      <name val="Times New Roman"/>
      <family val="2"/>
      <charset val="1"/>
    </font>
    <font>
      <sz val="11"/>
      <color theme="1"/>
      <name val="Calibri Light"/>
      <family val="2"/>
      <charset val="1"/>
    </font>
    <font>
      <b/>
      <sz val="11"/>
      <color theme="1"/>
      <name val="Calibri Light"/>
      <family val="2"/>
      <charset val="1"/>
    </font>
    <font>
      <b/>
      <sz val="12"/>
      <color theme="1"/>
      <name val="Calibri Light"/>
      <family val="2"/>
      <charset val="1"/>
    </font>
    <font>
      <sz val="12"/>
      <color theme="1"/>
      <name val="Calibri Light"/>
      <family val="2"/>
      <charset val="1"/>
    </font>
    <font>
      <sz val="12"/>
      <color theme="1"/>
      <name val="Calibri"/>
      <family val="2"/>
      <charset val="1"/>
    </font>
  </fonts>
  <fills count="36">
    <fill>
      <patternFill patternType="none"/>
    </fill>
    <fill>
      <patternFill patternType="gray125"/>
    </fill>
    <fill>
      <patternFill patternType="solid">
        <fgColor rgb="FFC6EFCE"/>
        <bgColor rgb="FFCEDEE2"/>
      </patternFill>
    </fill>
    <fill>
      <patternFill patternType="solid">
        <fgColor rgb="FFF2F2F2"/>
        <bgColor rgb="FFFFFFFF"/>
      </patternFill>
    </fill>
    <fill>
      <patternFill patternType="solid">
        <fgColor theme="9" tint="0.39988402966399123"/>
        <bgColor rgb="FF9DABC4"/>
      </patternFill>
    </fill>
    <fill>
      <patternFill patternType="solid">
        <fgColor theme="4"/>
        <bgColor rgb="FF8784C7"/>
      </patternFill>
    </fill>
    <fill>
      <patternFill patternType="solid">
        <fgColor theme="8"/>
        <bgColor rgb="FF87ACBF"/>
      </patternFill>
    </fill>
    <fill>
      <patternFill patternType="solid">
        <fgColor rgb="FFA5A5A5"/>
        <bgColor rgb="FFA6A6A6"/>
      </patternFill>
    </fill>
    <fill>
      <patternFill patternType="solid">
        <fgColor rgb="FFFFEB9C"/>
        <bgColor rgb="FFFFFFCC"/>
      </patternFill>
    </fill>
    <fill>
      <patternFill patternType="solid">
        <fgColor theme="4" tint="0.59987182226020086"/>
        <bgColor rgb="FFD4D3DD"/>
      </patternFill>
    </fill>
    <fill>
      <patternFill patternType="solid">
        <fgColor theme="5" tint="0.59987182226020086"/>
        <bgColor rgb="FFD4D3DD"/>
      </patternFill>
    </fill>
    <fill>
      <patternFill patternType="solid">
        <fgColor rgb="FFFF99FF"/>
        <bgColor rgb="FFCEB5DD"/>
      </patternFill>
    </fill>
    <fill>
      <patternFill patternType="solid">
        <fgColor theme="2" tint="-9.9978637043366805E-2"/>
        <bgColor rgb="FFC5CDCE"/>
      </patternFill>
    </fill>
    <fill>
      <patternFill patternType="solid">
        <fgColor theme="6" tint="0.39988402966399123"/>
        <bgColor rgb="FFA8B4B5"/>
      </patternFill>
    </fill>
    <fill>
      <patternFill patternType="solid">
        <fgColor theme="0" tint="-0.14999847407452621"/>
        <bgColor rgb="FFD4D3DD"/>
      </patternFill>
    </fill>
    <fill>
      <patternFill patternType="solid">
        <fgColor theme="5" tint="0.39988402966399123"/>
        <bgColor rgb="FFCEB5DD"/>
      </patternFill>
    </fill>
    <fill>
      <patternFill patternType="solid">
        <fgColor rgb="FFFFFF00"/>
        <bgColor rgb="FFFFC000"/>
      </patternFill>
    </fill>
    <fill>
      <patternFill patternType="solid">
        <fgColor rgb="FF00B0F0"/>
        <bgColor rgb="FF00B050"/>
      </patternFill>
    </fill>
    <fill>
      <patternFill patternType="solid">
        <fgColor theme="4" tint="0.39988402966399123"/>
        <bgColor rgb="FFC7C1C7"/>
      </patternFill>
    </fill>
    <fill>
      <patternFill patternType="solid">
        <fgColor rgb="FFFF5050"/>
        <bgColor rgb="FFFA7D00"/>
      </patternFill>
    </fill>
    <fill>
      <patternFill patternType="solid">
        <fgColor rgb="FF92D050"/>
        <bgColor rgb="FFA8B4B5"/>
      </patternFill>
    </fill>
    <fill>
      <patternFill patternType="solid">
        <fgColor rgb="FFFFFFFF"/>
        <bgColor rgb="FFF2F2F2"/>
      </patternFill>
    </fill>
    <fill>
      <patternFill patternType="solid">
        <fgColor rgb="FFFFFFCC"/>
        <bgColor rgb="FFFFFFFF"/>
      </patternFill>
    </fill>
    <fill>
      <patternFill patternType="solid">
        <fgColor theme="0" tint="-0.499984740745262"/>
        <bgColor rgb="FF7F7F7F"/>
      </patternFill>
    </fill>
    <fill>
      <patternFill patternType="solid">
        <fgColor rgb="FFCC00CC"/>
        <bgColor rgb="FF874EA9"/>
      </patternFill>
    </fill>
    <fill>
      <patternFill patternType="solid">
        <fgColor theme="4" tint="-0.249977111117893"/>
        <bgColor rgb="FF736773"/>
      </patternFill>
    </fill>
    <fill>
      <patternFill patternType="solid">
        <fgColor rgb="FFFF0000"/>
        <bgColor rgb="FFFF5050"/>
      </patternFill>
    </fill>
    <fill>
      <patternFill patternType="solid">
        <fgColor theme="9"/>
        <bgColor rgb="FF7F7F7F"/>
      </patternFill>
    </fill>
    <fill>
      <patternFill patternType="solid">
        <fgColor rgb="FFFFC000"/>
        <bgColor rgb="FFFFFF00"/>
      </patternFill>
    </fill>
    <fill>
      <patternFill patternType="solid">
        <fgColor theme="3" tint="0.79989013336588644"/>
        <bgColor rgb="FFD9D9D9"/>
      </patternFill>
    </fill>
    <fill>
      <patternFill patternType="solid">
        <fgColor theme="2" tint="-0.499984740745262"/>
        <bgColor rgb="FF5D739A"/>
      </patternFill>
    </fill>
    <fill>
      <patternFill patternType="solid">
        <fgColor theme="9" tint="0.59987182226020086"/>
        <bgColor rgb="FFCFCDCD"/>
      </patternFill>
    </fill>
    <fill>
      <patternFill patternType="solid">
        <fgColor theme="0" tint="-0.34998626667073579"/>
        <bgColor rgb="FFA5A5A5"/>
      </patternFill>
    </fill>
    <fill>
      <patternFill patternType="solid">
        <fgColor theme="8" tint="-0.249977111117893"/>
        <bgColor rgb="FF6F8183"/>
      </patternFill>
    </fill>
    <fill>
      <patternFill patternType="solid">
        <fgColor theme="7" tint="0.39988402966399123"/>
        <bgColor rgb="FFA8B4B5"/>
      </patternFill>
    </fill>
    <fill>
      <patternFill patternType="solid">
        <fgColor theme="8" tint="0.59987182226020086"/>
        <bgColor rgb="FFD9D9D9"/>
      </patternFill>
    </fill>
  </fills>
  <borders count="67">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double">
        <color rgb="FF3F3F3F"/>
      </left>
      <right style="double">
        <color rgb="FF3F3F3F"/>
      </right>
      <top style="double">
        <color rgb="FF3F3F3F"/>
      </top>
      <bottom style="medium">
        <color auto="1"/>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CFCDCD"/>
      </left>
      <right/>
      <top/>
      <bottom style="thin">
        <color rgb="FFCFCDCD"/>
      </bottom>
      <diagonal/>
    </border>
    <border>
      <left/>
      <right/>
      <top/>
      <bottom style="thin">
        <color rgb="FFCFCDCD"/>
      </bottom>
      <diagonal/>
    </border>
    <border>
      <left/>
      <right style="thin">
        <color rgb="FFCFCDCD"/>
      </right>
      <top style="thin">
        <color rgb="FFCFCDCD"/>
      </top>
      <bottom style="thin">
        <color rgb="FFCFCDCD"/>
      </bottom>
      <diagonal/>
    </border>
    <border>
      <left style="thin">
        <color rgb="FFCFCDCD"/>
      </left>
      <right/>
      <top style="thin">
        <color rgb="FFCFCDCD"/>
      </top>
      <bottom/>
      <diagonal/>
    </border>
    <border>
      <left style="thin">
        <color rgb="FFCFCDCD"/>
      </left>
      <right/>
      <top style="thin">
        <color rgb="FFCFCDCD"/>
      </top>
      <bottom style="thin">
        <color rgb="FFCFCDCD"/>
      </bottom>
      <diagonal/>
    </border>
    <border>
      <left style="thin">
        <color rgb="FFCFCDCD"/>
      </left>
      <right style="thin">
        <color rgb="FFCFCDCD"/>
      </right>
      <top style="thin">
        <color rgb="FFCFCDCD"/>
      </top>
      <bottom style="thin">
        <color rgb="FFCFCDCD"/>
      </bottom>
      <diagonal/>
    </border>
    <border>
      <left/>
      <right/>
      <top style="thin">
        <color rgb="FFCFCDCD"/>
      </top>
      <bottom/>
      <diagonal/>
    </border>
    <border>
      <left style="thin">
        <color auto="1"/>
      </left>
      <right style="thin">
        <color auto="1"/>
      </right>
      <top style="thin">
        <color auto="1"/>
      </top>
      <bottom style="thin">
        <color theme="0"/>
      </bottom>
      <diagonal/>
    </border>
    <border>
      <left/>
      <right/>
      <top style="thin">
        <color auto="1"/>
      </top>
      <bottom style="thin">
        <color theme="0"/>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style="thin">
        <color auto="1"/>
      </left>
      <right style="medium">
        <color auto="1"/>
      </right>
      <top style="thin">
        <color auto="1"/>
      </top>
      <bottom/>
      <diagonal/>
    </border>
    <border>
      <left style="thin">
        <color auto="1"/>
      </left>
      <right style="medium">
        <color auto="1"/>
      </right>
      <top/>
      <bottom style="medium">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top/>
      <bottom style="thin">
        <color auto="1"/>
      </bottom>
      <diagonal/>
    </border>
    <border>
      <left/>
      <right style="thin">
        <color auto="1"/>
      </right>
      <top/>
      <bottom style="medium">
        <color auto="1"/>
      </bottom>
      <diagonal/>
    </border>
    <border>
      <left style="medium">
        <color auto="1"/>
      </left>
      <right style="thin">
        <color auto="1"/>
      </right>
      <top/>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thin">
        <color auto="1"/>
      </top>
      <bottom style="medium">
        <color auto="1"/>
      </bottom>
      <diagonal/>
    </border>
  </borders>
  <cellStyleXfs count="21">
    <xf numFmtId="0" fontId="0" fillId="0" borderId="0"/>
    <xf numFmtId="9" fontId="95" fillId="0" borderId="0" applyBorder="0" applyProtection="0"/>
    <xf numFmtId="0" fontId="1" fillId="0" borderId="0"/>
    <xf numFmtId="0" fontId="1" fillId="0" borderId="0"/>
    <xf numFmtId="0" fontId="2" fillId="0" borderId="0"/>
    <xf numFmtId="0" fontId="3" fillId="0" borderId="0">
      <protection locked="0"/>
    </xf>
    <xf numFmtId="0" fontId="2" fillId="0" borderId="0"/>
    <xf numFmtId="0" fontId="3" fillId="0" borderId="0">
      <protection locked="0"/>
    </xf>
    <xf numFmtId="0" fontId="3" fillId="0" borderId="0">
      <protection locked="0"/>
    </xf>
    <xf numFmtId="0" fontId="2" fillId="0" borderId="0"/>
    <xf numFmtId="0" fontId="2" fillId="0" borderId="0"/>
    <xf numFmtId="0" fontId="2" fillId="0" borderId="0">
      <protection locked="0"/>
    </xf>
    <xf numFmtId="9" fontId="95" fillId="0" borderId="0" applyBorder="0" applyProtection="0"/>
    <xf numFmtId="0" fontId="9" fillId="2" borderId="0" applyBorder="0" applyProtection="0"/>
    <xf numFmtId="0" fontId="38" fillId="3" borderId="1" applyProtection="0"/>
    <xf numFmtId="0" fontId="95" fillId="4" borderId="0" applyBorder="0" applyProtection="0"/>
    <xf numFmtId="0" fontId="40" fillId="5" borderId="0" applyBorder="0" applyProtection="0"/>
    <xf numFmtId="0" fontId="40" fillId="6" borderId="0" applyBorder="0" applyProtection="0"/>
    <xf numFmtId="0" fontId="42" fillId="7" borderId="2" applyProtection="0"/>
    <xf numFmtId="0" fontId="84" fillId="8" borderId="0" applyBorder="0" applyProtection="0"/>
    <xf numFmtId="182" fontId="95" fillId="0" borderId="0" applyBorder="0" applyProtection="0"/>
  </cellStyleXfs>
  <cellXfs count="1436">
    <xf numFmtId="0" fontId="0" fillId="0" borderId="0" xfId="0"/>
    <xf numFmtId="0" fontId="0" fillId="0" borderId="6" xfId="0" applyBorder="1" applyAlignment="1">
      <alignment horizontal="center" vertical="top"/>
    </xf>
    <xf numFmtId="0" fontId="0" fillId="0" borderId="0" xfId="0" applyAlignment="1">
      <alignment horizontal="center" vertical="top"/>
    </xf>
    <xf numFmtId="0" fontId="4" fillId="9" borderId="4" xfId="0" applyFont="1" applyFill="1" applyBorder="1" applyAlignment="1">
      <alignment horizontal="center" vertical="top"/>
    </xf>
    <xf numFmtId="0" fontId="4" fillId="9" borderId="9" xfId="0" applyFont="1" applyFill="1" applyBorder="1" applyAlignment="1">
      <alignment horizontal="center" vertical="top"/>
    </xf>
    <xf numFmtId="0" fontId="0" fillId="0" borderId="5" xfId="0" applyBorder="1" applyAlignment="1">
      <alignment horizontal="left" vertical="top"/>
    </xf>
    <xf numFmtId="0" fontId="1" fillId="0" borderId="7" xfId="0" applyFont="1" applyBorder="1" applyAlignment="1">
      <alignment horizontal="left" vertical="top"/>
    </xf>
    <xf numFmtId="0" fontId="1" fillId="0" borderId="5" xfId="0" applyFont="1" applyBorder="1" applyAlignment="1">
      <alignment horizontal="left" vertical="top"/>
    </xf>
    <xf numFmtId="0" fontId="4" fillId="9" borderId="3" xfId="0" applyFont="1" applyFill="1" applyBorder="1" applyAlignment="1">
      <alignment horizontal="left" vertical="top"/>
    </xf>
    <xf numFmtId="0" fontId="0" fillId="0" borderId="0" xfId="0" applyAlignment="1">
      <alignment horizontal="left" vertical="top" wrapText="1"/>
    </xf>
    <xf numFmtId="0" fontId="3" fillId="0" borderId="0" xfId="5" applyAlignment="1" applyProtection="1">
      <alignment horizontal="left" vertical="top"/>
    </xf>
    <xf numFmtId="0" fontId="3" fillId="0" borderId="0" xfId="0" applyFont="1" applyAlignment="1">
      <alignment horizontal="left" vertical="top"/>
    </xf>
    <xf numFmtId="0" fontId="3" fillId="0" borderId="6" xfId="0" applyFont="1" applyBorder="1" applyAlignment="1">
      <alignment horizontal="left" vertical="top"/>
    </xf>
    <xf numFmtId="0" fontId="7" fillId="9" borderId="9" xfId="0" applyFont="1" applyFill="1" applyBorder="1" applyAlignment="1">
      <alignment horizontal="left" vertical="top"/>
    </xf>
    <xf numFmtId="0" fontId="7" fillId="9" borderId="3" xfId="0" applyFont="1" applyFill="1" applyBorder="1" applyAlignment="1">
      <alignment horizontal="left" vertical="top"/>
    </xf>
    <xf numFmtId="0" fontId="1" fillId="0" borderId="0" xfId="0" applyFont="1" applyAlignment="1">
      <alignment vertical="top"/>
    </xf>
    <xf numFmtId="0" fontId="1" fillId="9" borderId="4" xfId="0" applyFont="1" applyFill="1" applyBorder="1" applyAlignment="1">
      <alignment vertical="top"/>
    </xf>
    <xf numFmtId="0" fontId="1" fillId="0" borderId="5" xfId="0" applyFont="1" applyBorder="1" applyAlignment="1">
      <alignment vertical="top"/>
    </xf>
    <xf numFmtId="0" fontId="1" fillId="0" borderId="6" xfId="0" applyFont="1" applyBorder="1" applyAlignment="1">
      <alignment vertical="top"/>
    </xf>
    <xf numFmtId="0" fontId="1" fillId="0" borderId="5" xfId="0" applyFont="1" applyBorder="1" applyAlignment="1">
      <alignment horizontal="left" vertical="top"/>
    </xf>
    <xf numFmtId="0" fontId="1" fillId="0" borderId="6" xfId="0" applyFont="1" applyBorder="1" applyAlignment="1">
      <alignment vertical="top" wrapText="1"/>
    </xf>
    <xf numFmtId="0" fontId="1" fillId="0" borderId="8" xfId="0" applyFont="1" applyBorder="1" applyAlignment="1">
      <alignment vertical="top"/>
    </xf>
    <xf numFmtId="0" fontId="4" fillId="9" borderId="3" xfId="0" applyFont="1" applyFill="1" applyBorder="1" applyAlignment="1">
      <alignment vertical="top"/>
    </xf>
    <xf numFmtId="0" fontId="1" fillId="9" borderId="9" xfId="0" applyFont="1" applyFill="1" applyBorder="1" applyAlignment="1">
      <alignment vertical="top"/>
    </xf>
    <xf numFmtId="0" fontId="4" fillId="0" borderId="5" xfId="0" applyFont="1" applyBorder="1" applyAlignment="1">
      <alignment vertical="top"/>
    </xf>
    <xf numFmtId="0" fontId="1" fillId="0" borderId="0" xfId="0" applyFont="1" applyAlignment="1">
      <alignment horizontal="center" vertical="top"/>
    </xf>
    <xf numFmtId="0" fontId="1" fillId="0" borderId="0" xfId="0" applyFont="1" applyAlignment="1">
      <alignment horizontal="left" vertical="top"/>
    </xf>
    <xf numFmtId="0" fontId="3" fillId="0" borderId="5" xfId="0" applyFont="1" applyBorder="1" applyAlignment="1">
      <alignment vertical="top"/>
    </xf>
    <xf numFmtId="0" fontId="3" fillId="0" borderId="0" xfId="0" applyFont="1" applyAlignment="1">
      <alignment vertical="top"/>
    </xf>
    <xf numFmtId="0" fontId="3" fillId="0" borderId="6" xfId="0" applyFont="1" applyBorder="1" applyAlignment="1">
      <alignment vertical="top"/>
    </xf>
    <xf numFmtId="0" fontId="0" fillId="9" borderId="9" xfId="0" applyFill="1" applyBorder="1" applyAlignment="1">
      <alignment vertical="top"/>
    </xf>
    <xf numFmtId="0" fontId="0" fillId="9" borderId="4" xfId="0" applyFill="1" applyBorder="1" applyAlignment="1">
      <alignment vertical="top"/>
    </xf>
    <xf numFmtId="0" fontId="0" fillId="0" borderId="0" xfId="0" applyAlignment="1">
      <alignment vertical="top"/>
    </xf>
    <xf numFmtId="0" fontId="0" fillId="0" borderId="5" xfId="0" applyBorder="1" applyAlignment="1">
      <alignment vertical="top"/>
    </xf>
    <xf numFmtId="0" fontId="0" fillId="0" borderId="6" xfId="0" applyBorder="1" applyAlignment="1">
      <alignment vertical="top"/>
    </xf>
    <xf numFmtId="0" fontId="0" fillId="0" borderId="5" xfId="0" applyBorder="1" applyAlignment="1">
      <alignment horizontal="left" vertical="top"/>
    </xf>
    <xf numFmtId="0" fontId="0" fillId="0" borderId="0" xfId="0" applyAlignment="1">
      <alignment horizontal="center" vertical="top"/>
    </xf>
    <xf numFmtId="0" fontId="5" fillId="9" borderId="3" xfId="0" applyFont="1" applyFill="1" applyBorder="1" applyAlignment="1">
      <alignment horizontal="left" vertical="top"/>
    </xf>
    <xf numFmtId="164" fontId="0" fillId="9" borderId="9" xfId="0" applyNumberFormat="1" applyFill="1" applyBorder="1" applyAlignment="1">
      <alignment horizontal="center" vertical="top"/>
    </xf>
    <xf numFmtId="0" fontId="0" fillId="0" borderId="0" xfId="0" applyAlignment="1">
      <alignment horizontal="left" vertical="top"/>
    </xf>
    <xf numFmtId="0" fontId="0" fillId="0" borderId="7" xfId="0" applyBorder="1" applyAlignment="1">
      <alignment vertical="top"/>
    </xf>
    <xf numFmtId="0" fontId="0" fillId="0" borderId="10" xfId="0" applyBorder="1" applyAlignment="1">
      <alignment vertical="top"/>
    </xf>
    <xf numFmtId="0" fontId="0" fillId="0" borderId="8" xfId="0" applyBorder="1" applyAlignment="1">
      <alignment vertical="top"/>
    </xf>
    <xf numFmtId="0" fontId="0" fillId="0" borderId="5" xfId="0" applyBorder="1" applyAlignment="1">
      <alignment horizontal="right" vertical="top"/>
    </xf>
    <xf numFmtId="0" fontId="4" fillId="9" borderId="9" xfId="0" applyFont="1" applyFill="1" applyBorder="1" applyAlignment="1">
      <alignment vertical="top"/>
    </xf>
    <xf numFmtId="9" fontId="0" fillId="0" borderId="5" xfId="0" applyNumberFormat="1" applyBorder="1" applyAlignment="1">
      <alignment vertical="top"/>
    </xf>
    <xf numFmtId="0" fontId="4" fillId="9" borderId="3" xfId="0" applyFont="1" applyFill="1" applyBorder="1" applyAlignment="1">
      <alignment horizontal="center" vertical="top"/>
    </xf>
    <xf numFmtId="0" fontId="0" fillId="0" borderId="5" xfId="0" applyBorder="1" applyAlignment="1">
      <alignment horizontal="center" vertical="top"/>
    </xf>
    <xf numFmtId="0" fontId="0" fillId="0" borderId="5" xfId="0" applyBorder="1" applyAlignment="1">
      <alignment horizontal="center" vertical="top" wrapText="1"/>
    </xf>
    <xf numFmtId="0" fontId="0" fillId="0" borderId="7" xfId="0" applyBorder="1" applyAlignment="1">
      <alignment horizontal="center" vertical="top" wrapText="1"/>
    </xf>
    <xf numFmtId="0" fontId="1" fillId="0" borderId="11" xfId="0" applyFont="1" applyBorder="1" applyAlignment="1">
      <alignment horizontal="center" vertical="top"/>
    </xf>
    <xf numFmtId="0" fontId="1" fillId="0" borderId="12" xfId="0" applyFont="1" applyBorder="1" applyAlignment="1">
      <alignment horizontal="center" vertical="top"/>
    </xf>
    <xf numFmtId="0" fontId="1" fillId="0" borderId="7" xfId="0" applyFont="1" applyBorder="1" applyAlignment="1">
      <alignment vertical="top"/>
    </xf>
    <xf numFmtId="0" fontId="1" fillId="0" borderId="10" xfId="0" applyFont="1" applyBorder="1" applyAlignment="1">
      <alignment vertical="top"/>
    </xf>
    <xf numFmtId="0" fontId="4" fillId="9" borderId="5" xfId="0" applyFont="1" applyFill="1" applyBorder="1" applyAlignment="1">
      <alignment vertical="top"/>
    </xf>
    <xf numFmtId="0" fontId="4" fillId="9" borderId="0" xfId="0" applyFont="1" applyFill="1" applyAlignment="1">
      <alignment vertical="top"/>
    </xf>
    <xf numFmtId="0" fontId="4" fillId="9" borderId="6" xfId="0" applyFont="1" applyFill="1" applyBorder="1" applyAlignment="1">
      <alignment vertical="top"/>
    </xf>
    <xf numFmtId="0" fontId="1" fillId="0" borderId="5" xfId="0" applyFont="1" applyBorder="1" applyAlignment="1">
      <alignment horizontal="right" vertical="top"/>
    </xf>
    <xf numFmtId="0" fontId="1" fillId="0" borderId="7" xfId="0" applyFont="1" applyBorder="1" applyAlignment="1">
      <alignment horizontal="right" vertical="top"/>
    </xf>
    <xf numFmtId="0" fontId="3" fillId="0" borderId="0" xfId="0" applyFont="1" applyAlignment="1">
      <alignment horizontal="left" vertical="top"/>
    </xf>
    <xf numFmtId="0" fontId="7" fillId="0" borderId="0" xfId="0" applyFont="1" applyAlignment="1">
      <alignment horizontal="left" vertical="top"/>
    </xf>
    <xf numFmtId="0" fontId="7" fillId="9" borderId="3" xfId="0" applyFont="1" applyFill="1" applyBorder="1" applyAlignment="1">
      <alignment horizontal="left" vertical="top"/>
    </xf>
    <xf numFmtId="0" fontId="7" fillId="9" borderId="9" xfId="0" applyFont="1" applyFill="1" applyBorder="1" applyAlignment="1">
      <alignment horizontal="left" vertical="top"/>
    </xf>
    <xf numFmtId="0" fontId="3" fillId="9" borderId="4" xfId="0" applyFont="1" applyFill="1" applyBorder="1" applyAlignment="1">
      <alignment horizontal="left" vertical="top"/>
    </xf>
    <xf numFmtId="0" fontId="7" fillId="0" borderId="5" xfId="0" applyFont="1" applyBorder="1" applyAlignment="1">
      <alignment horizontal="left" vertical="top"/>
    </xf>
    <xf numFmtId="0" fontId="3" fillId="0" borderId="6" xfId="0" applyFont="1" applyBorder="1" applyAlignment="1">
      <alignment horizontal="left" vertical="top"/>
    </xf>
    <xf numFmtId="0" fontId="3" fillId="0" borderId="5" xfId="0" applyFont="1" applyBorder="1" applyAlignment="1">
      <alignment horizontal="left" vertical="top"/>
    </xf>
    <xf numFmtId="166" fontId="3" fillId="0" borderId="0" xfId="0" applyNumberFormat="1" applyFont="1" applyAlignment="1">
      <alignment horizontal="left" vertical="top"/>
    </xf>
    <xf numFmtId="0" fontId="7" fillId="9" borderId="4" xfId="0" applyFont="1" applyFill="1" applyBorder="1" applyAlignment="1">
      <alignment horizontal="left" vertical="top"/>
    </xf>
    <xf numFmtId="0" fontId="7" fillId="9" borderId="5" xfId="0" applyFont="1" applyFill="1" applyBorder="1" applyAlignment="1">
      <alignment horizontal="left" vertical="top"/>
    </xf>
    <xf numFmtId="0" fontId="7" fillId="9" borderId="0" xfId="0" applyFont="1" applyFill="1" applyAlignment="1">
      <alignment horizontal="left" vertical="top"/>
    </xf>
    <xf numFmtId="0" fontId="7" fillId="9" borderId="6" xfId="0" applyFont="1" applyFill="1" applyBorder="1" applyAlignment="1">
      <alignment horizontal="left" vertical="top"/>
    </xf>
    <xf numFmtId="164" fontId="3" fillId="0" borderId="0" xfId="0" applyNumberFormat="1" applyFont="1" applyAlignment="1">
      <alignment horizontal="left" vertical="top"/>
    </xf>
    <xf numFmtId="0" fontId="3" fillId="0" borderId="7" xfId="0" applyFont="1" applyBorder="1" applyAlignment="1">
      <alignment horizontal="left" vertical="top"/>
    </xf>
    <xf numFmtId="0" fontId="3" fillId="0" borderId="10" xfId="0" applyFont="1" applyBorder="1" applyAlignment="1">
      <alignment horizontal="left" vertical="top"/>
    </xf>
    <xf numFmtId="10" fontId="3" fillId="0" borderId="10" xfId="0" applyNumberFormat="1" applyFont="1" applyBorder="1" applyAlignment="1">
      <alignment horizontal="left" vertical="top"/>
    </xf>
    <xf numFmtId="0" fontId="3" fillId="0" borderId="8" xfId="0" applyFont="1" applyBorder="1" applyAlignment="1">
      <alignment horizontal="left" vertical="top"/>
    </xf>
    <xf numFmtId="0" fontId="3" fillId="9" borderId="9" xfId="0" applyFont="1" applyFill="1" applyBorder="1" applyAlignment="1">
      <alignment horizontal="left" vertical="top"/>
    </xf>
    <xf numFmtId="0" fontId="3" fillId="9" borderId="0" xfId="0" applyFont="1" applyFill="1" applyAlignment="1">
      <alignment horizontal="left" vertical="top"/>
    </xf>
    <xf numFmtId="0" fontId="3" fillId="9" borderId="6" xfId="0" applyFont="1" applyFill="1" applyBorder="1" applyAlignment="1">
      <alignment horizontal="left" vertical="top"/>
    </xf>
    <xf numFmtId="1" fontId="9" fillId="2" borderId="0" xfId="13" applyNumberFormat="1" applyBorder="1" applyAlignment="1" applyProtection="1">
      <alignment horizontal="left" vertical="top"/>
    </xf>
    <xf numFmtId="164" fontId="9" fillId="2" borderId="0" xfId="13" applyNumberFormat="1" applyBorder="1" applyAlignment="1" applyProtection="1">
      <alignment horizontal="left" vertical="top"/>
    </xf>
    <xf numFmtId="0" fontId="3" fillId="9" borderId="5" xfId="0" applyFont="1" applyFill="1" applyBorder="1" applyAlignment="1">
      <alignment horizontal="left" vertical="top"/>
    </xf>
    <xf numFmtId="0" fontId="9" fillId="2" borderId="0" xfId="13" applyBorder="1" applyAlignment="1" applyProtection="1">
      <alignment horizontal="left" vertical="top"/>
    </xf>
    <xf numFmtId="0" fontId="3" fillId="9" borderId="3" xfId="0" applyFont="1" applyFill="1" applyBorder="1" applyAlignment="1">
      <alignment horizontal="left" vertical="top"/>
    </xf>
    <xf numFmtId="167" fontId="3" fillId="0" borderId="0" xfId="0" applyNumberFormat="1" applyFont="1" applyAlignment="1">
      <alignment horizontal="left" vertical="top"/>
    </xf>
    <xf numFmtId="168" fontId="3" fillId="0" borderId="0" xfId="0" applyNumberFormat="1" applyFont="1" applyAlignment="1">
      <alignment horizontal="left" vertical="top"/>
    </xf>
    <xf numFmtId="169" fontId="9" fillId="2" borderId="0" xfId="13" applyNumberFormat="1" applyBorder="1" applyAlignment="1" applyProtection="1">
      <alignment horizontal="left" vertical="top"/>
    </xf>
    <xf numFmtId="170" fontId="3" fillId="0" borderId="0" xfId="0" applyNumberFormat="1" applyFont="1" applyAlignment="1">
      <alignment horizontal="left" vertical="top"/>
    </xf>
    <xf numFmtId="0" fontId="3" fillId="0" borderId="0" xfId="5" applyAlignment="1" applyProtection="1">
      <alignment horizontal="left" vertical="top"/>
    </xf>
    <xf numFmtId="0" fontId="10" fillId="0" borderId="0" xfId="5" applyFont="1" applyAlignment="1" applyProtection="1">
      <alignment horizontal="left" vertical="top"/>
    </xf>
    <xf numFmtId="10" fontId="3" fillId="0" borderId="0" xfId="5" applyNumberFormat="1" applyAlignment="1" applyProtection="1">
      <alignment horizontal="left" vertical="top"/>
    </xf>
    <xf numFmtId="166" fontId="10" fillId="0" borderId="0" xfId="5" applyNumberFormat="1" applyFont="1" applyAlignment="1" applyProtection="1">
      <alignment horizontal="left" vertical="top"/>
    </xf>
    <xf numFmtId="164" fontId="3" fillId="0" borderId="0" xfId="5" applyNumberFormat="1" applyAlignment="1" applyProtection="1">
      <alignment horizontal="left" vertical="top"/>
    </xf>
    <xf numFmtId="171" fontId="9" fillId="2" borderId="0" xfId="13" applyNumberFormat="1" applyBorder="1" applyAlignment="1" applyProtection="1">
      <alignment horizontal="left" vertical="top"/>
    </xf>
    <xf numFmtId="0" fontId="10" fillId="0" borderId="0" xfId="0" applyFont="1" applyAlignment="1">
      <alignment horizontal="left" vertical="top"/>
    </xf>
    <xf numFmtId="172" fontId="3" fillId="0" borderId="10" xfId="0" applyNumberFormat="1" applyFont="1" applyBorder="1" applyAlignment="1">
      <alignment horizontal="left" vertical="top"/>
    </xf>
    <xf numFmtId="172" fontId="9" fillId="2" borderId="0" xfId="13" applyNumberFormat="1" applyBorder="1" applyAlignment="1" applyProtection="1">
      <alignment horizontal="left" vertical="top"/>
    </xf>
    <xf numFmtId="172" fontId="3" fillId="0" borderId="0" xfId="0" applyNumberFormat="1" applyFont="1" applyAlignment="1">
      <alignment horizontal="left" vertical="top"/>
    </xf>
    <xf numFmtId="167" fontId="9" fillId="2" borderId="0" xfId="13" applyNumberFormat="1" applyBorder="1" applyAlignment="1" applyProtection="1">
      <alignment horizontal="left" vertical="top"/>
    </xf>
    <xf numFmtId="0" fontId="0" fillId="0" borderId="0" xfId="0" applyAlignment="1">
      <alignment horizontal="left" vertical="top" wrapText="1"/>
    </xf>
    <xf numFmtId="164" fontId="3" fillId="4" borderId="0" xfId="0" applyNumberFormat="1" applyFont="1" applyFill="1" applyAlignment="1">
      <alignment horizontal="left" vertical="top"/>
    </xf>
    <xf numFmtId="0" fontId="10" fillId="9" borderId="9" xfId="0" applyFont="1" applyFill="1" applyBorder="1" applyAlignment="1">
      <alignment horizontal="left" vertical="top"/>
    </xf>
    <xf numFmtId="173" fontId="9" fillId="2" borderId="0" xfId="13" applyNumberFormat="1" applyBorder="1" applyAlignment="1" applyProtection="1">
      <alignment horizontal="left" vertical="top"/>
    </xf>
    <xf numFmtId="49" fontId="10" fillId="0" borderId="0" xfId="0" applyNumberFormat="1" applyFont="1" applyAlignment="1">
      <alignment horizontal="left" vertical="top"/>
    </xf>
    <xf numFmtId="0" fontId="10" fillId="0" borderId="10" xfId="0" applyFont="1" applyBorder="1" applyAlignment="1">
      <alignment horizontal="left" vertical="top"/>
    </xf>
    <xf numFmtId="164" fontId="9" fillId="2" borderId="10" xfId="13" applyNumberFormat="1" applyBorder="1" applyAlignment="1" applyProtection="1">
      <alignment horizontal="left" vertical="top"/>
    </xf>
    <xf numFmtId="0" fontId="11" fillId="9" borderId="9" xfId="0" applyFont="1" applyFill="1" applyBorder="1" applyAlignment="1">
      <alignment horizontal="left" vertical="top"/>
    </xf>
    <xf numFmtId="9" fontId="10" fillId="9" borderId="9" xfId="0" applyNumberFormat="1" applyFont="1" applyFill="1" applyBorder="1" applyAlignment="1">
      <alignment horizontal="left" vertical="top"/>
    </xf>
    <xf numFmtId="10" fontId="10" fillId="0" borderId="0" xfId="0" applyNumberFormat="1" applyFont="1" applyAlignment="1">
      <alignment horizontal="left" vertical="top"/>
    </xf>
    <xf numFmtId="173" fontId="9" fillId="2" borderId="10" xfId="13" applyNumberFormat="1" applyBorder="1" applyAlignment="1" applyProtection="1">
      <alignment horizontal="left" vertical="top"/>
    </xf>
    <xf numFmtId="0" fontId="11" fillId="9" borderId="0" xfId="0" applyFont="1" applyFill="1" applyAlignment="1">
      <alignment horizontal="left" vertical="top"/>
    </xf>
    <xf numFmtId="0" fontId="10" fillId="9" borderId="0" xfId="0" applyFont="1" applyFill="1" applyAlignment="1">
      <alignment horizontal="left" vertical="top"/>
    </xf>
    <xf numFmtId="164" fontId="10" fillId="0" borderId="0" xfId="0" applyNumberFormat="1" applyFont="1" applyAlignment="1">
      <alignment horizontal="left" vertical="top"/>
    </xf>
    <xf numFmtId="0" fontId="10" fillId="0" borderId="0" xfId="0" applyFont="1" applyAlignment="1">
      <alignment horizontal="left" vertical="top" wrapText="1"/>
    </xf>
    <xf numFmtId="2" fontId="10" fillId="0" borderId="0" xfId="0" applyNumberFormat="1" applyFont="1" applyAlignment="1">
      <alignment horizontal="left" vertical="top"/>
    </xf>
    <xf numFmtId="0" fontId="13" fillId="0" borderId="0" xfId="0" applyFont="1"/>
    <xf numFmtId="0" fontId="14" fillId="9" borderId="9" xfId="0" applyFont="1" applyFill="1" applyBorder="1" applyAlignment="1">
      <alignment horizontal="center"/>
    </xf>
    <xf numFmtId="0" fontId="13" fillId="9" borderId="4" xfId="0" applyFont="1" applyFill="1" applyBorder="1"/>
    <xf numFmtId="0" fontId="14" fillId="9" borderId="3" xfId="0" applyFont="1" applyFill="1" applyBorder="1"/>
    <xf numFmtId="0" fontId="14" fillId="9" borderId="9" xfId="0" applyFont="1" applyFill="1" applyBorder="1"/>
    <xf numFmtId="0" fontId="14" fillId="9" borderId="4" xfId="0" applyFont="1" applyFill="1" applyBorder="1"/>
    <xf numFmtId="0" fontId="13" fillId="0" borderId="5" xfId="0" applyFont="1" applyBorder="1" applyAlignment="1">
      <alignment horizontal="left"/>
    </xf>
    <xf numFmtId="0" fontId="13" fillId="0" borderId="0" xfId="0" applyFont="1" applyAlignment="1">
      <alignment horizontal="left"/>
    </xf>
    <xf numFmtId="0" fontId="13" fillId="0" borderId="0" xfId="0" applyFont="1" applyAlignment="1">
      <alignment horizontal="center"/>
    </xf>
    <xf numFmtId="0" fontId="13" fillId="0" borderId="6" xfId="0" applyFont="1" applyBorder="1"/>
    <xf numFmtId="0" fontId="13" fillId="0" borderId="5" xfId="0" applyFont="1" applyBorder="1"/>
    <xf numFmtId="0" fontId="13" fillId="0" borderId="0" xfId="0" applyFont="1" applyAlignment="1">
      <alignment horizontal="center" vertical="center"/>
    </xf>
    <xf numFmtId="164" fontId="13" fillId="0" borderId="0" xfId="0" applyNumberFormat="1" applyFont="1" applyAlignment="1">
      <alignment horizontal="right"/>
    </xf>
    <xf numFmtId="0" fontId="13" fillId="0" borderId="0" xfId="0" applyFont="1" applyAlignment="1">
      <alignment vertical="center"/>
    </xf>
    <xf numFmtId="164" fontId="13" fillId="0" borderId="0" xfId="0" applyNumberFormat="1" applyFont="1"/>
    <xf numFmtId="0" fontId="13" fillId="0" borderId="0" xfId="0" applyFont="1" applyAlignment="1">
      <alignment horizontal="left" vertical="center"/>
    </xf>
    <xf numFmtId="166" fontId="13" fillId="0" borderId="0" xfId="0" applyNumberFormat="1" applyFont="1" applyAlignment="1">
      <alignment vertical="center"/>
    </xf>
    <xf numFmtId="10" fontId="13" fillId="0" borderId="0" xfId="0" applyNumberFormat="1" applyFont="1"/>
    <xf numFmtId="0" fontId="13" fillId="0" borderId="7" xfId="0" applyFont="1" applyBorder="1"/>
    <xf numFmtId="0" fontId="13" fillId="0" borderId="10" xfId="0" applyFont="1" applyBorder="1"/>
    <xf numFmtId="0" fontId="13" fillId="0" borderId="8" xfId="0" applyFont="1" applyBorder="1"/>
    <xf numFmtId="173" fontId="13" fillId="0" borderId="0" xfId="0" applyNumberFormat="1" applyFont="1"/>
    <xf numFmtId="0" fontId="13" fillId="9" borderId="9" xfId="0" applyFont="1" applyFill="1" applyBorder="1"/>
    <xf numFmtId="0" fontId="14" fillId="9" borderId="5" xfId="0" applyFont="1" applyFill="1" applyBorder="1" applyAlignment="1">
      <alignment horizontal="right"/>
    </xf>
    <xf numFmtId="0" fontId="14" fillId="9" borderId="0" xfId="0" applyFont="1" applyFill="1"/>
    <xf numFmtId="0" fontId="13" fillId="9" borderId="0" xfId="0" applyFont="1" applyFill="1"/>
    <xf numFmtId="0" fontId="13" fillId="9" borderId="6" xfId="0" applyFont="1" applyFill="1" applyBorder="1"/>
    <xf numFmtId="0" fontId="13" fillId="0" borderId="5" xfId="0" applyFont="1" applyBorder="1" applyAlignment="1">
      <alignment horizontal="right"/>
    </xf>
    <xf numFmtId="0" fontId="13" fillId="0" borderId="0" xfId="0" applyFont="1" applyAlignment="1">
      <alignment horizontal="right"/>
    </xf>
    <xf numFmtId="0" fontId="16" fillId="0" borderId="0" xfId="0" applyFont="1"/>
    <xf numFmtId="164" fontId="16" fillId="0" borderId="0" xfId="0" applyNumberFormat="1" applyFont="1"/>
    <xf numFmtId="0" fontId="14" fillId="9" borderId="3" xfId="0" applyFont="1" applyFill="1" applyBorder="1" applyAlignment="1">
      <alignment horizontal="right"/>
    </xf>
    <xf numFmtId="0" fontId="13" fillId="0" borderId="7" xfId="0" applyFont="1" applyBorder="1" applyAlignment="1">
      <alignment horizontal="right"/>
    </xf>
    <xf numFmtId="0" fontId="13" fillId="0" borderId="10" xfId="0" applyFont="1" applyBorder="1" applyAlignment="1">
      <alignment horizontal="right"/>
    </xf>
    <xf numFmtId="0" fontId="14" fillId="9" borderId="0" xfId="0" applyFont="1" applyFill="1" applyAlignment="1">
      <alignment horizontal="left"/>
    </xf>
    <xf numFmtId="0" fontId="14" fillId="0" borderId="5" xfId="0" applyFont="1" applyBorder="1" applyAlignment="1">
      <alignment horizontal="right"/>
    </xf>
    <xf numFmtId="0" fontId="14" fillId="0" borderId="0" xfId="0" applyFont="1"/>
    <xf numFmtId="0" fontId="17" fillId="0" borderId="0" xfId="0" applyFont="1" applyAlignment="1">
      <alignment horizontal="right"/>
    </xf>
    <xf numFmtId="0" fontId="17" fillId="0" borderId="0" xfId="0" applyFont="1" applyAlignment="1">
      <alignment horizontal="left"/>
    </xf>
    <xf numFmtId="0" fontId="17" fillId="0" borderId="0" xfId="0" applyFont="1"/>
    <xf numFmtId="174" fontId="17" fillId="0" borderId="0" xfId="0" applyNumberFormat="1" applyFont="1" applyAlignment="1">
      <alignment horizontal="left"/>
    </xf>
    <xf numFmtId="0" fontId="14" fillId="0" borderId="0" xfId="0" applyFont="1" applyAlignment="1">
      <alignment horizontal="left"/>
    </xf>
    <xf numFmtId="172" fontId="17" fillId="0" borderId="0" xfId="0" applyNumberFormat="1" applyFont="1" applyAlignment="1">
      <alignment horizontal="left"/>
    </xf>
    <xf numFmtId="0" fontId="13" fillId="9" borderId="3" xfId="0" applyFont="1" applyFill="1" applyBorder="1"/>
    <xf numFmtId="0" fontId="16" fillId="0" borderId="0" xfId="0" applyFont="1" applyAlignment="1">
      <alignment horizontal="left"/>
    </xf>
    <xf numFmtId="0" fontId="13" fillId="0" borderId="10" xfId="0" applyFont="1" applyBorder="1" applyAlignment="1">
      <alignment horizontal="center"/>
    </xf>
    <xf numFmtId="0" fontId="14" fillId="9" borderId="9" xfId="0" applyFont="1" applyFill="1" applyBorder="1" applyAlignment="1">
      <alignment horizontal="left"/>
    </xf>
    <xf numFmtId="0" fontId="20" fillId="0" borderId="0" xfId="0" applyFont="1" applyAlignment="1">
      <alignment horizontal="right"/>
    </xf>
    <xf numFmtId="0" fontId="22" fillId="0" borderId="0" xfId="0" applyFont="1"/>
    <xf numFmtId="0" fontId="13" fillId="0" borderId="5" xfId="0" applyFont="1" applyBorder="1" applyAlignment="1">
      <alignment horizontal="center" vertical="center"/>
    </xf>
    <xf numFmtId="0" fontId="13" fillId="0" borderId="7" xfId="0" applyFont="1" applyBorder="1" applyAlignment="1">
      <alignment horizontal="center" vertical="center"/>
    </xf>
    <xf numFmtId="0" fontId="20" fillId="0" borderId="0" xfId="0" applyFont="1"/>
    <xf numFmtId="0" fontId="17" fillId="0" borderId="6" xfId="0" applyFont="1" applyBorder="1"/>
    <xf numFmtId="0" fontId="17" fillId="0" borderId="0" xfId="0" applyFont="1" applyAlignment="1">
      <alignment horizontal="left" vertical="center"/>
    </xf>
    <xf numFmtId="173" fontId="17" fillId="0" borderId="0" xfId="0" applyNumberFormat="1" applyFont="1" applyAlignment="1">
      <alignment horizontal="left" vertical="center"/>
    </xf>
    <xf numFmtId="0" fontId="17" fillId="0" borderId="0" xfId="0" applyFont="1" applyAlignment="1">
      <alignment horizontal="left" wrapText="1"/>
    </xf>
    <xf numFmtId="2" fontId="17" fillId="0" borderId="0" xfId="0" applyNumberFormat="1" applyFont="1" applyAlignment="1">
      <alignment horizontal="right"/>
    </xf>
    <xf numFmtId="2" fontId="17" fillId="0" borderId="0" xfId="0" applyNumberFormat="1" applyFont="1"/>
    <xf numFmtId="175" fontId="17" fillId="0" borderId="0" xfId="0" applyNumberFormat="1" applyFont="1" applyAlignment="1">
      <alignment horizontal="left"/>
    </xf>
    <xf numFmtId="2" fontId="17" fillId="0" borderId="0" xfId="0" applyNumberFormat="1" applyFont="1" applyAlignment="1">
      <alignment horizontal="left"/>
    </xf>
    <xf numFmtId="173" fontId="17" fillId="0" borderId="0" xfId="0" applyNumberFormat="1" applyFont="1" applyAlignment="1">
      <alignment horizontal="left"/>
    </xf>
    <xf numFmtId="0" fontId="13" fillId="9" borderId="12" xfId="0" applyFont="1" applyFill="1" applyBorder="1" applyAlignment="1">
      <alignment horizontal="center"/>
    </xf>
    <xf numFmtId="2" fontId="17" fillId="9" borderId="17" xfId="0" applyNumberFormat="1" applyFont="1" applyFill="1" applyBorder="1" applyAlignment="1">
      <alignment horizontal="center"/>
    </xf>
    <xf numFmtId="2" fontId="17" fillId="0" borderId="17" xfId="0" applyNumberFormat="1" applyFont="1" applyBorder="1"/>
    <xf numFmtId="2" fontId="17" fillId="0" borderId="19" xfId="0" applyNumberFormat="1" applyFont="1" applyBorder="1"/>
    <xf numFmtId="2" fontId="17" fillId="0" borderId="21" xfId="0" applyNumberFormat="1" applyFont="1" applyBorder="1"/>
    <xf numFmtId="2" fontId="17" fillId="0" borderId="22" xfId="0" applyNumberFormat="1" applyFont="1" applyBorder="1"/>
    <xf numFmtId="2" fontId="20" fillId="0" borderId="0" xfId="0" applyNumberFormat="1" applyFont="1" applyAlignment="1">
      <alignment horizontal="left" vertical="center"/>
    </xf>
    <xf numFmtId="0" fontId="17" fillId="0" borderId="0" xfId="0" applyFont="1" applyAlignment="1">
      <alignment horizontal="right" vertical="center"/>
    </xf>
    <xf numFmtId="173" fontId="17" fillId="0" borderId="0" xfId="0" applyNumberFormat="1" applyFont="1" applyAlignment="1">
      <alignment horizontal="center"/>
    </xf>
    <xf numFmtId="0" fontId="17" fillId="0" borderId="0" xfId="0" applyFont="1" applyAlignment="1">
      <alignment vertical="center"/>
    </xf>
    <xf numFmtId="0" fontId="17" fillId="0" borderId="0" xfId="0" applyFont="1" applyAlignment="1">
      <alignment horizontal="justify" vertical="center"/>
    </xf>
    <xf numFmtId="0" fontId="17" fillId="0" borderId="6" xfId="0" applyFont="1" applyBorder="1" applyAlignment="1">
      <alignment horizontal="justify" vertical="center"/>
    </xf>
    <xf numFmtId="0" fontId="17" fillId="0" borderId="0" xfId="0" applyFont="1" applyAlignment="1">
      <alignment vertical="top"/>
    </xf>
    <xf numFmtId="0" fontId="17" fillId="0" borderId="0" xfId="0" applyFont="1" applyAlignment="1">
      <alignment horizontal="left" readingOrder="1"/>
    </xf>
    <xf numFmtId="0" fontId="17" fillId="0" borderId="0" xfId="0" applyFont="1" applyAlignment="1">
      <alignment horizontal="left" vertical="center" wrapText="1"/>
    </xf>
    <xf numFmtId="0" fontId="17" fillId="0" borderId="0" xfId="0" applyFont="1" applyAlignment="1">
      <alignment horizontal="right" readingOrder="1"/>
    </xf>
    <xf numFmtId="173" fontId="17" fillId="0" borderId="6" xfId="0" applyNumberFormat="1" applyFont="1" applyBorder="1" applyAlignment="1">
      <alignment horizontal="center"/>
    </xf>
    <xf numFmtId="175" fontId="17" fillId="0" borderId="0" xfId="0" applyNumberFormat="1" applyFont="1" applyAlignment="1">
      <alignment horizontal="center"/>
    </xf>
    <xf numFmtId="0" fontId="17" fillId="0" borderId="10" xfId="0" applyFont="1" applyBorder="1"/>
    <xf numFmtId="0" fontId="17" fillId="0" borderId="8" xfId="0" applyFont="1" applyBorder="1"/>
    <xf numFmtId="0" fontId="20" fillId="9" borderId="3" xfId="0" applyFont="1" applyFill="1" applyBorder="1" applyAlignment="1">
      <alignment horizontal="right" vertical="center"/>
    </xf>
    <xf numFmtId="0" fontId="20" fillId="9" borderId="9" xfId="0" applyFont="1" applyFill="1" applyBorder="1"/>
    <xf numFmtId="0" fontId="17" fillId="9" borderId="9" xfId="0" applyFont="1" applyFill="1" applyBorder="1"/>
    <xf numFmtId="0" fontId="17" fillId="9" borderId="9" xfId="0" applyFont="1" applyFill="1" applyBorder="1" applyAlignment="1">
      <alignment horizontal="right"/>
    </xf>
    <xf numFmtId="0" fontId="17" fillId="9" borderId="4" xfId="0" applyFont="1" applyFill="1" applyBorder="1"/>
    <xf numFmtId="0" fontId="20" fillId="0" borderId="6" xfId="0" applyFont="1" applyBorder="1"/>
    <xf numFmtId="0" fontId="17" fillId="0" borderId="0" xfId="0" applyFont="1" applyAlignment="1">
      <alignment horizontal="center"/>
    </xf>
    <xf numFmtId="0" fontId="20" fillId="0" borderId="0" xfId="0" applyFont="1" applyAlignment="1">
      <alignment horizontal="left"/>
    </xf>
    <xf numFmtId="0" fontId="17" fillId="0" borderId="7" xfId="0" applyFont="1" applyBorder="1" applyAlignment="1">
      <alignment horizontal="right"/>
    </xf>
    <xf numFmtId="0" fontId="17" fillId="0" borderId="5" xfId="0" applyFont="1" applyBorder="1" applyAlignment="1">
      <alignment horizontal="right"/>
    </xf>
    <xf numFmtId="0" fontId="17" fillId="0" borderId="6" xfId="0" applyFont="1" applyBorder="1" applyAlignment="1">
      <alignment horizontal="center"/>
    </xf>
    <xf numFmtId="167" fontId="17" fillId="0" borderId="0" xfId="0" applyNumberFormat="1" applyFont="1"/>
    <xf numFmtId="0" fontId="20" fillId="9" borderId="3" xfId="0" applyFont="1" applyFill="1" applyBorder="1" applyAlignment="1">
      <alignment horizontal="right"/>
    </xf>
    <xf numFmtId="0" fontId="20" fillId="0" borderId="0" xfId="0" applyFont="1" applyAlignment="1">
      <alignment horizontal="left" vertical="center"/>
    </xf>
    <xf numFmtId="173" fontId="9" fillId="2" borderId="0" xfId="13" applyNumberFormat="1" applyBorder="1" applyAlignment="1" applyProtection="1">
      <alignment horizontal="left"/>
    </xf>
    <xf numFmtId="0" fontId="20" fillId="9" borderId="9" xfId="0" applyFont="1" applyFill="1" applyBorder="1" applyAlignment="1">
      <alignment horizontal="left" vertical="center"/>
    </xf>
    <xf numFmtId="0" fontId="17" fillId="9" borderId="9" xfId="0" applyFont="1" applyFill="1" applyBorder="1" applyAlignment="1">
      <alignment vertical="center"/>
    </xf>
    <xf numFmtId="0" fontId="17" fillId="9" borderId="4" xfId="0" applyFont="1" applyFill="1" applyBorder="1" applyAlignment="1">
      <alignment vertical="center"/>
    </xf>
    <xf numFmtId="0" fontId="17" fillId="0" borderId="5" xfId="0" applyFont="1" applyBorder="1" applyAlignment="1">
      <alignment vertical="center"/>
    </xf>
    <xf numFmtId="0" fontId="17" fillId="0" borderId="6" xfId="0" applyFont="1" applyBorder="1" applyAlignment="1">
      <alignment vertical="center"/>
    </xf>
    <xf numFmtId="0" fontId="17" fillId="0" borderId="5" xfId="0" applyFont="1" applyBorder="1"/>
    <xf numFmtId="0" fontId="17" fillId="0" borderId="0" xfId="0" applyFont="1" applyAlignment="1">
      <alignment vertical="center" wrapText="1"/>
    </xf>
    <xf numFmtId="0" fontId="17" fillId="0" borderId="6" xfId="0" applyFont="1" applyBorder="1" applyAlignment="1">
      <alignment vertical="center" wrapText="1"/>
    </xf>
    <xf numFmtId="0" fontId="20" fillId="0" borderId="0" xfId="0" applyFont="1" applyAlignment="1">
      <alignment horizontal="right" vertical="center"/>
    </xf>
    <xf numFmtId="0" fontId="20" fillId="0" borderId="0" xfId="0" applyFont="1" applyAlignment="1">
      <alignment horizontal="left" vertical="center" wrapText="1"/>
    </xf>
    <xf numFmtId="0" fontId="20" fillId="0" borderId="5" xfId="0" applyFont="1" applyBorder="1" applyAlignment="1">
      <alignment horizontal="right" vertical="center"/>
    </xf>
    <xf numFmtId="0" fontId="20" fillId="0" borderId="0" xfId="0" applyFont="1" applyAlignment="1">
      <alignment vertical="center" wrapText="1"/>
    </xf>
    <xf numFmtId="173" fontId="9" fillId="2" borderId="0" xfId="13" applyNumberFormat="1" applyBorder="1" applyAlignment="1" applyProtection="1">
      <alignment horizontal="left" vertical="center" wrapText="1"/>
    </xf>
    <xf numFmtId="0" fontId="20" fillId="0" borderId="7" xfId="0" applyFont="1" applyBorder="1" applyAlignment="1">
      <alignment horizontal="right" vertical="center"/>
    </xf>
    <xf numFmtId="0" fontId="20" fillId="0" borderId="10" xfId="0" applyFont="1" applyBorder="1" applyAlignment="1">
      <alignment vertical="center" wrapText="1"/>
    </xf>
    <xf numFmtId="164" fontId="9" fillId="2" borderId="0" xfId="13" applyNumberFormat="1" applyBorder="1" applyProtection="1"/>
    <xf numFmtId="9" fontId="17" fillId="0" borderId="0" xfId="0" applyNumberFormat="1" applyFont="1" applyAlignment="1">
      <alignment horizontal="left"/>
    </xf>
    <xf numFmtId="173" fontId="17" fillId="0" borderId="0" xfId="0" applyNumberFormat="1" applyFont="1" applyAlignment="1">
      <alignment horizontal="right"/>
    </xf>
    <xf numFmtId="167" fontId="13" fillId="0" borderId="0" xfId="0" applyNumberFormat="1" applyFont="1"/>
    <xf numFmtId="172" fontId="13" fillId="0" borderId="0" xfId="0" applyNumberFormat="1" applyFont="1"/>
    <xf numFmtId="168" fontId="13" fillId="0" borderId="0" xfId="0" applyNumberFormat="1" applyFont="1"/>
    <xf numFmtId="167" fontId="17" fillId="0" borderId="0" xfId="0" applyNumberFormat="1" applyFont="1" applyAlignment="1">
      <alignment horizontal="right"/>
    </xf>
    <xf numFmtId="0" fontId="23" fillId="0" borderId="0" xfId="0" applyFont="1" applyAlignment="1">
      <alignment horizontal="right"/>
    </xf>
    <xf numFmtId="0" fontId="0" fillId="0" borderId="0" xfId="0" applyAlignment="1">
      <alignment vertical="center"/>
    </xf>
    <xf numFmtId="0" fontId="17" fillId="0" borderId="0" xfId="0" applyFont="1" applyAlignment="1">
      <alignment wrapText="1"/>
    </xf>
    <xf numFmtId="167" fontId="9" fillId="2" borderId="0" xfId="13" applyNumberFormat="1" applyBorder="1" applyProtection="1"/>
    <xf numFmtId="0" fontId="9" fillId="0" borderId="0" xfId="13" applyFill="1" applyBorder="1" applyProtection="1"/>
    <xf numFmtId="167" fontId="9" fillId="2" borderId="10" xfId="13" applyNumberFormat="1" applyBorder="1" applyProtection="1"/>
    <xf numFmtId="164" fontId="16" fillId="0" borderId="0" xfId="0" applyNumberFormat="1" applyFont="1" applyAlignment="1">
      <alignment horizontal="left"/>
    </xf>
    <xf numFmtId="173" fontId="13" fillId="0" borderId="0" xfId="0" applyNumberFormat="1" applyFont="1" applyAlignment="1">
      <alignment horizontal="left"/>
    </xf>
    <xf numFmtId="164" fontId="13" fillId="0" borderId="0" xfId="0" applyNumberFormat="1" applyFont="1" applyAlignment="1">
      <alignment horizontal="left"/>
    </xf>
    <xf numFmtId="167" fontId="13" fillId="0" borderId="0" xfId="0" applyNumberFormat="1" applyFont="1" applyAlignment="1">
      <alignment horizontal="center"/>
    </xf>
    <xf numFmtId="170" fontId="13" fillId="0" borderId="0" xfId="0" applyNumberFormat="1" applyFont="1"/>
    <xf numFmtId="0" fontId="13" fillId="0" borderId="0" xfId="5" applyFont="1" applyProtection="1"/>
    <xf numFmtId="0" fontId="17" fillId="0" borderId="0" xfId="5" applyFont="1" applyProtection="1"/>
    <xf numFmtId="10" fontId="13" fillId="0" borderId="0" xfId="5" applyNumberFormat="1" applyFont="1" applyProtection="1"/>
    <xf numFmtId="166" fontId="17" fillId="0" borderId="0" xfId="5" applyNumberFormat="1" applyFont="1" applyProtection="1"/>
    <xf numFmtId="164" fontId="13" fillId="0" borderId="0" xfId="5" applyNumberFormat="1" applyFont="1" applyProtection="1"/>
    <xf numFmtId="0" fontId="13" fillId="0" borderId="0" xfId="5" applyFont="1" applyAlignment="1" applyProtection="1">
      <alignment horizontal="right"/>
    </xf>
    <xf numFmtId="171" fontId="13" fillId="0" borderId="0" xfId="0" applyNumberFormat="1" applyFont="1"/>
    <xf numFmtId="0" fontId="13" fillId="0" borderId="0" xfId="0" applyFont="1" applyAlignment="1">
      <alignment horizontal="right" vertical="center"/>
    </xf>
    <xf numFmtId="49" fontId="17" fillId="0" borderId="0" xfId="0" applyNumberFormat="1" applyFont="1" applyAlignment="1">
      <alignment horizontal="right"/>
    </xf>
    <xf numFmtId="49" fontId="17" fillId="0" borderId="0" xfId="0" applyNumberFormat="1" applyFont="1"/>
    <xf numFmtId="49" fontId="17" fillId="0" borderId="0" xfId="0" applyNumberFormat="1" applyFont="1" applyAlignment="1">
      <alignment horizontal="left"/>
    </xf>
    <xf numFmtId="164" fontId="17" fillId="0" borderId="0" xfId="0" applyNumberFormat="1" applyFont="1" applyAlignment="1">
      <alignment horizontal="left"/>
    </xf>
    <xf numFmtId="0" fontId="17" fillId="0" borderId="0" xfId="0" applyFont="1" applyAlignment="1">
      <alignment vertical="top" wrapText="1"/>
    </xf>
    <xf numFmtId="0" fontId="25" fillId="0" borderId="0" xfId="0" applyFont="1" applyAlignment="1">
      <alignment vertical="center"/>
    </xf>
    <xf numFmtId="0" fontId="26" fillId="0" borderId="0" xfId="0" applyFont="1"/>
    <xf numFmtId="0" fontId="27" fillId="0" borderId="3" xfId="0" applyFont="1" applyBorder="1"/>
    <xf numFmtId="0" fontId="26" fillId="0" borderId="9" xfId="0" applyFont="1" applyBorder="1"/>
    <xf numFmtId="0" fontId="26" fillId="0" borderId="4" xfId="0" applyFont="1" applyBorder="1"/>
    <xf numFmtId="0" fontId="26" fillId="0" borderId="5" xfId="0" applyFont="1" applyBorder="1" applyAlignment="1">
      <alignment horizontal="right" wrapText="1"/>
    </xf>
    <xf numFmtId="0" fontId="26" fillId="0" borderId="0" xfId="0" applyFont="1" applyAlignment="1">
      <alignment horizontal="center" wrapText="1"/>
    </xf>
    <xf numFmtId="0" fontId="26" fillId="0" borderId="6" xfId="0" applyFont="1" applyBorder="1"/>
    <xf numFmtId="0" fontId="26" fillId="0" borderId="0" xfId="0" applyFont="1" applyAlignment="1">
      <alignment horizontal="center"/>
    </xf>
    <xf numFmtId="0" fontId="25" fillId="0" borderId="6" xfId="0" applyFont="1" applyBorder="1" applyAlignment="1">
      <alignment vertical="center"/>
    </xf>
    <xf numFmtId="1" fontId="26" fillId="0" borderId="0" xfId="0" applyNumberFormat="1" applyFont="1" applyAlignment="1">
      <alignment horizontal="center"/>
    </xf>
    <xf numFmtId="173" fontId="26" fillId="0" borderId="0" xfId="0" applyNumberFormat="1" applyFont="1" applyAlignment="1">
      <alignment horizontal="center"/>
    </xf>
    <xf numFmtId="0" fontId="26" fillId="0" borderId="7" xfId="0" applyFont="1" applyBorder="1"/>
    <xf numFmtId="0" fontId="26" fillId="0" borderId="10" xfId="0" applyFont="1" applyBorder="1"/>
    <xf numFmtId="0" fontId="26" fillId="0" borderId="8" xfId="0" applyFont="1" applyBorder="1"/>
    <xf numFmtId="0" fontId="28" fillId="0" borderId="3" xfId="0" applyFont="1" applyBorder="1" applyAlignment="1">
      <alignment vertical="center"/>
    </xf>
    <xf numFmtId="0" fontId="29" fillId="0" borderId="9" xfId="0" applyFont="1" applyBorder="1" applyAlignment="1">
      <alignment horizontal="center" vertical="center"/>
    </xf>
    <xf numFmtId="0" fontId="29" fillId="0" borderId="9" xfId="0" applyFont="1" applyBorder="1" applyAlignment="1">
      <alignment horizontal="left" vertical="center"/>
    </xf>
    <xf numFmtId="0" fontId="29" fillId="0" borderId="0" xfId="0" applyFont="1" applyAlignment="1">
      <alignment horizontal="right" vertical="center"/>
    </xf>
    <xf numFmtId="0" fontId="29" fillId="0" borderId="5" xfId="0" applyFont="1" applyBorder="1" applyAlignment="1">
      <alignment horizontal="right" vertical="center"/>
    </xf>
    <xf numFmtId="164" fontId="29" fillId="0" borderId="0" xfId="0" applyNumberFormat="1" applyFont="1" applyAlignment="1">
      <alignment horizontal="center" vertical="center"/>
    </xf>
    <xf numFmtId="0" fontId="29" fillId="0" borderId="0" xfId="0" applyFont="1" applyAlignment="1">
      <alignment horizontal="left" vertical="center"/>
    </xf>
    <xf numFmtId="0" fontId="26" fillId="0" borderId="0" xfId="0" applyFont="1" applyAlignment="1">
      <alignment horizontal="right"/>
    </xf>
    <xf numFmtId="0" fontId="29" fillId="0" borderId="5" xfId="0" applyFont="1" applyBorder="1" applyAlignment="1">
      <alignment vertical="center"/>
    </xf>
    <xf numFmtId="0" fontId="29" fillId="0" borderId="0" xfId="0" applyFont="1" applyAlignment="1">
      <alignment horizontal="center" vertical="center"/>
    </xf>
    <xf numFmtId="0" fontId="29" fillId="0" borderId="5" xfId="0" applyFont="1" applyBorder="1" applyAlignment="1">
      <alignment horizontal="right"/>
    </xf>
    <xf numFmtId="0" fontId="29" fillId="0" borderId="0" xfId="0" applyFont="1"/>
    <xf numFmtId="0" fontId="27" fillId="0" borderId="3" xfId="0" applyFont="1" applyBorder="1" applyAlignment="1">
      <alignment vertical="center"/>
    </xf>
    <xf numFmtId="0" fontId="27" fillId="0" borderId="9" xfId="0" applyFont="1" applyBorder="1" applyAlignment="1">
      <alignment vertical="center"/>
    </xf>
    <xf numFmtId="0" fontId="26" fillId="0" borderId="9" xfId="0" applyFont="1" applyBorder="1" applyAlignment="1">
      <alignment vertical="center"/>
    </xf>
    <xf numFmtId="0" fontId="26" fillId="0" borderId="4" xfId="0" applyFont="1" applyBorder="1" applyAlignment="1">
      <alignment vertical="center"/>
    </xf>
    <xf numFmtId="0" fontId="27" fillId="0" borderId="5" xfId="0" applyFont="1" applyBorder="1" applyAlignment="1">
      <alignment vertical="center"/>
    </xf>
    <xf numFmtId="0" fontId="27" fillId="0" borderId="0" xfId="0" applyFont="1" applyAlignment="1">
      <alignment vertical="center"/>
    </xf>
    <xf numFmtId="0" fontId="26" fillId="0" borderId="0" xfId="0" applyFont="1" applyAlignment="1">
      <alignment vertical="center"/>
    </xf>
    <xf numFmtId="0" fontId="26" fillId="0" borderId="6" xfId="0" applyFont="1" applyBorder="1" applyAlignment="1">
      <alignment vertical="center"/>
    </xf>
    <xf numFmtId="0" fontId="29" fillId="0" borderId="5" xfId="0" applyFont="1" applyBorder="1" applyAlignment="1">
      <alignment horizontal="right" wrapText="1"/>
    </xf>
    <xf numFmtId="0" fontId="26" fillId="0" borderId="0" xfId="0" applyFont="1" applyAlignment="1">
      <alignment vertical="top"/>
    </xf>
    <xf numFmtId="0" fontId="26" fillId="0" borderId="0" xfId="0" applyFont="1" applyAlignment="1">
      <alignment vertical="center" wrapText="1"/>
    </xf>
    <xf numFmtId="0" fontId="26" fillId="0" borderId="0" xfId="0" applyFont="1" applyAlignment="1">
      <alignment wrapText="1"/>
    </xf>
    <xf numFmtId="176" fontId="26" fillId="0" borderId="0" xfId="0" applyNumberFormat="1" applyFont="1" applyAlignment="1">
      <alignment vertical="center" wrapText="1"/>
    </xf>
    <xf numFmtId="2" fontId="26" fillId="0" borderId="0" xfId="0" applyNumberFormat="1" applyFont="1" applyAlignment="1">
      <alignment vertical="center" wrapText="1"/>
    </xf>
    <xf numFmtId="0" fontId="25" fillId="0" borderId="5" xfId="0" applyFont="1" applyBorder="1" applyAlignment="1">
      <alignment vertical="center"/>
    </xf>
    <xf numFmtId="0" fontId="27" fillId="0" borderId="3" xfId="0" applyFont="1" applyBorder="1" applyAlignment="1">
      <alignment horizontal="left" vertical="top" wrapText="1"/>
    </xf>
    <xf numFmtId="0" fontId="25" fillId="0" borderId="9" xfId="0" applyFont="1" applyBorder="1" applyAlignment="1">
      <alignment vertical="center"/>
    </xf>
    <xf numFmtId="0" fontId="26" fillId="0" borderId="7" xfId="0" applyFont="1" applyBorder="1" applyAlignment="1">
      <alignment horizontal="right" wrapText="1"/>
    </xf>
    <xf numFmtId="0" fontId="26" fillId="0" borderId="10" xfId="0" applyFont="1" applyBorder="1" applyAlignment="1">
      <alignment horizontal="center" wrapText="1"/>
    </xf>
    <xf numFmtId="0" fontId="26" fillId="0" borderId="10" xfId="0" applyFont="1" applyBorder="1" applyAlignment="1">
      <alignment wrapText="1"/>
    </xf>
    <xf numFmtId="0" fontId="26" fillId="0" borderId="5" xfId="0" applyFont="1" applyBorder="1" applyAlignment="1">
      <alignment horizontal="left"/>
    </xf>
    <xf numFmtId="0" fontId="26" fillId="0" borderId="0" xfId="0" applyFont="1" applyAlignment="1">
      <alignment horizontal="left"/>
    </xf>
    <xf numFmtId="0" fontId="26" fillId="0" borderId="5" xfId="0" applyFont="1" applyBorder="1"/>
    <xf numFmtId="0" fontId="26" fillId="0" borderId="0" xfId="0" applyFont="1" applyAlignment="1">
      <alignment horizontal="center" vertical="center"/>
    </xf>
    <xf numFmtId="0" fontId="26" fillId="0" borderId="5" xfId="0" applyFont="1" applyBorder="1" applyAlignment="1">
      <alignment horizontal="right"/>
    </xf>
    <xf numFmtId="164" fontId="26" fillId="0" borderId="0" xfId="0" applyNumberFormat="1" applyFont="1" applyAlignment="1">
      <alignment horizontal="right"/>
    </xf>
    <xf numFmtId="0" fontId="26" fillId="0" borderId="5" xfId="0" applyFont="1" applyBorder="1" applyAlignment="1">
      <alignment horizontal="right" vertical="center"/>
    </xf>
    <xf numFmtId="0" fontId="26" fillId="0" borderId="0" xfId="0" applyFont="1" applyAlignment="1">
      <alignment horizontal="right" vertical="center"/>
    </xf>
    <xf numFmtId="166" fontId="26" fillId="0" borderId="0" xfId="0" applyNumberFormat="1" applyFont="1" applyAlignment="1">
      <alignment vertical="center"/>
    </xf>
    <xf numFmtId="0" fontId="26" fillId="0" borderId="7" xfId="0" applyFont="1" applyBorder="1" applyAlignment="1">
      <alignment horizontal="right"/>
    </xf>
    <xf numFmtId="10" fontId="26" fillId="0" borderId="10" xfId="0" applyNumberFormat="1" applyFont="1" applyBorder="1" applyAlignment="1">
      <alignment horizontal="right"/>
    </xf>
    <xf numFmtId="0" fontId="26" fillId="0" borderId="7" xfId="0" applyFont="1" applyBorder="1" applyAlignment="1">
      <alignment horizontal="left"/>
    </xf>
    <xf numFmtId="0" fontId="26" fillId="0" borderId="10" xfId="0" applyFont="1" applyBorder="1" applyAlignment="1">
      <alignment horizontal="left"/>
    </xf>
    <xf numFmtId="0" fontId="26" fillId="0" borderId="10" xfId="0" applyFont="1" applyBorder="1" applyAlignment="1">
      <alignment vertical="center"/>
    </xf>
    <xf numFmtId="0" fontId="26" fillId="0" borderId="0" xfId="0" applyFont="1" applyAlignment="1">
      <alignment horizontal="left" vertical="center"/>
    </xf>
    <xf numFmtId="1" fontId="26" fillId="0" borderId="0" xfId="0" applyNumberFormat="1" applyFont="1" applyAlignment="1">
      <alignment horizontal="center" vertical="center"/>
    </xf>
    <xf numFmtId="164" fontId="26" fillId="0" borderId="0" xfId="0" applyNumberFormat="1" applyFont="1" applyAlignment="1">
      <alignment horizontal="right" vertical="center"/>
    </xf>
    <xf numFmtId="164" fontId="26" fillId="0" borderId="0" xfId="0" applyNumberFormat="1" applyFont="1" applyAlignment="1">
      <alignment vertical="center"/>
    </xf>
    <xf numFmtId="10" fontId="26" fillId="0" borderId="0" xfId="0" applyNumberFormat="1" applyFont="1" applyAlignment="1">
      <alignment vertical="center"/>
    </xf>
    <xf numFmtId="173" fontId="26" fillId="0" borderId="0" xfId="0" applyNumberFormat="1" applyFont="1" applyAlignment="1">
      <alignment horizontal="center" vertical="center"/>
    </xf>
    <xf numFmtId="176" fontId="26" fillId="0" borderId="0" xfId="0" applyNumberFormat="1" applyFont="1" applyAlignment="1">
      <alignment horizontal="center" vertical="center"/>
    </xf>
    <xf numFmtId="0" fontId="27" fillId="0" borderId="0" xfId="0" applyFont="1" applyAlignment="1">
      <alignment horizontal="center" vertical="center"/>
    </xf>
    <xf numFmtId="0" fontId="34" fillId="0" borderId="0" xfId="13" applyFont="1" applyFill="1" applyBorder="1" applyAlignment="1" applyProtection="1">
      <alignment vertical="center"/>
    </xf>
    <xf numFmtId="173" fontId="26" fillId="0" borderId="0" xfId="0" applyNumberFormat="1" applyFont="1" applyAlignment="1">
      <alignment vertical="center"/>
    </xf>
    <xf numFmtId="173" fontId="26" fillId="0" borderId="0" xfId="0" applyNumberFormat="1" applyFont="1" applyAlignment="1">
      <alignment horizontal="left" vertical="center"/>
    </xf>
    <xf numFmtId="167" fontId="26" fillId="0" borderId="0" xfId="0" applyNumberFormat="1" applyFont="1" applyAlignment="1">
      <alignment vertical="center"/>
    </xf>
    <xf numFmtId="0" fontId="35" fillId="0" borderId="0" xfId="0" applyFont="1" applyAlignment="1">
      <alignment horizontal="right" vertical="center"/>
    </xf>
    <xf numFmtId="0" fontId="27" fillId="0" borderId="0" xfId="0" applyFont="1" applyAlignment="1">
      <alignment horizontal="right" vertical="center"/>
    </xf>
    <xf numFmtId="0" fontId="27" fillId="0" borderId="0" xfId="0" applyFont="1"/>
    <xf numFmtId="0" fontId="28" fillId="9" borderId="3" xfId="0" applyFont="1" applyFill="1" applyBorder="1" applyAlignment="1">
      <alignment horizontal="center" vertical="center"/>
    </xf>
    <xf numFmtId="0" fontId="28" fillId="9" borderId="9" xfId="0" applyFont="1" applyFill="1" applyBorder="1" applyAlignment="1">
      <alignment horizontal="center"/>
    </xf>
    <xf numFmtId="0" fontId="28" fillId="9" borderId="9" xfId="0" applyFont="1" applyFill="1" applyBorder="1" applyAlignment="1">
      <alignment horizontal="center" vertical="center"/>
    </xf>
    <xf numFmtId="0" fontId="28" fillId="9" borderId="4" xfId="0" applyFont="1" applyFill="1" applyBorder="1" applyAlignment="1">
      <alignment horizontal="center" vertical="center"/>
    </xf>
    <xf numFmtId="0" fontId="29" fillId="10" borderId="5" xfId="0" applyFont="1" applyFill="1" applyBorder="1" applyAlignment="1">
      <alignment horizontal="center" vertical="center"/>
    </xf>
    <xf numFmtId="173" fontId="29" fillId="0" borderId="0" xfId="0" applyNumberFormat="1" applyFont="1" applyAlignment="1">
      <alignment horizontal="center" vertical="center"/>
    </xf>
    <xf numFmtId="173" fontId="29" fillId="0" borderId="6" xfId="0" applyNumberFormat="1" applyFont="1" applyBorder="1" applyAlignment="1">
      <alignment horizontal="center" vertical="center"/>
    </xf>
    <xf numFmtId="0" fontId="26" fillId="10" borderId="5" xfId="0" applyFont="1" applyFill="1" applyBorder="1" applyAlignment="1">
      <alignment horizontal="center" vertical="center"/>
    </xf>
    <xf numFmtId="0" fontId="26" fillId="10" borderId="7" xfId="0" applyFont="1" applyFill="1" applyBorder="1" applyAlignment="1">
      <alignment horizontal="center" vertical="center"/>
    </xf>
    <xf numFmtId="1" fontId="26" fillId="0" borderId="10" xfId="0" applyNumberFormat="1" applyFont="1" applyBorder="1" applyAlignment="1">
      <alignment horizontal="center" vertical="center"/>
    </xf>
    <xf numFmtId="0" fontId="29" fillId="0" borderId="10" xfId="0" applyFont="1" applyBorder="1" applyAlignment="1">
      <alignment horizontal="center" vertical="center"/>
    </xf>
    <xf numFmtId="173" fontId="29" fillId="0" borderId="10" xfId="0" applyNumberFormat="1" applyFont="1" applyBorder="1" applyAlignment="1">
      <alignment horizontal="center" vertical="center"/>
    </xf>
    <xf numFmtId="164" fontId="29" fillId="0" borderId="10" xfId="0" applyNumberFormat="1" applyFont="1" applyBorder="1" applyAlignment="1">
      <alignment horizontal="center" vertical="center"/>
    </xf>
    <xf numFmtId="173" fontId="29" fillId="0" borderId="8" xfId="0" applyNumberFormat="1" applyFont="1" applyBorder="1" applyAlignment="1">
      <alignment horizontal="center" vertical="center"/>
    </xf>
    <xf numFmtId="170" fontId="26" fillId="0" borderId="0" xfId="0" applyNumberFormat="1" applyFont="1" applyAlignment="1">
      <alignment vertical="center"/>
    </xf>
    <xf numFmtId="0" fontId="26" fillId="0" borderId="0" xfId="5" applyFont="1" applyAlignment="1" applyProtection="1">
      <alignment vertical="center"/>
    </xf>
    <xf numFmtId="0" fontId="29" fillId="0" borderId="0" xfId="5" applyFont="1" applyAlignment="1" applyProtection="1">
      <alignment vertical="center"/>
    </xf>
    <xf numFmtId="10" fontId="26" fillId="0" borderId="0" xfId="5" applyNumberFormat="1" applyFont="1" applyAlignment="1" applyProtection="1">
      <alignment vertical="center"/>
    </xf>
    <xf numFmtId="166" fontId="29" fillId="0" borderId="0" xfId="5" applyNumberFormat="1" applyFont="1" applyAlignment="1" applyProtection="1">
      <alignment vertical="center"/>
    </xf>
    <xf numFmtId="0" fontId="26" fillId="0" borderId="0" xfId="5" applyFont="1" applyAlignment="1" applyProtection="1">
      <alignment horizontal="left" vertical="center"/>
    </xf>
    <xf numFmtId="164" fontId="34" fillId="0" borderId="0" xfId="13" applyNumberFormat="1" applyFont="1" applyFill="1" applyBorder="1" applyAlignment="1" applyProtection="1">
      <alignment vertical="center"/>
    </xf>
    <xf numFmtId="0" fontId="28" fillId="9" borderId="3" xfId="0" applyFont="1" applyFill="1" applyBorder="1" applyAlignment="1">
      <alignment horizontal="center" wrapText="1"/>
    </xf>
    <xf numFmtId="0" fontId="28" fillId="9" borderId="9" xfId="0" applyFont="1" applyFill="1" applyBorder="1" applyAlignment="1">
      <alignment horizontal="center" wrapText="1"/>
    </xf>
    <xf numFmtId="0" fontId="28" fillId="9" borderId="4" xfId="0" applyFont="1" applyFill="1" applyBorder="1" applyAlignment="1">
      <alignment horizontal="center"/>
    </xf>
    <xf numFmtId="0" fontId="28" fillId="9" borderId="3" xfId="0" applyFont="1" applyFill="1" applyBorder="1" applyAlignment="1">
      <alignment horizontal="center" vertical="center" wrapText="1"/>
    </xf>
    <xf numFmtId="0" fontId="28" fillId="9" borderId="9" xfId="0" applyFont="1" applyFill="1" applyBorder="1" applyAlignment="1">
      <alignment horizontal="center" vertical="center" wrapText="1"/>
    </xf>
    <xf numFmtId="173" fontId="29" fillId="10" borderId="5" xfId="11" applyNumberFormat="1" applyFont="1" applyFill="1" applyBorder="1" applyAlignment="1" applyProtection="1">
      <alignment horizontal="center"/>
    </xf>
    <xf numFmtId="173" fontId="39" fillId="3" borderId="0" xfId="14" applyNumberFormat="1" applyFont="1" applyBorder="1" applyAlignment="1" applyProtection="1">
      <alignment horizontal="center"/>
    </xf>
    <xf numFmtId="173" fontId="39" fillId="3" borderId="0" xfId="14" applyNumberFormat="1" applyFont="1" applyBorder="1" applyAlignment="1" applyProtection="1">
      <alignment horizontal="center" wrapText="1"/>
    </xf>
    <xf numFmtId="173" fontId="39" fillId="3" borderId="6" xfId="14" applyNumberFormat="1" applyFont="1" applyBorder="1" applyAlignment="1" applyProtection="1">
      <alignment horizontal="center"/>
    </xf>
    <xf numFmtId="173" fontId="29" fillId="0" borderId="0" xfId="14" applyNumberFormat="1" applyFont="1" applyFill="1" applyBorder="1" applyAlignment="1" applyProtection="1">
      <alignment horizontal="center" vertical="center"/>
    </xf>
    <xf numFmtId="173" fontId="25" fillId="4" borderId="0" xfId="15" applyNumberFormat="1" applyFont="1" applyBorder="1" applyAlignment="1" applyProtection="1">
      <alignment horizontal="center" vertical="center"/>
    </xf>
    <xf numFmtId="173" fontId="41" fillId="11" borderId="0" xfId="16" applyNumberFormat="1" applyFont="1" applyFill="1" applyBorder="1" applyAlignment="1" applyProtection="1">
      <alignment horizontal="center"/>
    </xf>
    <xf numFmtId="173" fontId="29" fillId="0" borderId="0" xfId="14" applyNumberFormat="1" applyFont="1" applyFill="1" applyBorder="1" applyAlignment="1" applyProtection="1">
      <alignment horizontal="center" vertical="center" wrapText="1"/>
    </xf>
    <xf numFmtId="173" fontId="41" fillId="6" borderId="6" xfId="17" applyNumberFormat="1" applyFont="1" applyBorder="1" applyAlignment="1" applyProtection="1">
      <alignment horizontal="center"/>
    </xf>
    <xf numFmtId="173" fontId="29" fillId="0" borderId="0" xfId="18" applyNumberFormat="1" applyFont="1" applyFill="1" applyBorder="1" applyAlignment="1" applyProtection="1">
      <alignment horizontal="center" vertical="center"/>
    </xf>
    <xf numFmtId="173" fontId="29" fillId="0" borderId="0" xfId="18" applyNumberFormat="1" applyFont="1" applyFill="1" applyBorder="1" applyAlignment="1" applyProtection="1">
      <alignment horizontal="center" vertical="center" wrapText="1"/>
    </xf>
    <xf numFmtId="173" fontId="29" fillId="10" borderId="7" xfId="11" applyNumberFormat="1" applyFont="1" applyFill="1" applyBorder="1" applyAlignment="1" applyProtection="1">
      <alignment horizontal="center"/>
    </xf>
    <xf numFmtId="173" fontId="39" fillId="3" borderId="10" xfId="14" applyNumberFormat="1" applyFont="1" applyBorder="1" applyAlignment="1" applyProtection="1">
      <alignment horizontal="center"/>
    </xf>
    <xf numFmtId="173" fontId="39" fillId="3" borderId="10" xfId="14" applyNumberFormat="1" applyFont="1" applyBorder="1" applyAlignment="1" applyProtection="1">
      <alignment horizontal="center" wrapText="1"/>
    </xf>
    <xf numFmtId="173" fontId="39" fillId="3" borderId="8" xfId="14" applyNumberFormat="1" applyFont="1" applyBorder="1" applyAlignment="1" applyProtection="1">
      <alignment horizontal="center"/>
    </xf>
    <xf numFmtId="173" fontId="29" fillId="0" borderId="0" xfId="18" applyNumberFormat="1" applyFont="1" applyFill="1" applyBorder="1" applyAlignment="1" applyProtection="1">
      <alignment horizontal="center"/>
    </xf>
    <xf numFmtId="0" fontId="41" fillId="6" borderId="6" xfId="17" applyFont="1" applyBorder="1" applyAlignment="1" applyProtection="1">
      <alignment horizontal="center"/>
    </xf>
    <xf numFmtId="173" fontId="29" fillId="0" borderId="10" xfId="18" applyNumberFormat="1" applyFont="1" applyFill="1" applyBorder="1" applyAlignment="1" applyProtection="1">
      <alignment horizontal="center" vertical="center"/>
    </xf>
    <xf numFmtId="173" fontId="25" fillId="4" borderId="10" xfId="15" applyNumberFormat="1" applyFont="1" applyBorder="1" applyAlignment="1" applyProtection="1">
      <alignment horizontal="center" vertical="center"/>
    </xf>
    <xf numFmtId="173" fontId="41" fillId="11" borderId="10" xfId="16" applyNumberFormat="1" applyFont="1" applyFill="1" applyBorder="1" applyAlignment="1" applyProtection="1">
      <alignment horizontal="center"/>
    </xf>
    <xf numFmtId="173" fontId="41" fillId="6" borderId="8" xfId="17" applyNumberFormat="1" applyFont="1" applyBorder="1" applyAlignment="1" applyProtection="1">
      <alignment horizontal="center"/>
    </xf>
    <xf numFmtId="0" fontId="27" fillId="0" borderId="0" xfId="0" applyFont="1" applyAlignment="1">
      <alignment horizontal="left" vertical="center"/>
    </xf>
    <xf numFmtId="167" fontId="29" fillId="0" borderId="0" xfId="0" applyNumberFormat="1" applyFont="1" applyAlignment="1">
      <alignment wrapText="1"/>
    </xf>
    <xf numFmtId="0" fontId="43" fillId="12" borderId="0" xfId="0" applyFont="1" applyFill="1" applyAlignment="1">
      <alignment horizontal="center"/>
    </xf>
    <xf numFmtId="0" fontId="29" fillId="0" borderId="0" xfId="0" applyFont="1" applyAlignment="1">
      <alignment vertical="center"/>
    </xf>
    <xf numFmtId="0" fontId="29" fillId="12" borderId="0" xfId="0" applyFont="1" applyFill="1" applyAlignment="1">
      <alignment horizontal="center"/>
    </xf>
    <xf numFmtId="0" fontId="29" fillId="0" borderId="0" xfId="0" applyFont="1" applyAlignment="1">
      <alignment horizontal="right" vertical="center" wrapText="1"/>
    </xf>
    <xf numFmtId="0" fontId="29" fillId="0" borderId="0" xfId="0" applyFont="1" applyAlignment="1">
      <alignment horizontal="center"/>
    </xf>
    <xf numFmtId="0" fontId="29" fillId="12" borderId="0" xfId="0" applyFont="1" applyFill="1" applyAlignment="1">
      <alignment horizontal="right"/>
    </xf>
    <xf numFmtId="0" fontId="29" fillId="12" borderId="0" xfId="0" applyFont="1" applyFill="1"/>
    <xf numFmtId="0" fontId="29" fillId="0" borderId="0" xfId="0" applyFont="1" applyAlignment="1">
      <alignment horizontal="right"/>
    </xf>
    <xf numFmtId="0" fontId="29" fillId="13" borderId="0" xfId="0" applyFont="1" applyFill="1" applyAlignment="1">
      <alignment horizontal="right"/>
    </xf>
    <xf numFmtId="0" fontId="29" fillId="13" borderId="0" xfId="0" applyFont="1" applyFill="1"/>
    <xf numFmtId="0" fontId="43" fillId="13" borderId="0" xfId="0" applyFont="1" applyFill="1" applyAlignment="1">
      <alignment horizontal="center"/>
    </xf>
    <xf numFmtId="0" fontId="29" fillId="13" borderId="0" xfId="0" applyFont="1" applyFill="1" applyAlignment="1">
      <alignment horizontal="center"/>
    </xf>
    <xf numFmtId="173" fontId="29" fillId="13" borderId="0" xfId="0" applyNumberFormat="1" applyFont="1" applyFill="1" applyAlignment="1">
      <alignment horizontal="left"/>
    </xf>
    <xf numFmtId="0" fontId="29" fillId="9" borderId="3" xfId="0" applyFont="1" applyFill="1" applyBorder="1" applyAlignment="1">
      <alignment horizontal="center" vertical="center"/>
    </xf>
    <xf numFmtId="0" fontId="29" fillId="9" borderId="9" xfId="0" applyFont="1" applyFill="1" applyBorder="1" applyAlignment="1">
      <alignment horizontal="center" vertical="center"/>
    </xf>
    <xf numFmtId="0" fontId="29" fillId="9" borderId="4" xfId="0" applyFont="1" applyFill="1" applyBorder="1" applyAlignment="1">
      <alignment horizontal="center" vertical="center"/>
    </xf>
    <xf numFmtId="173" fontId="29" fillId="10" borderId="5" xfId="11" applyNumberFormat="1" applyFont="1" applyFill="1" applyBorder="1" applyAlignment="1" applyProtection="1">
      <alignment horizontal="center" vertical="center"/>
    </xf>
    <xf numFmtId="173" fontId="29" fillId="11" borderId="0" xfId="14" applyNumberFormat="1" applyFont="1" applyFill="1" applyBorder="1" applyAlignment="1" applyProtection="1">
      <alignment horizontal="center" vertical="center"/>
    </xf>
    <xf numFmtId="173" fontId="41" fillId="5" borderId="6" xfId="16" applyNumberFormat="1" applyFont="1" applyBorder="1" applyAlignment="1" applyProtection="1">
      <alignment horizontal="center" vertical="center"/>
    </xf>
    <xf numFmtId="173" fontId="29" fillId="11" borderId="0" xfId="16" applyNumberFormat="1" applyFont="1" applyFill="1" applyBorder="1" applyAlignment="1" applyProtection="1">
      <alignment horizontal="center" vertical="center"/>
    </xf>
    <xf numFmtId="173" fontId="29" fillId="11" borderId="0" xfId="16" applyNumberFormat="1" applyFont="1" applyFill="1" applyBorder="1" applyAlignment="1" applyProtection="1">
      <alignment horizontal="center"/>
    </xf>
    <xf numFmtId="173" fontId="29" fillId="11" borderId="10" xfId="16" applyNumberFormat="1" applyFont="1" applyFill="1" applyBorder="1" applyAlignment="1" applyProtection="1">
      <alignment horizontal="center"/>
    </xf>
    <xf numFmtId="173" fontId="29" fillId="0" borderId="0" xfId="13" applyNumberFormat="1" applyFont="1" applyFill="1" applyBorder="1" applyAlignment="1" applyProtection="1">
      <alignment horizontal="center" vertical="center"/>
    </xf>
    <xf numFmtId="2" fontId="29" fillId="0" borderId="0" xfId="13" applyNumberFormat="1" applyFont="1" applyFill="1" applyBorder="1" applyAlignment="1" applyProtection="1">
      <alignment horizontal="center" vertical="center"/>
    </xf>
    <xf numFmtId="2" fontId="29" fillId="0" borderId="2" xfId="18" applyNumberFormat="1" applyFont="1" applyFill="1" applyAlignment="1" applyProtection="1">
      <alignment horizontal="center" wrapText="1"/>
    </xf>
    <xf numFmtId="0" fontId="29" fillId="0" borderId="6" xfId="13" applyFont="1" applyFill="1" applyBorder="1" applyAlignment="1" applyProtection="1">
      <alignment horizontal="center" vertical="center"/>
    </xf>
    <xf numFmtId="173" fontId="29" fillId="0" borderId="2" xfId="18" applyNumberFormat="1" applyFont="1" applyFill="1" applyAlignment="1" applyProtection="1">
      <alignment horizontal="center" vertical="center"/>
    </xf>
    <xf numFmtId="2" fontId="29" fillId="0" borderId="2" xfId="18" applyNumberFormat="1" applyFont="1" applyFill="1" applyAlignment="1" applyProtection="1">
      <alignment horizontal="center" vertical="center"/>
    </xf>
    <xf numFmtId="173" fontId="29" fillId="10" borderId="7" xfId="11" applyNumberFormat="1" applyFont="1" applyFill="1" applyBorder="1" applyAlignment="1" applyProtection="1">
      <alignment horizontal="center" vertical="center"/>
    </xf>
    <xf numFmtId="173" fontId="29" fillId="0" borderId="2" xfId="18" applyNumberFormat="1" applyFont="1" applyFill="1" applyAlignment="1" applyProtection="1">
      <alignment horizontal="center" wrapText="1"/>
    </xf>
    <xf numFmtId="173" fontId="26" fillId="10" borderId="5" xfId="11" applyNumberFormat="1" applyFont="1" applyFill="1" applyBorder="1" applyAlignment="1" applyProtection="1">
      <alignment horizontal="center"/>
    </xf>
    <xf numFmtId="173" fontId="29" fillId="0" borderId="23" xfId="18" applyNumberFormat="1" applyFont="1" applyFill="1" applyBorder="1" applyAlignment="1" applyProtection="1">
      <alignment horizontal="center" vertical="center"/>
    </xf>
    <xf numFmtId="173" fontId="29" fillId="0" borderId="23" xfId="18" applyNumberFormat="1" applyFont="1" applyFill="1" applyBorder="1" applyAlignment="1" applyProtection="1">
      <alignment horizontal="center" wrapText="1"/>
    </xf>
    <xf numFmtId="2" fontId="29" fillId="0" borderId="23" xfId="18" applyNumberFormat="1" applyFont="1" applyFill="1" applyBorder="1" applyAlignment="1" applyProtection="1">
      <alignment horizontal="center" wrapText="1"/>
    </xf>
    <xf numFmtId="0" fontId="28" fillId="0" borderId="0" xfId="0" applyFont="1" applyAlignment="1">
      <alignment horizontal="center"/>
    </xf>
    <xf numFmtId="2" fontId="29" fillId="0" borderId="0" xfId="0" applyNumberFormat="1" applyFont="1" applyAlignment="1">
      <alignment horizontal="center"/>
    </xf>
    <xf numFmtId="173" fontId="29" fillId="0" borderId="0" xfId="0" applyNumberFormat="1" applyFont="1" applyAlignment="1">
      <alignment horizontal="center"/>
    </xf>
    <xf numFmtId="0" fontId="28" fillId="0" borderId="0" xfId="0" applyFont="1"/>
    <xf numFmtId="0" fontId="29" fillId="0" borderId="0" xfId="0" applyFont="1" applyAlignment="1">
      <alignment horizontal="left"/>
    </xf>
    <xf numFmtId="2" fontId="29" fillId="0" borderId="0" xfId="0" applyNumberFormat="1" applyFont="1" applyAlignment="1">
      <alignment horizontal="right"/>
    </xf>
    <xf numFmtId="2" fontId="29" fillId="0" borderId="0" xfId="0" applyNumberFormat="1" applyFont="1"/>
    <xf numFmtId="2" fontId="29" fillId="0" borderId="0" xfId="0" applyNumberFormat="1" applyFont="1" applyAlignment="1">
      <alignment horizontal="left"/>
    </xf>
    <xf numFmtId="0" fontId="28" fillId="9" borderId="24" xfId="0" applyFont="1" applyFill="1" applyBorder="1" applyAlignment="1">
      <alignment horizontal="center" vertical="center"/>
    </xf>
    <xf numFmtId="0" fontId="26" fillId="14" borderId="16" xfId="0" applyFont="1" applyFill="1" applyBorder="1" applyAlignment="1">
      <alignment vertical="center"/>
    </xf>
    <xf numFmtId="173" fontId="28" fillId="15" borderId="0" xfId="11" applyNumberFormat="1" applyFont="1" applyFill="1" applyAlignment="1" applyProtection="1">
      <alignment horizontal="center" vertical="center"/>
    </xf>
    <xf numFmtId="173" fontId="29" fillId="16" borderId="0" xfId="0" applyNumberFormat="1" applyFont="1" applyFill="1" applyAlignment="1">
      <alignment horizontal="center" vertical="center"/>
    </xf>
    <xf numFmtId="164" fontId="29" fillId="16" borderId="0" xfId="0" applyNumberFormat="1" applyFont="1" applyFill="1" applyAlignment="1">
      <alignment horizontal="center" vertical="center"/>
    </xf>
    <xf numFmtId="2" fontId="29" fillId="16" borderId="0" xfId="0" applyNumberFormat="1" applyFont="1" applyFill="1" applyAlignment="1">
      <alignment horizontal="center" vertical="center"/>
    </xf>
    <xf numFmtId="0" fontId="29" fillId="16" borderId="0" xfId="0" applyFont="1" applyFill="1" applyAlignment="1">
      <alignment horizontal="center" vertical="center"/>
    </xf>
    <xf numFmtId="0" fontId="26" fillId="16" borderId="0" xfId="0" applyFont="1" applyFill="1" applyAlignment="1">
      <alignment vertical="center"/>
    </xf>
    <xf numFmtId="173" fontId="28" fillId="15" borderId="0" xfId="18" applyNumberFormat="1" applyFont="1" applyFill="1" applyBorder="1" applyAlignment="1" applyProtection="1">
      <alignment horizontal="center" vertical="center"/>
    </xf>
    <xf numFmtId="173" fontId="29" fillId="16" borderId="0" xfId="18" applyNumberFormat="1" applyFont="1" applyFill="1" applyBorder="1" applyAlignment="1" applyProtection="1">
      <alignment horizontal="center" vertical="center"/>
    </xf>
    <xf numFmtId="2" fontId="29" fillId="16" borderId="0" xfId="18" applyNumberFormat="1" applyFont="1" applyFill="1" applyBorder="1" applyAlignment="1" applyProtection="1">
      <alignment horizontal="center" vertical="center"/>
    </xf>
    <xf numFmtId="173" fontId="28" fillId="15" borderId="0" xfId="18" applyNumberFormat="1" applyFont="1" applyFill="1" applyBorder="1" applyAlignment="1" applyProtection="1">
      <alignment horizontal="center"/>
    </xf>
    <xf numFmtId="173" fontId="29" fillId="17" borderId="0" xfId="18" applyNumberFormat="1" applyFont="1" applyFill="1" applyBorder="1" applyAlignment="1" applyProtection="1">
      <alignment horizontal="center"/>
    </xf>
    <xf numFmtId="173" fontId="29" fillId="17" borderId="0" xfId="0" applyNumberFormat="1" applyFont="1" applyFill="1" applyAlignment="1">
      <alignment horizontal="center" vertical="center"/>
    </xf>
    <xf numFmtId="164" fontId="29" fillId="17" borderId="0" xfId="0" applyNumberFormat="1" applyFont="1" applyFill="1" applyAlignment="1">
      <alignment horizontal="center" vertical="center"/>
    </xf>
    <xf numFmtId="2" fontId="29" fillId="17" borderId="0" xfId="18" applyNumberFormat="1" applyFont="1" applyFill="1" applyBorder="1" applyAlignment="1" applyProtection="1">
      <alignment horizontal="center"/>
    </xf>
    <xf numFmtId="0" fontId="26" fillId="17" borderId="0" xfId="0" applyFont="1" applyFill="1" applyAlignment="1">
      <alignment vertical="center"/>
    </xf>
    <xf numFmtId="173" fontId="28" fillId="15" borderId="0" xfId="11" applyNumberFormat="1" applyFont="1" applyFill="1" applyAlignment="1" applyProtection="1">
      <alignment horizontal="center"/>
    </xf>
    <xf numFmtId="0" fontId="28" fillId="15" borderId="0" xfId="0" applyFont="1" applyFill="1" applyAlignment="1">
      <alignment horizontal="center" vertical="center"/>
    </xf>
    <xf numFmtId="173" fontId="29" fillId="18" borderId="0" xfId="18" applyNumberFormat="1" applyFont="1" applyFill="1" applyBorder="1" applyAlignment="1" applyProtection="1">
      <alignment horizontal="center"/>
    </xf>
    <xf numFmtId="173" fontId="29" fillId="18" borderId="0" xfId="0" applyNumberFormat="1" applyFont="1" applyFill="1" applyAlignment="1">
      <alignment horizontal="center" vertical="center"/>
    </xf>
    <xf numFmtId="164" fontId="29" fillId="18" borderId="0" xfId="0" applyNumberFormat="1" applyFont="1" applyFill="1" applyAlignment="1">
      <alignment horizontal="center" vertical="center"/>
    </xf>
    <xf numFmtId="2" fontId="29" fillId="18" borderId="0" xfId="18" applyNumberFormat="1" applyFont="1" applyFill="1" applyBorder="1" applyAlignment="1" applyProtection="1">
      <alignment horizontal="center"/>
    </xf>
    <xf numFmtId="0" fontId="26" fillId="18" borderId="0" xfId="0" applyFont="1" applyFill="1" applyAlignment="1">
      <alignment vertical="center"/>
    </xf>
    <xf numFmtId="2" fontId="29" fillId="0" borderId="0" xfId="18" applyNumberFormat="1" applyFont="1" applyFill="1" applyBorder="1" applyAlignment="1" applyProtection="1">
      <alignment horizontal="center"/>
    </xf>
    <xf numFmtId="173" fontId="34" fillId="0" borderId="0" xfId="13" applyNumberFormat="1" applyFont="1" applyFill="1" applyBorder="1" applyAlignment="1" applyProtection="1">
      <alignment horizontal="left" vertical="center"/>
    </xf>
    <xf numFmtId="0" fontId="28" fillId="19" borderId="25" xfId="0" applyFont="1" applyFill="1" applyBorder="1" applyAlignment="1">
      <alignment horizontal="center"/>
    </xf>
    <xf numFmtId="0" fontId="29" fillId="19" borderId="26" xfId="0" applyFont="1" applyFill="1" applyBorder="1" applyAlignment="1">
      <alignment horizontal="center"/>
    </xf>
    <xf numFmtId="0" fontId="28" fillId="19" borderId="27" xfId="0" applyFont="1" applyFill="1" applyBorder="1" applyAlignment="1">
      <alignment horizontal="center"/>
    </xf>
    <xf numFmtId="173" fontId="29" fillId="0" borderId="0" xfId="0" applyNumberFormat="1" applyFont="1" applyAlignment="1">
      <alignment horizontal="left"/>
    </xf>
    <xf numFmtId="0" fontId="29" fillId="0" borderId="0" xfId="0" applyFont="1" applyAlignment="1">
      <alignment vertical="center" wrapText="1"/>
    </xf>
    <xf numFmtId="1" fontId="29" fillId="0" borderId="0" xfId="0" applyNumberFormat="1" applyFont="1" applyAlignment="1">
      <alignment horizontal="left"/>
    </xf>
    <xf numFmtId="0" fontId="34" fillId="0" borderId="0" xfId="13" applyFont="1" applyFill="1" applyBorder="1" applyAlignment="1" applyProtection="1">
      <alignment horizontal="center" vertical="center"/>
    </xf>
    <xf numFmtId="2" fontId="29" fillId="0" borderId="0" xfId="0" applyNumberFormat="1" applyFont="1" applyAlignment="1">
      <alignment horizontal="left" vertical="center"/>
    </xf>
    <xf numFmtId="0" fontId="29" fillId="9" borderId="0" xfId="0" applyFont="1" applyFill="1" applyAlignment="1">
      <alignment horizontal="center" vertical="center"/>
    </xf>
    <xf numFmtId="0" fontId="26" fillId="9" borderId="0" xfId="0" applyFont="1" applyFill="1" applyAlignment="1">
      <alignment horizontal="center" vertical="center"/>
    </xf>
    <xf numFmtId="173" fontId="29" fillId="10" borderId="0" xfId="11" applyNumberFormat="1" applyFont="1" applyFill="1" applyAlignment="1" applyProtection="1">
      <alignment horizontal="center" vertical="center"/>
    </xf>
    <xf numFmtId="173" fontId="29" fillId="16" borderId="0" xfId="13" applyNumberFormat="1" applyFont="1" applyFill="1" applyBorder="1" applyAlignment="1" applyProtection="1">
      <alignment horizontal="center" vertical="center"/>
    </xf>
    <xf numFmtId="0" fontId="29" fillId="16" borderId="0" xfId="13" applyFont="1" applyFill="1" applyBorder="1" applyAlignment="1" applyProtection="1">
      <alignment horizontal="center" vertical="center"/>
    </xf>
    <xf numFmtId="164" fontId="29" fillId="16" borderId="0" xfId="13" applyNumberFormat="1" applyFont="1" applyFill="1" applyBorder="1" applyAlignment="1" applyProtection="1">
      <alignment horizontal="center" vertical="center"/>
    </xf>
    <xf numFmtId="164" fontId="29" fillId="16" borderId="0" xfId="18" applyNumberFormat="1" applyFont="1" applyFill="1" applyBorder="1" applyAlignment="1" applyProtection="1">
      <alignment horizontal="center" vertical="center"/>
    </xf>
    <xf numFmtId="0" fontId="29" fillId="16" borderId="0" xfId="18" applyFont="1" applyFill="1" applyBorder="1" applyAlignment="1" applyProtection="1">
      <alignment horizontal="center" vertical="center"/>
    </xf>
    <xf numFmtId="173" fontId="29" fillId="10" borderId="0" xfId="11" applyNumberFormat="1" applyFont="1" applyFill="1" applyAlignment="1" applyProtection="1">
      <alignment horizontal="center"/>
    </xf>
    <xf numFmtId="173" fontId="29" fillId="17" borderId="0" xfId="18" applyNumberFormat="1" applyFont="1" applyFill="1" applyBorder="1" applyAlignment="1" applyProtection="1">
      <alignment horizontal="center" vertical="center"/>
    </xf>
    <xf numFmtId="0" fontId="29" fillId="17" borderId="0" xfId="13" applyFont="1" applyFill="1" applyBorder="1" applyAlignment="1" applyProtection="1">
      <alignment horizontal="center" vertical="center"/>
    </xf>
    <xf numFmtId="164" fontId="29" fillId="17" borderId="0" xfId="18" applyNumberFormat="1" applyFont="1" applyFill="1" applyBorder="1" applyAlignment="1" applyProtection="1">
      <alignment horizontal="center" vertical="center"/>
    </xf>
    <xf numFmtId="0" fontId="29" fillId="17" borderId="0" xfId="18" applyFont="1" applyFill="1" applyBorder="1" applyAlignment="1" applyProtection="1">
      <alignment horizontal="center" vertical="center"/>
    </xf>
    <xf numFmtId="0" fontId="29" fillId="10" borderId="0" xfId="0" applyFont="1" applyFill="1" applyAlignment="1">
      <alignment horizontal="center" vertical="center"/>
    </xf>
    <xf numFmtId="173" fontId="29" fillId="5" borderId="0" xfId="18" applyNumberFormat="1" applyFont="1" applyFill="1" applyBorder="1" applyAlignment="1" applyProtection="1">
      <alignment horizontal="center" vertical="center"/>
    </xf>
    <xf numFmtId="0" fontId="29" fillId="5" borderId="0" xfId="13" applyFont="1" applyFill="1" applyBorder="1" applyAlignment="1" applyProtection="1">
      <alignment horizontal="center" vertical="center"/>
    </xf>
    <xf numFmtId="164" fontId="29" fillId="5" borderId="0" xfId="18" applyNumberFormat="1" applyFont="1" applyFill="1" applyBorder="1" applyAlignment="1" applyProtection="1">
      <alignment horizontal="center" vertical="center"/>
    </xf>
    <xf numFmtId="0" fontId="29" fillId="5" borderId="0" xfId="18" applyFont="1" applyFill="1" applyBorder="1" applyAlignment="1" applyProtection="1">
      <alignment horizontal="center" vertical="center"/>
    </xf>
    <xf numFmtId="0" fontId="26" fillId="10" borderId="0" xfId="0" applyFont="1" applyFill="1" applyAlignment="1">
      <alignment horizontal="center" vertical="center"/>
    </xf>
    <xf numFmtId="173" fontId="29" fillId="20" borderId="0" xfId="18" applyNumberFormat="1" applyFont="1" applyFill="1" applyBorder="1" applyAlignment="1" applyProtection="1">
      <alignment horizontal="center" vertical="center"/>
    </xf>
    <xf numFmtId="0" fontId="29" fillId="20" borderId="0" xfId="13" applyFont="1" applyFill="1" applyBorder="1" applyAlignment="1" applyProtection="1">
      <alignment horizontal="center" vertical="center"/>
    </xf>
    <xf numFmtId="164" fontId="29" fillId="20" borderId="0" xfId="18" applyNumberFormat="1" applyFont="1" applyFill="1" applyBorder="1" applyAlignment="1" applyProtection="1">
      <alignment horizontal="center" vertical="center"/>
    </xf>
    <xf numFmtId="0" fontId="29" fillId="20" borderId="0" xfId="18" applyFont="1" applyFill="1" applyBorder="1" applyAlignment="1" applyProtection="1">
      <alignment horizontal="center" vertical="center"/>
    </xf>
    <xf numFmtId="2" fontId="29" fillId="0" borderId="0" xfId="0" applyNumberFormat="1" applyFont="1" applyAlignment="1">
      <alignment horizontal="right" vertical="center"/>
    </xf>
    <xf numFmtId="1" fontId="29" fillId="0" borderId="0" xfId="0" applyNumberFormat="1" applyFont="1"/>
    <xf numFmtId="173" fontId="29" fillId="0" borderId="0" xfId="0" applyNumberFormat="1" applyFont="1"/>
    <xf numFmtId="0" fontId="29" fillId="0" borderId="28" xfId="0" applyFont="1" applyBorder="1"/>
    <xf numFmtId="0" fontId="29" fillId="0" borderId="29" xfId="0" applyFont="1" applyBorder="1"/>
    <xf numFmtId="0" fontId="26" fillId="0" borderId="30" xfId="0" applyFont="1" applyBorder="1" applyAlignment="1">
      <alignment vertical="distributed" wrapText="1"/>
    </xf>
    <xf numFmtId="0" fontId="26" fillId="0" borderId="31" xfId="0" applyFont="1" applyBorder="1" applyAlignment="1">
      <alignment vertical="distributed" wrapText="1"/>
    </xf>
    <xf numFmtId="0" fontId="26" fillId="0" borderId="32" xfId="0" applyFont="1" applyBorder="1" applyAlignment="1">
      <alignment vertical="distributed" wrapText="1"/>
    </xf>
    <xf numFmtId="0" fontId="26" fillId="0" borderId="33" xfId="0" applyFont="1" applyBorder="1" applyAlignment="1">
      <alignment vertical="distributed" wrapText="1"/>
    </xf>
    <xf numFmtId="0" fontId="29" fillId="0" borderId="34" xfId="0" applyFont="1" applyBorder="1"/>
    <xf numFmtId="0" fontId="26" fillId="0" borderId="34" xfId="0" applyFont="1" applyBorder="1"/>
    <xf numFmtId="9" fontId="29" fillId="0" borderId="0" xfId="0" applyNumberFormat="1" applyFont="1" applyAlignment="1">
      <alignment horizontal="left"/>
    </xf>
    <xf numFmtId="164" fontId="29" fillId="0" borderId="0" xfId="0" applyNumberFormat="1" applyFont="1" applyAlignment="1">
      <alignment horizontal="left"/>
    </xf>
    <xf numFmtId="0" fontId="28" fillId="0" borderId="0" xfId="0" applyFont="1" applyAlignment="1">
      <alignment horizontal="left"/>
    </xf>
    <xf numFmtId="0" fontId="46" fillId="0" borderId="0" xfId="0" applyFont="1" applyAlignment="1">
      <alignment vertical="center"/>
    </xf>
    <xf numFmtId="0" fontId="47" fillId="0" borderId="0" xfId="0" applyFont="1"/>
    <xf numFmtId="0" fontId="48" fillId="0" borderId="3" xfId="0" applyFont="1" applyBorder="1"/>
    <xf numFmtId="0" fontId="47" fillId="0" borderId="9" xfId="0" applyFont="1" applyBorder="1"/>
    <xf numFmtId="0" fontId="47" fillId="0" borderId="4" xfId="0" applyFont="1" applyBorder="1"/>
    <xf numFmtId="0" fontId="47" fillId="0" borderId="5" xfId="0" applyFont="1" applyBorder="1" applyAlignment="1">
      <alignment horizontal="right" wrapText="1"/>
    </xf>
    <xf numFmtId="0" fontId="47" fillId="0" borderId="0" xfId="0" applyFont="1" applyAlignment="1">
      <alignment horizontal="center" wrapText="1"/>
    </xf>
    <xf numFmtId="0" fontId="47" fillId="0" borderId="6" xfId="0" applyFont="1" applyBorder="1"/>
    <xf numFmtId="0" fontId="47" fillId="0" borderId="0" xfId="0" applyFont="1" applyAlignment="1">
      <alignment horizontal="center"/>
    </xf>
    <xf numFmtId="0" fontId="46" fillId="0" borderId="6" xfId="0" applyFont="1" applyBorder="1" applyAlignment="1">
      <alignment vertical="center"/>
    </xf>
    <xf numFmtId="1" fontId="47" fillId="0" borderId="0" xfId="0" applyNumberFormat="1" applyFont="1" applyAlignment="1">
      <alignment horizontal="center"/>
    </xf>
    <xf numFmtId="173" fontId="47" fillId="0" borderId="0" xfId="0" applyNumberFormat="1" applyFont="1" applyAlignment="1">
      <alignment horizontal="center"/>
    </xf>
    <xf numFmtId="0" fontId="47" fillId="0" borderId="7" xfId="0" applyFont="1" applyBorder="1"/>
    <xf numFmtId="0" fontId="47" fillId="0" borderId="10" xfId="0" applyFont="1" applyBorder="1"/>
    <xf numFmtId="0" fontId="47" fillId="0" borderId="8" xfId="0" applyFont="1" applyBorder="1"/>
    <xf numFmtId="0" fontId="49" fillId="0" borderId="3" xfId="0" applyFont="1" applyBorder="1" applyAlignment="1">
      <alignment vertical="center"/>
    </xf>
    <xf numFmtId="0" fontId="50" fillId="0" borderId="9" xfId="0" applyFont="1" applyBorder="1" applyAlignment="1">
      <alignment horizontal="center" vertical="center"/>
    </xf>
    <xf numFmtId="0" fontId="50" fillId="0" borderId="9" xfId="0" applyFont="1" applyBorder="1" applyAlignment="1">
      <alignment horizontal="left" vertical="center"/>
    </xf>
    <xf numFmtId="0" fontId="50" fillId="0" borderId="0" xfId="0" applyFont="1" applyAlignment="1">
      <alignment horizontal="right" vertical="center"/>
    </xf>
    <xf numFmtId="0" fontId="50" fillId="0" borderId="5" xfId="0" applyFont="1" applyBorder="1" applyAlignment="1">
      <alignment horizontal="right" vertical="center"/>
    </xf>
    <xf numFmtId="164" fontId="50" fillId="0" borderId="0" xfId="0" applyNumberFormat="1" applyFont="1" applyAlignment="1">
      <alignment horizontal="center" vertical="center"/>
    </xf>
    <xf numFmtId="0" fontId="50" fillId="0" borderId="0" xfId="0" applyFont="1" applyAlignment="1">
      <alignment horizontal="left" vertical="center"/>
    </xf>
    <xf numFmtId="0" fontId="47" fillId="0" borderId="0" xfId="0" applyFont="1" applyAlignment="1">
      <alignment horizontal="right"/>
    </xf>
    <xf numFmtId="0" fontId="50" fillId="0" borderId="5" xfId="0" applyFont="1" applyBorder="1" applyAlignment="1">
      <alignment vertical="center"/>
    </xf>
    <xf numFmtId="0" fontId="50" fillId="0" borderId="0" xfId="0" applyFont="1" applyAlignment="1">
      <alignment horizontal="center" vertical="center"/>
    </xf>
    <xf numFmtId="0" fontId="50" fillId="0" borderId="5" xfId="0" applyFont="1" applyBorder="1" applyAlignment="1">
      <alignment horizontal="right"/>
    </xf>
    <xf numFmtId="0" fontId="50" fillId="0" borderId="0" xfId="0" applyFont="1"/>
    <xf numFmtId="0" fontId="48" fillId="0" borderId="3" xfId="0" applyFont="1" applyBorder="1" applyAlignment="1">
      <alignment vertical="center"/>
    </xf>
    <xf numFmtId="0" fontId="48" fillId="0" borderId="9" xfId="0" applyFont="1" applyBorder="1" applyAlignment="1">
      <alignment vertical="center"/>
    </xf>
    <xf numFmtId="0" fontId="47" fillId="0" borderId="9" xfId="0" applyFont="1" applyBorder="1" applyAlignment="1">
      <alignment vertical="center"/>
    </xf>
    <xf numFmtId="0" fontId="47" fillId="0" borderId="4" xfId="0" applyFont="1" applyBorder="1" applyAlignment="1">
      <alignment vertical="center"/>
    </xf>
    <xf numFmtId="0" fontId="48" fillId="0" borderId="5" xfId="0" applyFont="1" applyBorder="1" applyAlignment="1">
      <alignment vertical="center"/>
    </xf>
    <xf numFmtId="0" fontId="48" fillId="0" borderId="0" xfId="0" applyFont="1" applyAlignment="1">
      <alignment vertical="center"/>
    </xf>
    <xf numFmtId="0" fontId="47" fillId="0" borderId="0" xfId="0" applyFont="1" applyAlignment="1">
      <alignment vertical="center"/>
    </xf>
    <xf numFmtId="0" fontId="47" fillId="0" borderId="6" xfId="0" applyFont="1" applyBorder="1" applyAlignment="1">
      <alignment vertical="center"/>
    </xf>
    <xf numFmtId="0" fontId="50" fillId="0" borderId="5" xfId="0" applyFont="1" applyBorder="1" applyAlignment="1">
      <alignment horizontal="right" wrapText="1"/>
    </xf>
    <xf numFmtId="0" fontId="47" fillId="0" borderId="0" xfId="0" applyFont="1" applyAlignment="1">
      <alignment vertical="top"/>
    </xf>
    <xf numFmtId="0" fontId="47" fillId="0" borderId="0" xfId="0" applyFont="1" applyAlignment="1">
      <alignment vertical="center" wrapText="1"/>
    </xf>
    <xf numFmtId="0" fontId="47" fillId="0" borderId="0" xfId="0" applyFont="1" applyAlignment="1">
      <alignment wrapText="1"/>
    </xf>
    <xf numFmtId="176" fontId="47" fillId="0" borderId="0" xfId="0" applyNumberFormat="1" applyFont="1" applyAlignment="1">
      <alignment vertical="center" wrapText="1"/>
    </xf>
    <xf numFmtId="2" fontId="47" fillId="0" borderId="0" xfId="0" applyNumberFormat="1" applyFont="1" applyAlignment="1">
      <alignment vertical="center" wrapText="1"/>
    </xf>
    <xf numFmtId="0" fontId="46" fillId="0" borderId="5" xfId="0" applyFont="1" applyBorder="1" applyAlignment="1">
      <alignment vertical="center"/>
    </xf>
    <xf numFmtId="0" fontId="48" fillId="0" borderId="3" xfId="0" applyFont="1" applyBorder="1" applyAlignment="1">
      <alignment horizontal="left" vertical="top" wrapText="1"/>
    </xf>
    <xf numFmtId="0" fontId="46" fillId="0" borderId="9" xfId="0" applyFont="1" applyBorder="1" applyAlignment="1">
      <alignment vertical="center"/>
    </xf>
    <xf numFmtId="0" fontId="47" fillId="0" borderId="7" xfId="0" applyFont="1" applyBorder="1" applyAlignment="1">
      <alignment horizontal="right" wrapText="1"/>
    </xf>
    <xf numFmtId="0" fontId="47" fillId="0" borderId="10" xfId="0" applyFont="1" applyBorder="1" applyAlignment="1">
      <alignment horizontal="center" wrapText="1"/>
    </xf>
    <xf numFmtId="0" fontId="47" fillId="0" borderId="10" xfId="0" applyFont="1" applyBorder="1" applyAlignment="1">
      <alignment wrapText="1"/>
    </xf>
    <xf numFmtId="173" fontId="26" fillId="0" borderId="0" xfId="0" applyNumberFormat="1" applyFont="1"/>
    <xf numFmtId="164" fontId="26" fillId="0" borderId="0" xfId="0" applyNumberFormat="1" applyFont="1"/>
    <xf numFmtId="10" fontId="26" fillId="0" borderId="0" xfId="0" applyNumberFormat="1" applyFont="1"/>
    <xf numFmtId="0" fontId="25" fillId="0" borderId="0" xfId="0" applyFont="1" applyAlignment="1">
      <alignment horizontal="right"/>
    </xf>
    <xf numFmtId="2" fontId="26" fillId="0" borderId="0" xfId="0" applyNumberFormat="1" applyFont="1" applyAlignment="1">
      <alignment horizontal="left"/>
    </xf>
    <xf numFmtId="0" fontId="25" fillId="0" borderId="0" xfId="0" applyFont="1" applyAlignment="1">
      <alignment horizontal="center"/>
    </xf>
    <xf numFmtId="0" fontId="25" fillId="0" borderId="0" xfId="0" applyFont="1"/>
    <xf numFmtId="0" fontId="53" fillId="0" borderId="0" xfId="0" applyFont="1"/>
    <xf numFmtId="0" fontId="25" fillId="0" borderId="0" xfId="0" applyFont="1" applyAlignment="1">
      <alignment horizontal="center" vertical="center"/>
    </xf>
    <xf numFmtId="0" fontId="25" fillId="0" borderId="0" xfId="0" applyFont="1" applyAlignment="1">
      <alignment horizontal="justify" wrapText="1"/>
    </xf>
    <xf numFmtId="0" fontId="25" fillId="0" borderId="0" xfId="0" applyFont="1" applyAlignment="1">
      <alignment horizontal="justify"/>
    </xf>
    <xf numFmtId="0" fontId="25" fillId="9" borderId="3" xfId="0" applyFont="1" applyFill="1" applyBorder="1" applyAlignment="1">
      <alignment horizontal="center"/>
    </xf>
    <xf numFmtId="0" fontId="25" fillId="9" borderId="9" xfId="0" applyFont="1" applyFill="1" applyBorder="1" applyAlignment="1">
      <alignment horizontal="center"/>
    </xf>
    <xf numFmtId="0" fontId="25" fillId="9" borderId="4" xfId="0" applyFont="1" applyFill="1" applyBorder="1" applyAlignment="1">
      <alignment horizontal="center"/>
    </xf>
    <xf numFmtId="0" fontId="25" fillId="10" borderId="5" xfId="0" applyFont="1" applyFill="1" applyBorder="1" applyAlignment="1">
      <alignment horizontal="center"/>
    </xf>
    <xf numFmtId="172" fontId="25" fillId="0" borderId="0" xfId="0" applyNumberFormat="1" applyFont="1" applyAlignment="1">
      <alignment horizontal="center"/>
    </xf>
    <xf numFmtId="167" fontId="25" fillId="0" borderId="6" xfId="0" applyNumberFormat="1" applyFont="1" applyBorder="1" applyAlignment="1">
      <alignment horizontal="center"/>
    </xf>
    <xf numFmtId="167" fontId="25" fillId="0" borderId="0" xfId="0" applyNumberFormat="1" applyFont="1" applyAlignment="1">
      <alignment horizontal="center"/>
    </xf>
    <xf numFmtId="0" fontId="25" fillId="10" borderId="7" xfId="0" applyFont="1" applyFill="1" applyBorder="1" applyAlignment="1">
      <alignment horizontal="center"/>
    </xf>
    <xf numFmtId="0" fontId="25" fillId="0" borderId="10" xfId="0" applyFont="1" applyBorder="1" applyAlignment="1">
      <alignment horizontal="center"/>
    </xf>
    <xf numFmtId="167" fontId="25" fillId="0" borderId="10" xfId="0" applyNumberFormat="1" applyFont="1" applyBorder="1" applyAlignment="1">
      <alignment horizontal="center"/>
    </xf>
    <xf numFmtId="167" fontId="25" fillId="0" borderId="8" xfId="0" applyNumberFormat="1" applyFont="1" applyBorder="1" applyAlignment="1">
      <alignment horizontal="center"/>
    </xf>
    <xf numFmtId="173" fontId="25" fillId="0" borderId="0" xfId="0" applyNumberFormat="1" applyFont="1"/>
    <xf numFmtId="0" fontId="25" fillId="9" borderId="5" xfId="0" applyFont="1" applyFill="1" applyBorder="1" applyAlignment="1">
      <alignment horizontal="center"/>
    </xf>
    <xf numFmtId="0" fontId="25" fillId="9" borderId="0" xfId="0" applyFont="1" applyFill="1" applyAlignment="1">
      <alignment horizontal="center"/>
    </xf>
    <xf numFmtId="0" fontId="25" fillId="9" borderId="6" xfId="0" applyFont="1" applyFill="1" applyBorder="1" applyAlignment="1">
      <alignment horizontal="center"/>
    </xf>
    <xf numFmtId="9" fontId="25" fillId="0" borderId="0" xfId="0" applyNumberFormat="1" applyFont="1"/>
    <xf numFmtId="1" fontId="25" fillId="0" borderId="6" xfId="0" applyNumberFormat="1" applyFont="1" applyBorder="1" applyAlignment="1">
      <alignment horizontal="center"/>
    </xf>
    <xf numFmtId="1" fontId="25" fillId="0" borderId="0" xfId="0" applyNumberFormat="1" applyFont="1" applyAlignment="1">
      <alignment horizontal="center"/>
    </xf>
    <xf numFmtId="173" fontId="26" fillId="0" borderId="6" xfId="0" applyNumberFormat="1" applyFont="1" applyBorder="1" applyAlignment="1">
      <alignment horizontal="center" vertical="center"/>
    </xf>
    <xf numFmtId="173" fontId="26" fillId="0" borderId="10" xfId="0" applyNumberFormat="1" applyFont="1" applyBorder="1" applyAlignment="1">
      <alignment horizontal="center"/>
    </xf>
    <xf numFmtId="173" fontId="26" fillId="0" borderId="8" xfId="0" applyNumberFormat="1" applyFont="1" applyBorder="1" applyAlignment="1">
      <alignment horizontal="center" vertical="center"/>
    </xf>
    <xf numFmtId="0" fontId="29" fillId="0" borderId="0" xfId="0" applyFont="1" applyAlignment="1">
      <alignment horizontal="center" vertical="center" wrapText="1"/>
    </xf>
    <xf numFmtId="173" fontId="29" fillId="0" borderId="0" xfId="11" applyNumberFormat="1" applyFont="1" applyAlignment="1" applyProtection="1">
      <alignment horizontal="center"/>
    </xf>
    <xf numFmtId="173" fontId="34" fillId="0" borderId="0" xfId="13" applyNumberFormat="1" applyFont="1" applyFill="1" applyBorder="1" applyAlignment="1" applyProtection="1">
      <alignment horizontal="center" vertical="center"/>
    </xf>
    <xf numFmtId="173" fontId="34" fillId="0" borderId="0" xfId="13" applyNumberFormat="1" applyFont="1" applyFill="1" applyBorder="1" applyAlignment="1" applyProtection="1">
      <alignment horizontal="center" wrapText="1"/>
    </xf>
    <xf numFmtId="173" fontId="34" fillId="0" borderId="0" xfId="13" applyNumberFormat="1" applyFont="1" applyFill="1" applyBorder="1" applyAlignment="1" applyProtection="1">
      <alignment horizontal="center"/>
    </xf>
    <xf numFmtId="0" fontId="55" fillId="0" borderId="0" xfId="0" applyFont="1" applyAlignment="1">
      <alignment horizontal="center"/>
    </xf>
    <xf numFmtId="164" fontId="29" fillId="21" borderId="0" xfId="0" applyNumberFormat="1" applyFont="1" applyFill="1" applyAlignment="1">
      <alignment horizontal="center" vertical="center"/>
    </xf>
    <xf numFmtId="0" fontId="29" fillId="0" borderId="6" xfId="0" applyFont="1" applyBorder="1" applyAlignment="1">
      <alignment horizontal="center" vertical="center"/>
    </xf>
    <xf numFmtId="0" fontId="55" fillId="0" borderId="0" xfId="0" applyFont="1"/>
    <xf numFmtId="0" fontId="29" fillId="10" borderId="7" xfId="0" applyFont="1" applyFill="1" applyBorder="1" applyAlignment="1">
      <alignment horizontal="center" vertical="center"/>
    </xf>
    <xf numFmtId="0" fontId="29" fillId="21" borderId="0" xfId="0" applyFont="1" applyFill="1" applyAlignment="1">
      <alignment horizontal="center" vertical="center"/>
    </xf>
    <xf numFmtId="0" fontId="29" fillId="21" borderId="10" xfId="0" applyFont="1" applyFill="1" applyBorder="1" applyAlignment="1">
      <alignment horizontal="center" vertical="center"/>
    </xf>
    <xf numFmtId="0" fontId="29" fillId="0" borderId="8" xfId="0" applyFont="1" applyBorder="1" applyAlignment="1">
      <alignment horizontal="center" vertical="center"/>
    </xf>
    <xf numFmtId="173" fontId="29" fillId="0" borderId="0" xfId="0" applyNumberFormat="1" applyFont="1" applyAlignment="1">
      <alignment horizontal="center" wrapText="1"/>
    </xf>
    <xf numFmtId="0" fontId="29" fillId="18" borderId="3" xfId="0" applyFont="1" applyFill="1" applyBorder="1" applyAlignment="1">
      <alignment horizontal="center"/>
    </xf>
    <xf numFmtId="0" fontId="29" fillId="18" borderId="9" xfId="0" applyFont="1" applyFill="1" applyBorder="1" applyAlignment="1">
      <alignment horizontal="center"/>
    </xf>
    <xf numFmtId="0" fontId="29" fillId="18" borderId="4" xfId="0" applyFont="1" applyFill="1" applyBorder="1" applyAlignment="1">
      <alignment horizontal="center"/>
    </xf>
    <xf numFmtId="0" fontId="29" fillId="10" borderId="5" xfId="0" applyFont="1" applyFill="1" applyBorder="1" applyAlignment="1">
      <alignment horizontal="center"/>
    </xf>
    <xf numFmtId="164" fontId="29" fillId="0" borderId="0" xfId="0" applyNumberFormat="1" applyFont="1" applyAlignment="1">
      <alignment horizontal="center"/>
    </xf>
    <xf numFmtId="0" fontId="29" fillId="0" borderId="6" xfId="0" applyFont="1" applyBorder="1" applyAlignment="1">
      <alignment horizontal="center"/>
    </xf>
    <xf numFmtId="0" fontId="29" fillId="10" borderId="7" xfId="0" applyFont="1" applyFill="1" applyBorder="1" applyAlignment="1">
      <alignment horizontal="center"/>
    </xf>
    <xf numFmtId="0" fontId="29" fillId="0" borderId="10" xfId="0" applyFont="1" applyBorder="1" applyAlignment="1">
      <alignment horizontal="center"/>
    </xf>
    <xf numFmtId="0" fontId="29" fillId="0" borderId="8" xfId="0" applyFont="1" applyBorder="1" applyAlignment="1">
      <alignment horizontal="center"/>
    </xf>
    <xf numFmtId="0" fontId="56" fillId="0" borderId="0" xfId="0" applyFont="1" applyAlignment="1">
      <alignment horizontal="left" vertical="center" wrapText="1"/>
    </xf>
    <xf numFmtId="164" fontId="25" fillId="0" borderId="0" xfId="0" applyNumberFormat="1" applyFont="1"/>
    <xf numFmtId="0" fontId="57" fillId="0" borderId="0" xfId="0" applyFont="1"/>
    <xf numFmtId="0" fontId="57" fillId="0" borderId="0" xfId="0" applyFont="1" applyAlignment="1">
      <alignment horizontal="left" wrapText="1"/>
    </xf>
    <xf numFmtId="0" fontId="57" fillId="0" borderId="0" xfId="0" applyFont="1" applyAlignment="1">
      <alignment horizontal="right"/>
    </xf>
    <xf numFmtId="173" fontId="57" fillId="0" borderId="0" xfId="0" applyNumberFormat="1" applyFont="1"/>
    <xf numFmtId="167" fontId="57" fillId="0" borderId="0" xfId="0" applyNumberFormat="1" applyFont="1" applyAlignment="1">
      <alignment horizontal="center"/>
    </xf>
    <xf numFmtId="2" fontId="57" fillId="0" borderId="0" xfId="0" applyNumberFormat="1" applyFont="1" applyAlignment="1">
      <alignment horizontal="center"/>
    </xf>
    <xf numFmtId="173" fontId="29" fillId="0" borderId="0" xfId="13" applyNumberFormat="1" applyFont="1" applyFill="1" applyBorder="1" applyAlignment="1" applyProtection="1">
      <alignment horizontal="center"/>
    </xf>
    <xf numFmtId="164" fontId="29" fillId="0" borderId="0" xfId="13" applyNumberFormat="1" applyFont="1" applyFill="1" applyBorder="1" applyAlignment="1" applyProtection="1">
      <alignment horizontal="center"/>
    </xf>
    <xf numFmtId="0" fontId="57" fillId="0" borderId="0" xfId="0" applyFont="1" applyAlignment="1">
      <alignment horizontal="left" vertical="center" wrapText="1"/>
    </xf>
    <xf numFmtId="0" fontId="28" fillId="9" borderId="12" xfId="0" applyFont="1" applyFill="1" applyBorder="1" applyAlignment="1">
      <alignment horizontal="center" vertical="center"/>
    </xf>
    <xf numFmtId="0" fontId="27" fillId="9" borderId="12" xfId="0" applyFont="1" applyFill="1" applyBorder="1" applyAlignment="1">
      <alignment horizontal="center" vertical="center"/>
    </xf>
    <xf numFmtId="0" fontId="56" fillId="9" borderId="12" xfId="0" applyFont="1" applyFill="1" applyBorder="1" applyAlignment="1">
      <alignment horizontal="center" vertical="center"/>
    </xf>
    <xf numFmtId="0" fontId="56" fillId="10" borderId="12" xfId="0" applyFont="1" applyFill="1" applyBorder="1" applyAlignment="1">
      <alignment horizontal="center" vertical="center"/>
    </xf>
    <xf numFmtId="2" fontId="57" fillId="0" borderId="12" xfId="0" applyNumberFormat="1" applyFont="1" applyBorder="1" applyAlignment="1">
      <alignment horizontal="center" vertical="center"/>
    </xf>
    <xf numFmtId="2" fontId="57" fillId="0" borderId="0" xfId="0" applyNumberFormat="1" applyFont="1" applyAlignment="1">
      <alignment horizontal="center" vertical="center"/>
    </xf>
    <xf numFmtId="2" fontId="25" fillId="0" borderId="0" xfId="0" applyNumberFormat="1" applyFont="1"/>
    <xf numFmtId="2" fontId="53" fillId="0" borderId="0" xfId="0" applyNumberFormat="1" applyFont="1"/>
    <xf numFmtId="0" fontId="28" fillId="18" borderId="12" xfId="0" applyFont="1" applyFill="1" applyBorder="1" applyAlignment="1">
      <alignment horizontal="center" vertical="center"/>
    </xf>
    <xf numFmtId="0" fontId="27" fillId="18" borderId="12" xfId="0" applyFont="1" applyFill="1" applyBorder="1" applyAlignment="1">
      <alignment horizontal="center" vertical="center"/>
    </xf>
    <xf numFmtId="0" fontId="56" fillId="18" borderId="12" xfId="0" applyFont="1" applyFill="1" applyBorder="1" applyAlignment="1">
      <alignment horizontal="center" vertical="center"/>
    </xf>
    <xf numFmtId="2" fontId="56" fillId="10" borderId="12" xfId="0" applyNumberFormat="1" applyFont="1" applyFill="1" applyBorder="1" applyAlignment="1">
      <alignment horizontal="center" vertical="center"/>
    </xf>
    <xf numFmtId="173" fontId="34" fillId="0" borderId="0" xfId="13" applyNumberFormat="1" applyFont="1" applyFill="1" applyBorder="1" applyAlignment="1" applyProtection="1">
      <alignment vertical="center"/>
    </xf>
    <xf numFmtId="0" fontId="26" fillId="0" borderId="0" xfId="0" applyFont="1" applyAlignment="1">
      <alignment vertical="distributed" wrapText="1"/>
    </xf>
    <xf numFmtId="0" fontId="25" fillId="0" borderId="0" xfId="0" applyFont="1" applyAlignment="1">
      <alignment horizontal="left" vertical="top"/>
    </xf>
    <xf numFmtId="0" fontId="53" fillId="0" borderId="0" xfId="0" applyFont="1" applyAlignment="1">
      <alignment horizontal="left" vertical="top"/>
    </xf>
    <xf numFmtId="0" fontId="28" fillId="0" borderId="0" xfId="10" applyFont="1" applyAlignment="1">
      <alignment horizontal="left" vertical="top"/>
    </xf>
    <xf numFmtId="0" fontId="27" fillId="0" borderId="0" xfId="4" applyFont="1" applyAlignment="1">
      <alignment horizontal="left" vertical="top"/>
    </xf>
    <xf numFmtId="0" fontId="26" fillId="0" borderId="0" xfId="4" applyFont="1" applyAlignment="1">
      <alignment horizontal="left" vertical="top"/>
    </xf>
    <xf numFmtId="0" fontId="29" fillId="0" borderId="0" xfId="10" applyFont="1" applyAlignment="1">
      <alignment horizontal="left" vertical="top"/>
    </xf>
    <xf numFmtId="0" fontId="58" fillId="0" borderId="12" xfId="0" applyFont="1" applyBorder="1" applyAlignment="1">
      <alignment horizontal="left" vertical="top"/>
    </xf>
    <xf numFmtId="0" fontId="29" fillId="0" borderId="12" xfId="10" applyFont="1" applyBorder="1" applyAlignment="1">
      <alignment horizontal="left" vertical="top"/>
    </xf>
    <xf numFmtId="2" fontId="25" fillId="0" borderId="0" xfId="0" applyNumberFormat="1" applyFont="1" applyAlignment="1">
      <alignment horizontal="left" vertical="top"/>
    </xf>
    <xf numFmtId="2" fontId="59" fillId="0" borderId="0" xfId="0" applyNumberFormat="1" applyFont="1" applyAlignment="1">
      <alignment horizontal="left" vertical="top"/>
    </xf>
    <xf numFmtId="1" fontId="25" fillId="0" borderId="0" xfId="0" applyNumberFormat="1" applyFont="1" applyAlignment="1">
      <alignment horizontal="left" vertical="top"/>
    </xf>
    <xf numFmtId="0" fontId="35" fillId="0" borderId="0" xfId="4" applyFont="1" applyAlignment="1">
      <alignment horizontal="left" vertical="top"/>
    </xf>
    <xf numFmtId="0" fontId="29" fillId="0" borderId="0" xfId="0" applyFont="1" applyAlignment="1">
      <alignment horizontal="left" vertical="top"/>
    </xf>
    <xf numFmtId="0" fontId="26" fillId="0" borderId="0" xfId="0" applyFont="1" applyAlignment="1">
      <alignment horizontal="left" vertical="top"/>
    </xf>
    <xf numFmtId="175" fontId="29" fillId="0" borderId="0" xfId="10" applyNumberFormat="1" applyFont="1" applyAlignment="1">
      <alignment horizontal="left" vertical="top"/>
    </xf>
    <xf numFmtId="0" fontId="35" fillId="0" borderId="0" xfId="0" applyFont="1" applyAlignment="1">
      <alignment horizontal="left" vertical="top"/>
    </xf>
    <xf numFmtId="0" fontId="59" fillId="0" borderId="0" xfId="10" applyFont="1" applyAlignment="1">
      <alignment horizontal="left" vertical="top"/>
    </xf>
    <xf numFmtId="0" fontId="25" fillId="0" borderId="0" xfId="10" applyFont="1" applyAlignment="1">
      <alignment horizontal="left" vertical="top"/>
    </xf>
    <xf numFmtId="175" fontId="59" fillId="0" borderId="0" xfId="10" applyNumberFormat="1" applyFont="1" applyAlignment="1">
      <alignment horizontal="left" vertical="top"/>
    </xf>
    <xf numFmtId="2" fontId="29" fillId="0" borderId="0" xfId="0" applyNumberFormat="1" applyFont="1" applyAlignment="1">
      <alignment horizontal="left" vertical="top"/>
    </xf>
    <xf numFmtId="0" fontId="61" fillId="0" borderId="0" xfId="0" applyFont="1" applyAlignment="1">
      <alignment horizontal="left" vertical="top"/>
    </xf>
    <xf numFmtId="1" fontId="29" fillId="0" borderId="0" xfId="0" applyNumberFormat="1" applyFont="1" applyAlignment="1">
      <alignment horizontal="left" vertical="top"/>
    </xf>
    <xf numFmtId="0" fontId="62" fillId="0" borderId="0" xfId="0" applyFont="1" applyAlignment="1">
      <alignment horizontal="left" vertical="top"/>
    </xf>
    <xf numFmtId="1" fontId="59" fillId="0" borderId="0" xfId="0" applyNumberFormat="1" applyFont="1" applyAlignment="1">
      <alignment horizontal="left" vertical="top"/>
    </xf>
    <xf numFmtId="167" fontId="25" fillId="0" borderId="0" xfId="0" applyNumberFormat="1" applyFont="1" applyAlignment="1">
      <alignment horizontal="left" vertical="top"/>
    </xf>
    <xf numFmtId="2" fontId="25" fillId="18" borderId="0" xfId="0" applyNumberFormat="1" applyFont="1" applyFill="1" applyAlignment="1">
      <alignment horizontal="left" vertical="top"/>
    </xf>
    <xf numFmtId="0" fontId="25" fillId="18" borderId="0" xfId="0" applyFont="1" applyFill="1" applyAlignment="1">
      <alignment horizontal="left" vertical="top"/>
    </xf>
    <xf numFmtId="0" fontId="59" fillId="0" borderId="0" xfId="0" applyFont="1" applyAlignment="1">
      <alignment horizontal="left" vertical="top"/>
    </xf>
    <xf numFmtId="0" fontId="58" fillId="0" borderId="0" xfId="0" applyFont="1" applyAlignment="1">
      <alignment horizontal="left" vertical="top"/>
    </xf>
    <xf numFmtId="0" fontId="63" fillId="0" borderId="0" xfId="0" applyFont="1" applyAlignment="1">
      <alignment horizontal="left" vertical="top"/>
    </xf>
    <xf numFmtId="0" fontId="61" fillId="0" borderId="0" xfId="10" applyFont="1" applyAlignment="1">
      <alignment horizontal="left" vertical="top"/>
    </xf>
    <xf numFmtId="0" fontId="25" fillId="0" borderId="0" xfId="0" applyFont="1" applyAlignment="1">
      <alignment horizontal="left" vertical="top" wrapText="1"/>
    </xf>
    <xf numFmtId="173" fontId="25" fillId="0" borderId="0" xfId="0" applyNumberFormat="1" applyFont="1" applyAlignment="1">
      <alignment horizontal="left" vertical="top"/>
    </xf>
    <xf numFmtId="1" fontId="29" fillId="18" borderId="0" xfId="0" applyNumberFormat="1" applyFont="1" applyFill="1" applyAlignment="1">
      <alignment horizontal="left" vertical="top"/>
    </xf>
    <xf numFmtId="0" fontId="29" fillId="18" borderId="0" xfId="0" applyFont="1" applyFill="1" applyAlignment="1">
      <alignment horizontal="left" vertical="top"/>
    </xf>
    <xf numFmtId="20" fontId="25" fillId="0" borderId="0" xfId="0" applyNumberFormat="1" applyFont="1" applyAlignment="1">
      <alignment horizontal="left" vertical="top"/>
    </xf>
    <xf numFmtId="0" fontId="26" fillId="22" borderId="0" xfId="4" applyFont="1" applyFill="1" applyAlignment="1">
      <alignment horizontal="left" vertical="top"/>
    </xf>
    <xf numFmtId="2" fontId="59" fillId="0" borderId="0" xfId="4" applyNumberFormat="1" applyFont="1" applyAlignment="1">
      <alignment horizontal="left" vertical="top"/>
    </xf>
    <xf numFmtId="1" fontId="59" fillId="0" borderId="0" xfId="4" applyNumberFormat="1" applyFont="1" applyAlignment="1">
      <alignment horizontal="left" vertical="top"/>
    </xf>
    <xf numFmtId="2" fontId="26" fillId="0" borderId="0" xfId="4" applyNumberFormat="1" applyFont="1" applyAlignment="1">
      <alignment horizontal="left" vertical="top"/>
    </xf>
    <xf numFmtId="175" fontId="59" fillId="0" borderId="0" xfId="4" applyNumberFormat="1" applyFont="1" applyAlignment="1">
      <alignment horizontal="left" vertical="top"/>
    </xf>
    <xf numFmtId="0" fontId="59" fillId="0" borderId="0" xfId="4" applyFont="1" applyAlignment="1">
      <alignment horizontal="left" vertical="top"/>
    </xf>
    <xf numFmtId="0" fontId="26" fillId="0" borderId="0" xfId="4" applyFont="1" applyAlignment="1">
      <alignment horizontal="left" vertical="top" wrapText="1"/>
    </xf>
    <xf numFmtId="9" fontId="64" fillId="0" borderId="0" xfId="2" applyNumberFormat="1" applyFont="1" applyAlignment="1">
      <alignment horizontal="left" vertical="top"/>
    </xf>
    <xf numFmtId="0" fontId="25" fillId="0" borderId="0" xfId="4" applyFont="1" applyAlignment="1">
      <alignment horizontal="left" vertical="top"/>
    </xf>
    <xf numFmtId="167" fontId="26" fillId="0" borderId="0" xfId="4" applyNumberFormat="1" applyFont="1" applyAlignment="1">
      <alignment horizontal="left" vertical="top"/>
    </xf>
    <xf numFmtId="0" fontId="31" fillId="0" borderId="0" xfId="4" applyFont="1" applyAlignment="1">
      <alignment horizontal="left" vertical="top"/>
    </xf>
    <xf numFmtId="1" fontId="26" fillId="0" borderId="0" xfId="4" applyNumberFormat="1" applyFont="1" applyAlignment="1">
      <alignment horizontal="left" vertical="top"/>
    </xf>
    <xf numFmtId="0" fontId="29" fillId="0" borderId="0" xfId="4" applyFont="1" applyAlignment="1">
      <alignment horizontal="left" vertical="top"/>
    </xf>
    <xf numFmtId="1" fontId="62" fillId="0" borderId="0" xfId="4" applyNumberFormat="1" applyFont="1" applyAlignment="1">
      <alignment horizontal="left" vertical="top"/>
    </xf>
    <xf numFmtId="0" fontId="62" fillId="0" borderId="0" xfId="4" applyFont="1" applyAlignment="1">
      <alignment horizontal="left" vertical="top"/>
    </xf>
    <xf numFmtId="1" fontId="29" fillId="0" borderId="0" xfId="4" applyNumberFormat="1" applyFont="1" applyAlignment="1">
      <alignment horizontal="left" vertical="top"/>
    </xf>
    <xf numFmtId="2" fontId="29" fillId="0" borderId="0" xfId="4" applyNumberFormat="1" applyFont="1" applyAlignment="1">
      <alignment horizontal="left" vertical="top"/>
    </xf>
    <xf numFmtId="2" fontId="62" fillId="0" borderId="0" xfId="4" applyNumberFormat="1" applyFont="1" applyAlignment="1">
      <alignment horizontal="left" vertical="top"/>
    </xf>
    <xf numFmtId="0" fontId="62" fillId="0" borderId="0" xfId="10" applyFont="1" applyAlignment="1">
      <alignment horizontal="left" vertical="top"/>
    </xf>
    <xf numFmtId="2" fontId="29" fillId="0" borderId="0" xfId="10" applyNumberFormat="1" applyFont="1" applyAlignment="1">
      <alignment horizontal="left" vertical="top"/>
    </xf>
    <xf numFmtId="0" fontId="28" fillId="0" borderId="0" xfId="0" applyFont="1" applyAlignment="1">
      <alignment horizontal="left" vertical="top"/>
    </xf>
    <xf numFmtId="173" fontId="29" fillId="0" borderId="0" xfId="4" applyNumberFormat="1" applyFont="1" applyAlignment="1">
      <alignment horizontal="left" vertical="top"/>
    </xf>
    <xf numFmtId="0" fontId="27" fillId="0" borderId="0" xfId="0" applyFont="1" applyAlignment="1">
      <alignment horizontal="left" vertical="top"/>
    </xf>
    <xf numFmtId="0" fontId="31" fillId="0" borderId="0" xfId="0" applyFont="1" applyAlignment="1">
      <alignment horizontal="left" vertical="top"/>
    </xf>
    <xf numFmtId="173" fontId="26" fillId="0" borderId="0" xfId="4" applyNumberFormat="1" applyFont="1" applyAlignment="1">
      <alignment horizontal="left" vertical="top"/>
    </xf>
    <xf numFmtId="175" fontId="29" fillId="0" borderId="0" xfId="4" applyNumberFormat="1" applyFont="1" applyAlignment="1">
      <alignment horizontal="left" vertical="top"/>
    </xf>
    <xf numFmtId="0" fontId="29" fillId="0" borderId="12"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12" xfId="0" applyFont="1" applyBorder="1" applyAlignment="1">
      <alignment horizontal="center" vertical="center"/>
    </xf>
    <xf numFmtId="167" fontId="25" fillId="0" borderId="12" xfId="0" applyNumberFormat="1" applyFont="1" applyBorder="1" applyAlignment="1">
      <alignment horizontal="center" vertical="center"/>
    </xf>
    <xf numFmtId="173" fontId="25" fillId="0" borderId="12" xfId="0" applyNumberFormat="1" applyFont="1" applyBorder="1" applyAlignment="1">
      <alignment horizontal="center" vertical="center"/>
    </xf>
    <xf numFmtId="2" fontId="25" fillId="0" borderId="12" xfId="0" applyNumberFormat="1" applyFont="1" applyBorder="1" applyAlignment="1">
      <alignment horizontal="center" vertical="center"/>
    </xf>
    <xf numFmtId="0" fontId="25" fillId="0" borderId="12" xfId="0" applyFont="1" applyBorder="1"/>
    <xf numFmtId="0" fontId="25" fillId="0" borderId="12" xfId="0" applyFont="1" applyBorder="1" applyAlignment="1">
      <alignment horizontal="center"/>
    </xf>
    <xf numFmtId="173" fontId="25" fillId="0" borderId="0" xfId="0" applyNumberFormat="1" applyFont="1" applyAlignment="1">
      <alignment horizontal="center"/>
    </xf>
    <xf numFmtId="0" fontId="28" fillId="0" borderId="35" xfId="0" applyFont="1" applyBorder="1" applyAlignment="1">
      <alignment horizontal="center" vertical="center" wrapText="1" readingOrder="1"/>
    </xf>
    <xf numFmtId="173" fontId="28" fillId="0" borderId="12" xfId="0" applyNumberFormat="1" applyFont="1" applyBorder="1" applyAlignment="1">
      <alignment horizontal="center"/>
    </xf>
    <xf numFmtId="0" fontId="28" fillId="0" borderId="17" xfId="0" applyFont="1" applyBorder="1" applyAlignment="1">
      <alignment horizontal="center" vertical="center" wrapText="1" readingOrder="1"/>
    </xf>
    <xf numFmtId="175" fontId="29" fillId="0" borderId="12" xfId="0" applyNumberFormat="1" applyFont="1" applyBorder="1" applyAlignment="1">
      <alignment horizontal="center" vertical="center"/>
    </xf>
    <xf numFmtId="0" fontId="29" fillId="0" borderId="12" xfId="0" applyFont="1" applyBorder="1" applyAlignment="1">
      <alignment horizontal="center"/>
    </xf>
    <xf numFmtId="164" fontId="29" fillId="0" borderId="12" xfId="3" applyNumberFormat="1" applyFont="1" applyBorder="1" applyAlignment="1">
      <alignment horizontal="center"/>
    </xf>
    <xf numFmtId="0" fontId="29" fillId="0" borderId="12" xfId="3" applyFont="1" applyBorder="1" applyAlignment="1">
      <alignment horizontal="center"/>
    </xf>
    <xf numFmtId="0" fontId="28" fillId="0" borderId="0" xfId="6" applyFont="1"/>
    <xf numFmtId="0" fontId="29" fillId="0" borderId="0" xfId="6" applyFont="1"/>
    <xf numFmtId="0" fontId="29" fillId="0" borderId="0" xfId="6" applyFont="1" applyAlignment="1">
      <alignment horizontal="center"/>
    </xf>
    <xf numFmtId="0" fontId="28" fillId="0" borderId="36" xfId="0" applyFont="1" applyBorder="1" applyAlignment="1">
      <alignment horizontal="center" vertical="center" wrapText="1" readingOrder="1"/>
    </xf>
    <xf numFmtId="0" fontId="28" fillId="0" borderId="15" xfId="0" applyFont="1" applyBorder="1" applyAlignment="1">
      <alignment horizontal="center" vertical="center" readingOrder="1"/>
    </xf>
    <xf numFmtId="173" fontId="28" fillId="0" borderId="15" xfId="0" applyNumberFormat="1" applyFont="1" applyBorder="1" applyAlignment="1">
      <alignment horizontal="center" vertical="center"/>
    </xf>
    <xf numFmtId="0" fontId="28" fillId="0" borderId="12" xfId="0" applyFont="1" applyBorder="1" applyAlignment="1">
      <alignment horizontal="center" vertical="center" readingOrder="1"/>
    </xf>
    <xf numFmtId="0" fontId="28" fillId="16" borderId="12" xfId="0" applyFont="1" applyFill="1" applyBorder="1" applyAlignment="1">
      <alignment horizontal="center" vertical="center" readingOrder="1"/>
    </xf>
    <xf numFmtId="0" fontId="28" fillId="24" borderId="12" xfId="0" applyFont="1" applyFill="1" applyBorder="1" applyAlignment="1">
      <alignment horizontal="center" vertical="center" readingOrder="1"/>
    </xf>
    <xf numFmtId="173" fontId="28" fillId="25" borderId="12" xfId="0" applyNumberFormat="1" applyFont="1" applyFill="1" applyBorder="1" applyAlignment="1">
      <alignment horizontal="center" vertical="center"/>
    </xf>
    <xf numFmtId="0" fontId="28" fillId="26" borderId="12" xfId="0" applyFont="1" applyFill="1" applyBorder="1" applyAlignment="1">
      <alignment horizontal="center" vertical="center" readingOrder="1"/>
    </xf>
    <xf numFmtId="0" fontId="28" fillId="27" borderId="12" xfId="0" applyFont="1" applyFill="1" applyBorder="1" applyAlignment="1">
      <alignment horizontal="center" vertical="center" readingOrder="1"/>
    </xf>
    <xf numFmtId="0" fontId="28" fillId="0" borderId="0" xfId="0" applyFont="1" applyAlignment="1">
      <alignment horizontal="center" vertical="center" wrapText="1" readingOrder="1"/>
    </xf>
    <xf numFmtId="0" fontId="28" fillId="0" borderId="21" xfId="0" applyFont="1" applyBorder="1" applyAlignment="1">
      <alignment horizontal="center" vertical="center" readingOrder="1"/>
    </xf>
    <xf numFmtId="173" fontId="28" fillId="0" borderId="27" xfId="0" applyNumberFormat="1" applyFont="1" applyBorder="1" applyAlignment="1">
      <alignment horizontal="center"/>
    </xf>
    <xf numFmtId="173" fontId="28" fillId="0" borderId="25" xfId="0" applyNumberFormat="1" applyFont="1" applyBorder="1" applyAlignment="1">
      <alignment horizontal="center"/>
    </xf>
    <xf numFmtId="176" fontId="29" fillId="0" borderId="12" xfId="0" applyNumberFormat="1" applyFont="1" applyBorder="1" applyAlignment="1">
      <alignment horizontal="center" vertical="center" wrapText="1" readingOrder="1"/>
    </xf>
    <xf numFmtId="173" fontId="29" fillId="0" borderId="21" xfId="0" applyNumberFormat="1" applyFont="1" applyBorder="1" applyAlignment="1">
      <alignment horizontal="center" vertical="center"/>
    </xf>
    <xf numFmtId="173" fontId="29" fillId="0" borderId="12" xfId="0" applyNumberFormat="1" applyFont="1" applyBorder="1" applyAlignment="1">
      <alignment horizontal="center" vertical="center"/>
    </xf>
    <xf numFmtId="164" fontId="29" fillId="0" borderId="21" xfId="0" applyNumberFormat="1" applyFont="1" applyBorder="1" applyAlignment="1">
      <alignment horizontal="center" vertical="center"/>
    </xf>
    <xf numFmtId="164" fontId="29" fillId="0" borderId="12" xfId="0" applyNumberFormat="1" applyFont="1" applyBorder="1" applyAlignment="1">
      <alignment horizontal="center" vertical="center"/>
    </xf>
    <xf numFmtId="164" fontId="25" fillId="0" borderId="12" xfId="0" applyNumberFormat="1" applyFont="1" applyBorder="1" applyAlignment="1">
      <alignment horizontal="center"/>
    </xf>
    <xf numFmtId="173" fontId="25" fillId="0" borderId="12" xfId="0" applyNumberFormat="1" applyFont="1" applyBorder="1" applyAlignment="1">
      <alignment horizontal="center"/>
    </xf>
    <xf numFmtId="2" fontId="28" fillId="0" borderId="12" xfId="0" applyNumberFormat="1" applyFont="1" applyBorder="1" applyAlignment="1">
      <alignment horizontal="center"/>
    </xf>
    <xf numFmtId="1" fontId="28" fillId="0" borderId="12" xfId="0" applyNumberFormat="1" applyFont="1" applyBorder="1" applyAlignment="1">
      <alignment horizontal="center"/>
    </xf>
    <xf numFmtId="0" fontId="29" fillId="0" borderId="21" xfId="3" applyFont="1" applyBorder="1" applyAlignment="1">
      <alignment horizontal="center" vertical="center"/>
    </xf>
    <xf numFmtId="0" fontId="29" fillId="0" borderId="12" xfId="3" applyFont="1" applyBorder="1" applyAlignment="1">
      <alignment horizontal="center" vertical="center"/>
    </xf>
    <xf numFmtId="0" fontId="29" fillId="0" borderId="21" xfId="3" applyFont="1" applyBorder="1" applyAlignment="1">
      <alignment horizontal="center"/>
    </xf>
    <xf numFmtId="0" fontId="29" fillId="0" borderId="12" xfId="3" applyFont="1" applyBorder="1" applyAlignment="1">
      <alignment horizontal="center" vertical="top"/>
    </xf>
    <xf numFmtId="2" fontId="28" fillId="0" borderId="15" xfId="0" applyNumberFormat="1" applyFont="1" applyBorder="1" applyAlignment="1">
      <alignment horizontal="center"/>
    </xf>
    <xf numFmtId="1" fontId="28" fillId="0" borderId="15" xfId="0" applyNumberFormat="1" applyFont="1" applyBorder="1" applyAlignment="1">
      <alignment horizontal="center"/>
    </xf>
    <xf numFmtId="175" fontId="29" fillId="0" borderId="25" xfId="0" applyNumberFormat="1" applyFont="1" applyBorder="1" applyAlignment="1">
      <alignment horizontal="center" vertical="center"/>
    </xf>
    <xf numFmtId="0" fontId="29" fillId="0" borderId="12" xfId="0" applyFont="1" applyBorder="1" applyAlignment="1">
      <alignment horizontal="center" vertical="center"/>
    </xf>
    <xf numFmtId="0" fontId="28" fillId="0" borderId="12" xfId="0" applyFont="1" applyBorder="1" applyAlignment="1">
      <alignment horizontal="center"/>
    </xf>
    <xf numFmtId="10" fontId="25" fillId="0" borderId="12" xfId="12" applyNumberFormat="1" applyFont="1" applyBorder="1" applyAlignment="1" applyProtection="1">
      <alignment horizontal="center" vertical="center"/>
    </xf>
    <xf numFmtId="177" fontId="25" fillId="0" borderId="12" xfId="12" applyNumberFormat="1" applyFont="1" applyBorder="1" applyAlignment="1" applyProtection="1">
      <alignment horizontal="center" vertical="center"/>
    </xf>
    <xf numFmtId="9" fontId="25" fillId="0" borderId="12" xfId="12" applyFont="1" applyBorder="1" applyAlignment="1" applyProtection="1">
      <alignment horizontal="center" vertical="center"/>
    </xf>
    <xf numFmtId="0" fontId="28" fillId="0" borderId="15" xfId="0" applyFont="1" applyBorder="1" applyAlignment="1">
      <alignment horizontal="center"/>
    </xf>
    <xf numFmtId="0" fontId="47" fillId="0" borderId="0" xfId="0" applyFont="1" applyAlignment="1">
      <alignment horizontal="center" vertical="center"/>
    </xf>
    <xf numFmtId="166" fontId="47" fillId="0" borderId="0" xfId="0" applyNumberFormat="1" applyFont="1" applyAlignment="1">
      <alignment vertical="center"/>
    </xf>
    <xf numFmtId="10" fontId="47" fillId="0" borderId="0" xfId="0" applyNumberFormat="1" applyFont="1" applyAlignment="1">
      <alignment vertical="center"/>
    </xf>
    <xf numFmtId="0" fontId="47" fillId="0" borderId="0" xfId="0" applyFont="1" applyAlignment="1">
      <alignment horizontal="left"/>
    </xf>
    <xf numFmtId="164" fontId="47" fillId="0" borderId="0" xfId="0" applyNumberFormat="1" applyFont="1" applyAlignment="1">
      <alignment vertical="center"/>
    </xf>
    <xf numFmtId="0" fontId="48" fillId="0" borderId="0" xfId="0" applyFont="1"/>
    <xf numFmtId="0" fontId="48" fillId="0" borderId="0" xfId="0" applyFont="1" applyAlignment="1">
      <alignment horizontal="center"/>
    </xf>
    <xf numFmtId="0" fontId="48" fillId="0" borderId="0" xfId="0" applyFont="1" applyAlignment="1">
      <alignment horizontal="left"/>
    </xf>
    <xf numFmtId="164" fontId="47" fillId="0" borderId="0" xfId="0" applyNumberFormat="1" applyFont="1" applyAlignment="1">
      <alignment horizontal="right"/>
    </xf>
    <xf numFmtId="0" fontId="47" fillId="0" borderId="0" xfId="0" applyFont="1" applyAlignment="1">
      <alignment horizontal="right" vertical="center"/>
    </xf>
    <xf numFmtId="0" fontId="47" fillId="0" borderId="0" xfId="0" applyFont="1" applyAlignment="1">
      <alignment horizontal="left" vertical="center"/>
    </xf>
    <xf numFmtId="164" fontId="47" fillId="0" borderId="0" xfId="0" applyNumberFormat="1" applyFont="1"/>
    <xf numFmtId="10" fontId="47" fillId="0" borderId="0" xfId="0" applyNumberFormat="1" applyFont="1"/>
    <xf numFmtId="173" fontId="68" fillId="2" borderId="0" xfId="13" applyNumberFormat="1" applyFont="1" applyBorder="1" applyAlignment="1" applyProtection="1">
      <alignment horizontal="center" vertical="center"/>
    </xf>
    <xf numFmtId="173" fontId="47" fillId="0" borderId="0" xfId="0" applyNumberFormat="1" applyFont="1" applyAlignment="1">
      <alignment horizontal="center" vertical="center"/>
    </xf>
    <xf numFmtId="164" fontId="47" fillId="0" borderId="0" xfId="0" applyNumberFormat="1" applyFont="1" applyAlignment="1">
      <alignment horizontal="right" vertical="center"/>
    </xf>
    <xf numFmtId="0" fontId="48" fillId="0" borderId="0" xfId="0" applyFont="1" applyAlignment="1">
      <alignment horizontal="center" vertical="center"/>
    </xf>
    <xf numFmtId="0" fontId="48" fillId="0" borderId="0" xfId="0" applyFont="1" applyAlignment="1">
      <alignment horizontal="left" vertical="center"/>
    </xf>
    <xf numFmtId="176" fontId="47" fillId="0" borderId="0" xfId="0" applyNumberFormat="1" applyFont="1" applyAlignment="1">
      <alignment horizontal="center" vertical="center"/>
    </xf>
    <xf numFmtId="0" fontId="69" fillId="0" borderId="0" xfId="0" applyFont="1" applyAlignment="1">
      <alignment horizontal="center" vertical="center"/>
    </xf>
    <xf numFmtId="167" fontId="47" fillId="0" borderId="0" xfId="0" applyNumberFormat="1" applyFont="1" applyAlignment="1">
      <alignment vertical="center"/>
    </xf>
    <xf numFmtId="0" fontId="71" fillId="0" borderId="0" xfId="0" applyFont="1" applyAlignment="1">
      <alignment horizontal="right" vertical="center"/>
    </xf>
    <xf numFmtId="173" fontId="47" fillId="0" borderId="0" xfId="0" applyNumberFormat="1" applyFont="1" applyAlignment="1">
      <alignment horizontal="right" vertical="center"/>
    </xf>
    <xf numFmtId="173" fontId="47" fillId="0" borderId="0" xfId="0" applyNumberFormat="1" applyFont="1" applyAlignment="1">
      <alignment vertical="center"/>
    </xf>
    <xf numFmtId="0" fontId="50" fillId="0" borderId="0" xfId="0" applyFont="1" applyAlignment="1">
      <alignment horizontal="left"/>
    </xf>
    <xf numFmtId="173" fontId="50" fillId="0" borderId="0" xfId="0" applyNumberFormat="1" applyFont="1" applyAlignment="1">
      <alignment horizontal="center" vertical="center"/>
    </xf>
    <xf numFmtId="2" fontId="50" fillId="0" borderId="0" xfId="0" applyNumberFormat="1" applyFont="1" applyAlignment="1">
      <alignment horizontal="center" vertical="center"/>
    </xf>
    <xf numFmtId="0" fontId="49" fillId="0" borderId="0" xfId="0" applyFont="1" applyAlignment="1">
      <alignment horizontal="left" vertical="center"/>
    </xf>
    <xf numFmtId="1" fontId="47" fillId="0" borderId="0" xfId="0" applyNumberFormat="1" applyFont="1" applyAlignment="1">
      <alignment horizontal="left"/>
    </xf>
    <xf numFmtId="175" fontId="47" fillId="0" borderId="0" xfId="0" applyNumberFormat="1" applyFont="1" applyAlignment="1">
      <alignment horizontal="center"/>
    </xf>
    <xf numFmtId="1" fontId="47" fillId="0" borderId="0" xfId="0" applyNumberFormat="1" applyFont="1"/>
    <xf numFmtId="1" fontId="47" fillId="0" borderId="0" xfId="0" applyNumberFormat="1" applyFont="1" applyAlignment="1">
      <alignment vertical="center"/>
    </xf>
    <xf numFmtId="1" fontId="47" fillId="0" borderId="0" xfId="0" applyNumberFormat="1" applyFont="1" applyAlignment="1">
      <alignment horizontal="center" vertical="center"/>
    </xf>
    <xf numFmtId="0" fontId="46" fillId="0" borderId="0" xfId="0" applyFont="1"/>
    <xf numFmtId="0" fontId="68" fillId="0" borderId="0" xfId="13" applyFont="1" applyFill="1" applyBorder="1" applyAlignment="1" applyProtection="1">
      <alignment vertical="center"/>
    </xf>
    <xf numFmtId="173" fontId="47" fillId="0" borderId="0" xfId="0" applyNumberFormat="1" applyFont="1"/>
    <xf numFmtId="170" fontId="47" fillId="0" borderId="0" xfId="0" applyNumberFormat="1" applyFont="1" applyAlignment="1">
      <alignment vertical="center"/>
    </xf>
    <xf numFmtId="2" fontId="47" fillId="0" borderId="0" xfId="0" applyNumberFormat="1" applyFont="1"/>
    <xf numFmtId="0" fontId="47" fillId="0" borderId="0" xfId="5" applyFont="1" applyAlignment="1" applyProtection="1">
      <alignment vertical="center"/>
    </xf>
    <xf numFmtId="0" fontId="50" fillId="0" borderId="0" xfId="5" applyFont="1" applyAlignment="1" applyProtection="1">
      <alignment vertical="center"/>
    </xf>
    <xf numFmtId="10" fontId="47" fillId="0" borderId="0" xfId="5" applyNumberFormat="1" applyFont="1" applyAlignment="1" applyProtection="1">
      <alignment vertical="center"/>
    </xf>
    <xf numFmtId="178" fontId="47" fillId="0" borderId="0" xfId="0" applyNumberFormat="1" applyFont="1"/>
    <xf numFmtId="166" fontId="50" fillId="0" borderId="0" xfId="5" applyNumberFormat="1" applyFont="1" applyAlignment="1" applyProtection="1">
      <alignment vertical="center"/>
    </xf>
    <xf numFmtId="0" fontId="47" fillId="0" borderId="0" xfId="5" applyFont="1" applyAlignment="1" applyProtection="1">
      <alignment horizontal="left" vertical="center"/>
    </xf>
    <xf numFmtId="164" fontId="68" fillId="0" borderId="0" xfId="13" applyNumberFormat="1" applyFont="1" applyFill="1" applyBorder="1" applyAlignment="1" applyProtection="1">
      <alignment vertical="center"/>
    </xf>
    <xf numFmtId="0" fontId="50" fillId="0" borderId="0" xfId="0" applyFont="1" applyAlignment="1">
      <alignment horizontal="center" vertical="center" wrapText="1"/>
    </xf>
    <xf numFmtId="173" fontId="50" fillId="0" borderId="0" xfId="11" applyNumberFormat="1" applyFont="1" applyAlignment="1" applyProtection="1">
      <alignment horizontal="center"/>
    </xf>
    <xf numFmtId="173" fontId="68" fillId="0" borderId="0" xfId="13" applyNumberFormat="1" applyFont="1" applyFill="1" applyBorder="1" applyAlignment="1" applyProtection="1">
      <alignment horizontal="center" vertical="center"/>
    </xf>
    <xf numFmtId="173" fontId="68" fillId="0" borderId="0" xfId="13" applyNumberFormat="1" applyFont="1" applyFill="1" applyBorder="1" applyAlignment="1" applyProtection="1">
      <alignment horizontal="center" wrapText="1"/>
    </xf>
    <xf numFmtId="173" fontId="68" fillId="0" borderId="0" xfId="13" applyNumberFormat="1" applyFont="1" applyFill="1" applyBorder="1" applyAlignment="1" applyProtection="1">
      <alignment horizontal="center"/>
    </xf>
    <xf numFmtId="173" fontId="50" fillId="0" borderId="0" xfId="0" applyNumberFormat="1" applyFont="1" applyAlignment="1">
      <alignment horizontal="center" wrapText="1"/>
    </xf>
    <xf numFmtId="167" fontId="50" fillId="0" borderId="0" xfId="0" applyNumberFormat="1" applyFont="1" applyAlignment="1">
      <alignment wrapText="1"/>
    </xf>
    <xf numFmtId="0" fontId="50" fillId="0" borderId="0" xfId="0" applyFont="1" applyAlignment="1">
      <alignment vertical="center" wrapText="1"/>
    </xf>
    <xf numFmtId="0" fontId="72" fillId="0" borderId="0" xfId="0" applyFont="1" applyAlignment="1">
      <alignment horizontal="center"/>
    </xf>
    <xf numFmtId="0" fontId="50" fillId="0" borderId="0" xfId="0" applyFont="1" applyAlignment="1">
      <alignment vertical="center"/>
    </xf>
    <xf numFmtId="0" fontId="50" fillId="0" borderId="0" xfId="0" applyFont="1" applyAlignment="1">
      <alignment horizontal="center"/>
    </xf>
    <xf numFmtId="0" fontId="50" fillId="0" borderId="0" xfId="0" applyFont="1" applyAlignment="1">
      <alignment horizontal="right" vertical="center" wrapText="1"/>
    </xf>
    <xf numFmtId="0" fontId="50" fillId="0" borderId="0" xfId="0" applyFont="1" applyAlignment="1">
      <alignment horizontal="right"/>
    </xf>
    <xf numFmtId="173" fontId="50" fillId="0" borderId="0" xfId="0" applyNumberFormat="1" applyFont="1" applyAlignment="1">
      <alignment horizontal="left"/>
    </xf>
    <xf numFmtId="173" fontId="50" fillId="0" borderId="0" xfId="13" applyNumberFormat="1" applyFont="1" applyFill="1" applyBorder="1" applyAlignment="1" applyProtection="1">
      <alignment horizontal="center" vertical="center"/>
    </xf>
    <xf numFmtId="173" fontId="50" fillId="0" borderId="0" xfId="13" applyNumberFormat="1" applyFont="1" applyFill="1" applyBorder="1" applyAlignment="1" applyProtection="1">
      <alignment horizontal="center"/>
    </xf>
    <xf numFmtId="164" fontId="50" fillId="0" borderId="0" xfId="13" applyNumberFormat="1" applyFont="1" applyFill="1" applyBorder="1" applyAlignment="1" applyProtection="1">
      <alignment horizontal="center" vertical="center"/>
    </xf>
    <xf numFmtId="164" fontId="50" fillId="0" borderId="0" xfId="13" applyNumberFormat="1" applyFont="1" applyFill="1" applyBorder="1" applyAlignment="1" applyProtection="1">
      <alignment horizontal="center"/>
    </xf>
    <xf numFmtId="2" fontId="68" fillId="0" borderId="0" xfId="13" applyNumberFormat="1" applyFont="1" applyFill="1" applyBorder="1" applyAlignment="1" applyProtection="1">
      <alignment horizontal="center" wrapText="1"/>
    </xf>
    <xf numFmtId="0" fontId="68" fillId="0" borderId="0" xfId="13" applyFont="1" applyFill="1" applyBorder="1" applyAlignment="1" applyProtection="1">
      <alignment horizontal="center" wrapText="1"/>
    </xf>
    <xf numFmtId="2" fontId="50" fillId="0" borderId="0" xfId="0" applyNumberFormat="1" applyFont="1" applyAlignment="1">
      <alignment horizontal="center" wrapText="1"/>
    </xf>
    <xf numFmtId="0" fontId="50" fillId="0" borderId="0" xfId="0" applyFont="1" applyAlignment="1">
      <alignment horizontal="center" wrapText="1"/>
    </xf>
    <xf numFmtId="173" fontId="47" fillId="0" borderId="0" xfId="11" applyNumberFormat="1" applyFont="1" applyAlignment="1" applyProtection="1">
      <alignment horizontal="center"/>
    </xf>
    <xf numFmtId="2" fontId="50" fillId="0" borderId="0" xfId="0" applyNumberFormat="1" applyFont="1" applyAlignment="1">
      <alignment horizontal="center"/>
    </xf>
    <xf numFmtId="173" fontId="50" fillId="0" borderId="0" xfId="0" applyNumberFormat="1" applyFont="1" applyAlignment="1">
      <alignment horizontal="center"/>
    </xf>
    <xf numFmtId="2" fontId="50" fillId="0" borderId="0" xfId="0" applyNumberFormat="1" applyFont="1" applyAlignment="1">
      <alignment horizontal="right"/>
    </xf>
    <xf numFmtId="2" fontId="50" fillId="0" borderId="0" xfId="0" applyNumberFormat="1" applyFont="1"/>
    <xf numFmtId="2" fontId="50" fillId="0" borderId="0" xfId="0" applyNumberFormat="1" applyFont="1" applyAlignment="1">
      <alignment horizontal="left"/>
    </xf>
    <xf numFmtId="164" fontId="50" fillId="0" borderId="0" xfId="0" applyNumberFormat="1" applyFont="1" applyAlignment="1">
      <alignment horizontal="center"/>
    </xf>
    <xf numFmtId="173" fontId="68" fillId="0" borderId="0" xfId="13" applyNumberFormat="1" applyFont="1" applyFill="1" applyBorder="1" applyAlignment="1" applyProtection="1">
      <alignment horizontal="left" vertical="center"/>
    </xf>
    <xf numFmtId="1" fontId="50" fillId="0" borderId="0" xfId="0" applyNumberFormat="1" applyFont="1" applyAlignment="1">
      <alignment horizontal="left"/>
    </xf>
    <xf numFmtId="0" fontId="68" fillId="0" borderId="0" xfId="13" applyFont="1" applyFill="1" applyBorder="1" applyAlignment="1" applyProtection="1">
      <alignment horizontal="center" vertical="center"/>
    </xf>
    <xf numFmtId="2" fontId="50" fillId="0" borderId="0" xfId="0" applyNumberFormat="1" applyFont="1" applyAlignment="1">
      <alignment horizontal="left" vertical="center"/>
    </xf>
    <xf numFmtId="173" fontId="68" fillId="0" borderId="0" xfId="13" applyNumberFormat="1" applyFont="1" applyFill="1" applyBorder="1" applyAlignment="1" applyProtection="1">
      <alignment vertical="center"/>
    </xf>
    <xf numFmtId="2" fontId="50" fillId="0" borderId="0" xfId="0" applyNumberFormat="1" applyFont="1" applyAlignment="1">
      <alignment horizontal="right" vertical="center"/>
    </xf>
    <xf numFmtId="1" fontId="50" fillId="0" borderId="0" xfId="0" applyNumberFormat="1" applyFont="1"/>
    <xf numFmtId="173" fontId="50" fillId="0" borderId="0" xfId="0" applyNumberFormat="1" applyFont="1"/>
    <xf numFmtId="0" fontId="47" fillId="0" borderId="0" xfId="0" applyFont="1" applyAlignment="1">
      <alignment vertical="distributed" wrapText="1"/>
    </xf>
    <xf numFmtId="9" fontId="50" fillId="0" borderId="0" xfId="0" applyNumberFormat="1" applyFont="1" applyAlignment="1">
      <alignment horizontal="left"/>
    </xf>
    <xf numFmtId="0" fontId="73" fillId="0" borderId="0" xfId="0" applyFont="1" applyAlignment="1">
      <alignment horizontal="left" vertical="top"/>
    </xf>
    <xf numFmtId="0" fontId="74" fillId="0" borderId="0" xfId="0" applyFont="1" applyAlignment="1">
      <alignment horizontal="left" vertical="top"/>
    </xf>
    <xf numFmtId="0" fontId="73" fillId="0" borderId="0" xfId="15" applyFont="1" applyFill="1" applyBorder="1" applyAlignment="1" applyProtection="1">
      <alignment horizontal="left" vertical="top"/>
    </xf>
    <xf numFmtId="0" fontId="73" fillId="0" borderId="0" xfId="0" applyFont="1" applyAlignment="1">
      <alignment horizontal="left" vertical="top" wrapText="1"/>
    </xf>
    <xf numFmtId="0" fontId="73" fillId="0" borderId="12" xfId="0" applyFont="1" applyBorder="1" applyAlignment="1">
      <alignment horizontal="left" vertical="top" wrapText="1"/>
    </xf>
    <xf numFmtId="0" fontId="74" fillId="0" borderId="12" xfId="0" applyFont="1" applyBorder="1" applyAlignment="1">
      <alignment horizontal="left" vertical="top"/>
    </xf>
    <xf numFmtId="0" fontId="73" fillId="0" borderId="12" xfId="15" applyFont="1" applyFill="1" applyBorder="1" applyAlignment="1" applyProtection="1">
      <alignment horizontal="left" vertical="top"/>
    </xf>
    <xf numFmtId="0" fontId="73" fillId="0" borderId="12" xfId="0" applyFont="1" applyBorder="1" applyAlignment="1">
      <alignment horizontal="left" vertical="top"/>
    </xf>
    <xf numFmtId="0" fontId="75" fillId="0" borderId="0" xfId="0" applyFont="1" applyAlignment="1">
      <alignment horizontal="left" vertical="top"/>
    </xf>
    <xf numFmtId="0" fontId="73" fillId="0" borderId="25" xfId="0" applyFont="1" applyBorder="1" applyAlignment="1">
      <alignment horizontal="left" vertical="top"/>
    </xf>
    <xf numFmtId="0" fontId="73" fillId="0" borderId="26" xfId="0" applyFont="1" applyBorder="1" applyAlignment="1">
      <alignment horizontal="left" vertical="top"/>
    </xf>
    <xf numFmtId="0" fontId="74" fillId="0" borderId="27" xfId="0" applyFont="1" applyBorder="1" applyAlignment="1">
      <alignment horizontal="left" vertical="top"/>
    </xf>
    <xf numFmtId="0" fontId="73" fillId="0" borderId="25" xfId="0" applyFont="1" applyBorder="1" applyAlignment="1">
      <alignment horizontal="left" vertical="top" wrapText="1"/>
    </xf>
    <xf numFmtId="0" fontId="73" fillId="0" borderId="14" xfId="0" applyFont="1" applyBorder="1" applyAlignment="1">
      <alignment horizontal="left" vertical="top" wrapText="1"/>
    </xf>
    <xf numFmtId="0" fontId="73" fillId="0" borderId="24" xfId="0" applyFont="1" applyBorder="1" applyAlignment="1">
      <alignment horizontal="left" vertical="top"/>
    </xf>
    <xf numFmtId="0" fontId="74" fillId="0" borderId="16" xfId="0" applyFont="1" applyBorder="1" applyAlignment="1">
      <alignment horizontal="left" vertical="top"/>
    </xf>
    <xf numFmtId="0" fontId="73" fillId="0" borderId="20" xfId="0" applyFont="1" applyBorder="1" applyAlignment="1">
      <alignment horizontal="left" vertical="top"/>
    </xf>
    <xf numFmtId="0" fontId="73" fillId="0" borderId="37" xfId="0" applyFont="1" applyBorder="1" applyAlignment="1">
      <alignment horizontal="left" vertical="top"/>
    </xf>
    <xf numFmtId="0" fontId="74" fillId="0" borderId="22" xfId="0" applyFont="1" applyBorder="1" applyAlignment="1">
      <alignment horizontal="left" vertical="top"/>
    </xf>
    <xf numFmtId="0" fontId="73" fillId="0" borderId="21" xfId="0" applyFont="1" applyBorder="1" applyAlignment="1">
      <alignment horizontal="left" vertical="top" wrapText="1"/>
    </xf>
    <xf numFmtId="0" fontId="74" fillId="0" borderId="21" xfId="0" applyFont="1" applyBorder="1" applyAlignment="1">
      <alignment horizontal="left" vertical="top"/>
    </xf>
    <xf numFmtId="0" fontId="74" fillId="0" borderId="15" xfId="0" applyFont="1" applyBorder="1" applyAlignment="1">
      <alignment horizontal="left" vertical="top"/>
    </xf>
    <xf numFmtId="0" fontId="73" fillId="0" borderId="15" xfId="15" applyFont="1" applyFill="1" applyBorder="1" applyAlignment="1" applyProtection="1">
      <alignment horizontal="left" vertical="top"/>
    </xf>
    <xf numFmtId="0" fontId="73" fillId="0" borderId="26" xfId="0" applyFont="1" applyBorder="1" applyAlignment="1">
      <alignment horizontal="left" vertical="top" wrapText="1"/>
    </xf>
    <xf numFmtId="0" fontId="74" fillId="0" borderId="26" xfId="0" applyFont="1" applyBorder="1" applyAlignment="1">
      <alignment horizontal="left" vertical="top" wrapText="1"/>
    </xf>
    <xf numFmtId="0" fontId="73" fillId="0" borderId="27" xfId="15" applyFont="1" applyFill="1" applyBorder="1" applyAlignment="1" applyProtection="1">
      <alignment horizontal="left" vertical="top" wrapText="1"/>
    </xf>
    <xf numFmtId="0" fontId="73" fillId="0" borderId="24" xfId="0" applyFont="1" applyBorder="1" applyAlignment="1">
      <alignment horizontal="left" vertical="top" wrapText="1"/>
    </xf>
    <xf numFmtId="0" fontId="74" fillId="0" borderId="24" xfId="0" applyFont="1" applyBorder="1" applyAlignment="1">
      <alignment horizontal="left" vertical="top" wrapText="1"/>
    </xf>
    <xf numFmtId="0" fontId="73" fillId="0" borderId="16" xfId="15" applyFont="1" applyFill="1" applyBorder="1" applyAlignment="1" applyProtection="1">
      <alignment horizontal="left" vertical="top" wrapText="1"/>
    </xf>
    <xf numFmtId="0" fontId="73" fillId="0" borderId="20" xfId="0" applyFont="1" applyBorder="1" applyAlignment="1">
      <alignment horizontal="left" vertical="top" wrapText="1"/>
    </xf>
    <xf numFmtId="0" fontId="73" fillId="0" borderId="37" xfId="0" applyFont="1" applyBorder="1" applyAlignment="1">
      <alignment horizontal="left" vertical="top" wrapText="1"/>
    </xf>
    <xf numFmtId="0" fontId="74" fillId="0" borderId="37" xfId="0" applyFont="1" applyBorder="1" applyAlignment="1">
      <alignment horizontal="left" vertical="top" wrapText="1"/>
    </xf>
    <xf numFmtId="0" fontId="73" fillId="0" borderId="22" xfId="15" applyFont="1" applyFill="1" applyBorder="1" applyAlignment="1" applyProtection="1">
      <alignment horizontal="left" vertical="top" wrapText="1"/>
    </xf>
    <xf numFmtId="0" fontId="74" fillId="0" borderId="0" xfId="0" applyFont="1" applyAlignment="1">
      <alignment horizontal="left" vertical="top" wrapText="1"/>
    </xf>
    <xf numFmtId="0" fontId="73" fillId="0" borderId="0" xfId="15" applyFont="1" applyFill="1" applyBorder="1" applyAlignment="1" applyProtection="1">
      <alignment horizontal="left" vertical="top" wrapText="1"/>
    </xf>
    <xf numFmtId="0" fontId="73" fillId="0" borderId="18" xfId="0" applyFont="1" applyBorder="1" applyAlignment="1">
      <alignment horizontal="left" vertical="top" wrapText="1"/>
    </xf>
    <xf numFmtId="0" fontId="74" fillId="0" borderId="19" xfId="0" applyFont="1" applyBorder="1" applyAlignment="1">
      <alignment horizontal="left" vertical="top"/>
    </xf>
    <xf numFmtId="0" fontId="73" fillId="0" borderId="14" xfId="0" applyFont="1" applyBorder="1" applyAlignment="1">
      <alignment horizontal="left" vertical="top"/>
    </xf>
    <xf numFmtId="0" fontId="10" fillId="0" borderId="0" xfId="0" applyFont="1"/>
    <xf numFmtId="0" fontId="76" fillId="0" borderId="3" xfId="0" applyFont="1" applyBorder="1" applyAlignment="1">
      <alignment vertical="center" wrapText="1"/>
    </xf>
    <xf numFmtId="0" fontId="76" fillId="0" borderId="5" xfId="0" applyFont="1" applyBorder="1" applyAlignment="1">
      <alignment vertical="center" wrapText="1"/>
    </xf>
    <xf numFmtId="0" fontId="76" fillId="0" borderId="7" xfId="0" applyFont="1" applyBorder="1" applyAlignment="1">
      <alignment vertical="center"/>
    </xf>
    <xf numFmtId="0" fontId="76" fillId="0" borderId="0" xfId="0" applyFont="1" applyAlignment="1">
      <alignment horizontal="center"/>
    </xf>
    <xf numFmtId="0" fontId="76" fillId="0" borderId="0" xfId="0" applyFont="1" applyAlignment="1">
      <alignment horizontal="center" vertical="center"/>
    </xf>
    <xf numFmtId="0" fontId="76" fillId="0" borderId="6" xfId="0" applyFont="1" applyBorder="1" applyAlignment="1">
      <alignment horizontal="center" vertical="center"/>
    </xf>
    <xf numFmtId="0" fontId="76" fillId="0" borderId="0" xfId="0" applyFont="1" applyAlignment="1">
      <alignment vertical="center"/>
    </xf>
    <xf numFmtId="0" fontId="76" fillId="0" borderId="0" xfId="0" applyFont="1" applyAlignment="1">
      <alignment horizontal="left" vertical="center"/>
    </xf>
    <xf numFmtId="0" fontId="10" fillId="0" borderId="5" xfId="0" applyFont="1" applyBorder="1"/>
    <xf numFmtId="0" fontId="10" fillId="0" borderId="6" xfId="0" applyFont="1" applyBorder="1"/>
    <xf numFmtId="0" fontId="10" fillId="0" borderId="5" xfId="0" applyFont="1" applyBorder="1" applyAlignment="1">
      <alignment horizontal="left"/>
    </xf>
    <xf numFmtId="0" fontId="10" fillId="0" borderId="0" xfId="0" applyFont="1" applyAlignment="1">
      <alignment horizontal="left"/>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vertical="center"/>
    </xf>
    <xf numFmtId="179" fontId="10" fillId="0" borderId="0" xfId="0" applyNumberFormat="1" applyFont="1" applyAlignment="1">
      <alignment vertical="center"/>
    </xf>
    <xf numFmtId="0" fontId="10" fillId="0" borderId="7" xfId="0" applyFont="1" applyBorder="1" applyAlignment="1">
      <alignment horizontal="left"/>
    </xf>
    <xf numFmtId="0" fontId="10" fillId="0" borderId="10" xfId="0" applyFont="1" applyBorder="1"/>
    <xf numFmtId="0" fontId="10" fillId="0" borderId="10" xfId="0" applyFont="1" applyBorder="1" applyAlignment="1">
      <alignment vertical="center"/>
    </xf>
    <xf numFmtId="0" fontId="10" fillId="0" borderId="8" xfId="0" applyFont="1" applyBorder="1"/>
    <xf numFmtId="0" fontId="10" fillId="0" borderId="0" xfId="0" applyFont="1" applyAlignment="1">
      <alignment horizontal="right"/>
    </xf>
    <xf numFmtId="179" fontId="10" fillId="0" borderId="0" xfId="0" applyNumberFormat="1" applyFont="1"/>
    <xf numFmtId="173" fontId="10" fillId="0" borderId="0" xfId="0" applyNumberFormat="1" applyFont="1"/>
    <xf numFmtId="2" fontId="11" fillId="0" borderId="0" xfId="0" applyNumberFormat="1" applyFont="1" applyAlignment="1">
      <alignment horizontal="left"/>
    </xf>
    <xf numFmtId="0" fontId="11" fillId="0" borderId="0" xfId="0" applyFont="1" applyAlignment="1">
      <alignment horizontal="left"/>
    </xf>
    <xf numFmtId="0" fontId="11" fillId="0" borderId="0" xfId="0" applyFont="1"/>
    <xf numFmtId="0" fontId="1" fillId="0" borderId="0" xfId="0" applyFont="1" applyAlignment="1">
      <alignment horizontal="right"/>
    </xf>
    <xf numFmtId="0" fontId="1" fillId="0" borderId="0" xfId="0" applyFont="1"/>
    <xf numFmtId="173" fontId="10" fillId="0" borderId="0" xfId="0" applyNumberFormat="1" applyFont="1" applyAlignment="1">
      <alignment horizontal="left"/>
    </xf>
    <xf numFmtId="0" fontId="11" fillId="0" borderId="0" xfId="0" applyFont="1" applyAlignment="1">
      <alignment horizontal="right"/>
    </xf>
    <xf numFmtId="167" fontId="11" fillId="0" borderId="0" xfId="0" applyNumberFormat="1" applyFont="1"/>
    <xf numFmtId="164" fontId="11" fillId="0" borderId="0" xfId="0" applyNumberFormat="1" applyFont="1"/>
    <xf numFmtId="175" fontId="1" fillId="0" borderId="0" xfId="0" applyNumberFormat="1" applyFont="1" applyAlignment="1">
      <alignment horizontal="right"/>
    </xf>
    <xf numFmtId="0" fontId="1" fillId="0" borderId="0" xfId="0" applyFont="1" applyAlignment="1">
      <alignment horizontal="left"/>
    </xf>
    <xf numFmtId="0" fontId="79" fillId="0" borderId="0" xfId="0" applyFont="1"/>
    <xf numFmtId="0" fontId="80" fillId="0" borderId="0" xfId="0" applyFont="1" applyAlignment="1">
      <alignment horizontal="left" vertical="center" wrapText="1"/>
    </xf>
    <xf numFmtId="0" fontId="77" fillId="0" borderId="0" xfId="0" applyFont="1" applyAlignment="1">
      <alignment vertical="center"/>
    </xf>
    <xf numFmtId="0" fontId="10" fillId="0" borderId="0" xfId="0" applyFont="1" applyAlignment="1">
      <alignment horizontal="center"/>
    </xf>
    <xf numFmtId="0" fontId="10" fillId="0" borderId="0" xfId="5" applyFont="1">
      <protection locked="0"/>
    </xf>
    <xf numFmtId="175" fontId="10" fillId="0" borderId="0" xfId="0" applyNumberFormat="1" applyFont="1"/>
    <xf numFmtId="2" fontId="10" fillId="0" borderId="0" xfId="0" applyNumberFormat="1" applyFont="1" applyAlignment="1">
      <alignment horizontal="center"/>
    </xf>
    <xf numFmtId="0" fontId="1" fillId="0" borderId="12" xfId="0" applyFont="1" applyBorder="1" applyAlignment="1">
      <alignment horizontal="center"/>
    </xf>
    <xf numFmtId="0" fontId="1" fillId="0" borderId="25" xfId="0" applyFont="1" applyBorder="1" applyAlignment="1">
      <alignment horizontal="center"/>
    </xf>
    <xf numFmtId="0" fontId="1" fillId="0" borderId="14" xfId="0" applyFont="1" applyBorder="1" applyAlignment="1">
      <alignment horizontal="center"/>
    </xf>
    <xf numFmtId="0" fontId="1" fillId="0" borderId="14" xfId="0" applyFont="1" applyBorder="1"/>
    <xf numFmtId="0" fontId="1" fillId="0" borderId="18" xfId="0" applyFont="1" applyBorder="1" applyAlignment="1">
      <alignment horizontal="center"/>
    </xf>
    <xf numFmtId="0" fontId="1" fillId="0" borderId="17" xfId="0" applyFont="1" applyBorder="1" applyAlignment="1">
      <alignment horizontal="center" vertical="center"/>
    </xf>
    <xf numFmtId="0" fontId="1" fillId="0" borderId="18" xfId="0" applyFont="1" applyBorder="1"/>
    <xf numFmtId="0" fontId="1" fillId="0" borderId="18" xfId="0" applyFont="1" applyBorder="1" applyAlignment="1">
      <alignment horizontal="center" vertical="center"/>
    </xf>
    <xf numFmtId="0" fontId="1" fillId="0" borderId="20" xfId="0" applyFont="1" applyBorder="1" applyAlignment="1">
      <alignment horizontal="center"/>
    </xf>
    <xf numFmtId="0" fontId="1" fillId="0" borderId="20" xfId="0" applyFont="1" applyBorder="1"/>
    <xf numFmtId="0" fontId="1" fillId="0" borderId="37" xfId="0" applyFont="1" applyBorder="1"/>
    <xf numFmtId="0" fontId="1" fillId="0" borderId="21" xfId="0" applyFont="1" applyBorder="1" applyAlignment="1">
      <alignment horizontal="center" vertical="center"/>
    </xf>
    <xf numFmtId="0" fontId="1" fillId="0" borderId="25" xfId="0" applyFont="1" applyBorder="1" applyAlignment="1">
      <alignment horizontal="right"/>
    </xf>
    <xf numFmtId="0" fontId="1" fillId="0" borderId="12" xfId="0" applyFont="1" applyBorder="1" applyAlignment="1">
      <alignment horizontal="center" vertical="center"/>
    </xf>
    <xf numFmtId="164" fontId="10" fillId="0" borderId="0" xfId="0" applyNumberFormat="1" applyFont="1" applyAlignment="1">
      <alignment horizontal="right"/>
    </xf>
    <xf numFmtId="164" fontId="10" fillId="0" borderId="0" xfId="0" applyNumberFormat="1" applyFont="1"/>
    <xf numFmtId="0" fontId="1" fillId="0" borderId="20" xfId="0" applyFont="1" applyBorder="1" applyAlignment="1">
      <alignment horizontal="center" vertical="center"/>
    </xf>
    <xf numFmtId="0" fontId="1" fillId="0" borderId="20" xfId="0" applyFont="1" applyBorder="1" applyAlignment="1">
      <alignment horizontal="right"/>
    </xf>
    <xf numFmtId="173" fontId="10" fillId="0" borderId="0" xfId="0" applyNumberFormat="1" applyFont="1" applyAlignment="1">
      <alignment horizontal="right"/>
    </xf>
    <xf numFmtId="167" fontId="10" fillId="0" borderId="0" xfId="0" applyNumberFormat="1" applyFont="1"/>
    <xf numFmtId="167" fontId="11" fillId="0" borderId="0" xfId="0" applyNumberFormat="1" applyFont="1" applyAlignment="1">
      <alignment horizontal="left"/>
    </xf>
    <xf numFmtId="0" fontId="11" fillId="0" borderId="0" xfId="0" applyFont="1" applyAlignment="1">
      <alignment horizontal="center"/>
    </xf>
    <xf numFmtId="0" fontId="5" fillId="9" borderId="39" xfId="0" applyFont="1" applyFill="1" applyBorder="1"/>
    <xf numFmtId="0" fontId="0" fillId="9" borderId="40" xfId="0" applyFill="1" applyBorder="1"/>
    <xf numFmtId="0" fontId="0" fillId="9" borderId="41" xfId="0" applyFill="1" applyBorder="1"/>
    <xf numFmtId="0" fontId="0" fillId="0" borderId="5" xfId="0" applyBorder="1"/>
    <xf numFmtId="0" fontId="0" fillId="0" borderId="6" xfId="0" applyBorder="1"/>
    <xf numFmtId="0" fontId="5" fillId="0" borderId="5" xfId="0" applyFont="1" applyBorder="1"/>
    <xf numFmtId="0" fontId="5" fillId="0" borderId="0" xfId="0" applyFont="1"/>
    <xf numFmtId="0" fontId="0" fillId="0" borderId="0" xfId="0" applyAlignment="1">
      <alignment horizontal="left"/>
    </xf>
    <xf numFmtId="0" fontId="5" fillId="0" borderId="0" xfId="0" applyFont="1" applyAlignment="1">
      <alignment horizontal="left"/>
    </xf>
    <xf numFmtId="0" fontId="0" fillId="0" borderId="7" xfId="0" applyBorder="1"/>
    <xf numFmtId="0" fontId="0" fillId="0" borderId="10" xfId="0" applyBorder="1" applyAlignment="1">
      <alignment horizontal="left"/>
    </xf>
    <xf numFmtId="0" fontId="0" fillId="0" borderId="10" xfId="0" applyBorder="1"/>
    <xf numFmtId="0" fontId="0" fillId="0" borderId="8" xfId="0" applyBorder="1"/>
    <xf numFmtId="0" fontId="0" fillId="0" borderId="0" xfId="0" applyAlignment="1">
      <alignment horizontal="center" vertical="center"/>
    </xf>
    <xf numFmtId="0" fontId="0" fillId="0" borderId="6" xfId="0" applyBorder="1" applyAlignment="1">
      <alignment horizontal="left" vertical="center"/>
    </xf>
    <xf numFmtId="0" fontId="0" fillId="0" borderId="6" xfId="0" applyBorder="1" applyAlignment="1">
      <alignment vertical="center"/>
    </xf>
    <xf numFmtId="0" fontId="5" fillId="9" borderId="5" xfId="0" applyFont="1" applyFill="1" applyBorder="1" applyAlignment="1">
      <alignment horizontal="left" vertical="center"/>
    </xf>
    <xf numFmtId="0" fontId="5" fillId="9" borderId="0" xfId="0" applyFont="1" applyFill="1" applyAlignment="1">
      <alignment horizontal="left" vertical="center"/>
    </xf>
    <xf numFmtId="0" fontId="5" fillId="9" borderId="6" xfId="0" applyFont="1" applyFill="1" applyBorder="1" applyAlignment="1">
      <alignment horizontal="left" vertical="center"/>
    </xf>
    <xf numFmtId="0" fontId="0" fillId="0" borderId="10" xfId="0" applyBorder="1" applyAlignment="1">
      <alignment horizontal="center" vertical="center"/>
    </xf>
    <xf numFmtId="0" fontId="0" fillId="0" borderId="8" xfId="0" applyBorder="1" applyAlignment="1">
      <alignment vertical="center"/>
    </xf>
    <xf numFmtId="0" fontId="5" fillId="0" borderId="40" xfId="0" applyFont="1" applyBorder="1" applyAlignment="1">
      <alignment horizontal="center" vertical="center"/>
    </xf>
    <xf numFmtId="0" fontId="5" fillId="0" borderId="41" xfId="0" applyFont="1" applyBorder="1"/>
    <xf numFmtId="0" fontId="0" fillId="0" borderId="0" xfId="0" applyAlignment="1">
      <alignment horizontal="center" vertical="center" wrapText="1"/>
    </xf>
    <xf numFmtId="0" fontId="0" fillId="0" borderId="0" xfId="0" applyAlignment="1">
      <alignment horizontal="left" vertical="center" wrapText="1"/>
    </xf>
    <xf numFmtId="0" fontId="13" fillId="0" borderId="7" xfId="0" applyFont="1" applyBorder="1" applyAlignment="1">
      <alignment horizontal="left"/>
    </xf>
    <xf numFmtId="0" fontId="5" fillId="9" borderId="3" xfId="0" applyFont="1" applyFill="1" applyBorder="1"/>
    <xf numFmtId="0" fontId="0" fillId="9" borderId="9" xfId="0" applyFill="1" applyBorder="1"/>
    <xf numFmtId="0" fontId="0" fillId="9" borderId="4" xfId="0" applyFill="1" applyBorder="1"/>
    <xf numFmtId="0" fontId="5" fillId="9" borderId="5" xfId="0" applyFont="1" applyFill="1" applyBorder="1" applyAlignment="1">
      <alignment horizontal="right"/>
    </xf>
    <xf numFmtId="0" fontId="5" fillId="9" borderId="0" xfId="0" applyFont="1" applyFill="1"/>
    <xf numFmtId="0" fontId="0" fillId="9" borderId="0" xfId="0" applyFill="1"/>
    <xf numFmtId="0" fontId="0" fillId="9" borderId="6" xfId="0" applyFill="1" applyBorder="1"/>
    <xf numFmtId="0" fontId="0" fillId="0" borderId="0" xfId="0" applyAlignment="1">
      <alignment horizontal="right"/>
    </xf>
    <xf numFmtId="0" fontId="5" fillId="9" borderId="9" xfId="0" applyFont="1" applyFill="1" applyBorder="1"/>
    <xf numFmtId="0" fontId="0" fillId="28" borderId="3" xfId="0" applyFill="1" applyBorder="1"/>
    <xf numFmtId="0" fontId="0" fillId="28" borderId="9" xfId="0" applyFill="1" applyBorder="1"/>
    <xf numFmtId="0" fontId="0" fillId="28" borderId="4" xfId="0" applyFill="1" applyBorder="1"/>
    <xf numFmtId="0" fontId="0" fillId="28" borderId="5" xfId="0" applyFill="1" applyBorder="1"/>
    <xf numFmtId="0" fontId="0" fillId="28" borderId="0" xfId="0" applyFill="1"/>
    <xf numFmtId="0" fontId="0" fillId="28" borderId="6" xfId="0" applyFill="1" applyBorder="1"/>
    <xf numFmtId="0" fontId="0" fillId="28" borderId="7" xfId="0" applyFill="1" applyBorder="1"/>
    <xf numFmtId="0" fontId="0" fillId="28" borderId="10" xfId="0" applyFill="1" applyBorder="1"/>
    <xf numFmtId="0" fontId="0" fillId="28" borderId="8" xfId="0" applyFill="1" applyBorder="1"/>
    <xf numFmtId="0" fontId="82" fillId="9" borderId="3" xfId="0" applyFont="1" applyFill="1" applyBorder="1"/>
    <xf numFmtId="0" fontId="83" fillId="9" borderId="9" xfId="0" applyFont="1" applyFill="1" applyBorder="1" applyAlignment="1">
      <alignment horizontal="left" vertical="center" wrapText="1"/>
    </xf>
    <xf numFmtId="0" fontId="83" fillId="9" borderId="4" xfId="0" applyFont="1" applyFill="1" applyBorder="1" applyAlignment="1">
      <alignment horizontal="left" vertical="center" wrapText="1"/>
    </xf>
    <xf numFmtId="0" fontId="5" fillId="9" borderId="5" xfId="0" applyFont="1" applyFill="1" applyBorder="1"/>
    <xf numFmtId="0" fontId="5" fillId="9" borderId="0" xfId="0" applyFont="1" applyFill="1" applyAlignment="1">
      <alignment horizontal="left"/>
    </xf>
    <xf numFmtId="0" fontId="83" fillId="9" borderId="0" xfId="0" applyFont="1" applyFill="1" applyAlignment="1">
      <alignment horizontal="left" vertical="center" wrapText="1"/>
    </xf>
    <xf numFmtId="0" fontId="83" fillId="9" borderId="6" xfId="0" applyFont="1" applyFill="1" applyBorder="1" applyAlignment="1">
      <alignment horizontal="left" vertical="center" wrapText="1"/>
    </xf>
    <xf numFmtId="0" fontId="84" fillId="8" borderId="0" xfId="19" applyBorder="1" applyAlignment="1" applyProtection="1">
      <alignment horizontal="center"/>
    </xf>
    <xf numFmtId="0" fontId="0" fillId="0" borderId="0" xfId="0" applyAlignment="1">
      <alignment horizontal="center"/>
    </xf>
    <xf numFmtId="0" fontId="3" fillId="0" borderId="0" xfId="5">
      <protection locked="0"/>
    </xf>
    <xf numFmtId="2" fontId="0" fillId="0" borderId="0" xfId="0" applyNumberFormat="1" applyAlignment="1">
      <alignment horizontal="center"/>
    </xf>
    <xf numFmtId="0" fontId="5" fillId="9" borderId="9" xfId="0" applyFont="1" applyFill="1" applyBorder="1" applyAlignment="1">
      <alignment horizontal="left"/>
    </xf>
    <xf numFmtId="0" fontId="0" fillId="9" borderId="9" xfId="0" applyFill="1" applyBorder="1" applyAlignment="1">
      <alignment horizontal="left"/>
    </xf>
    <xf numFmtId="0" fontId="0" fillId="9" borderId="0" xfId="0" applyFill="1" applyAlignment="1">
      <alignment horizontal="center"/>
    </xf>
    <xf numFmtId="0" fontId="0" fillId="0" borderId="10" xfId="0" applyBorder="1" applyAlignment="1">
      <alignment horizontal="right"/>
    </xf>
    <xf numFmtId="2" fontId="0" fillId="0" borderId="10" xfId="0" applyNumberFormat="1" applyBorder="1" applyAlignment="1">
      <alignment horizontal="center"/>
    </xf>
    <xf numFmtId="0" fontId="84" fillId="8" borderId="1" xfId="19" applyBorder="1" applyAlignment="1" applyProtection="1">
      <alignment horizontal="center"/>
    </xf>
    <xf numFmtId="2" fontId="9" fillId="2" borderId="10" xfId="13" applyNumberFormat="1" applyBorder="1" applyAlignment="1" applyProtection="1">
      <alignment horizontal="center"/>
    </xf>
    <xf numFmtId="0" fontId="17" fillId="0" borderId="5" xfId="0" applyFont="1" applyBorder="1" applyAlignment="1">
      <alignment horizontal="left"/>
    </xf>
    <xf numFmtId="0" fontId="17" fillId="0" borderId="0" xfId="0" applyFont="1" applyAlignment="1">
      <alignment horizontal="center" vertical="center"/>
    </xf>
    <xf numFmtId="0" fontId="17" fillId="0" borderId="0" xfId="0" applyFont="1" applyAlignment="1">
      <alignment horizontal="center" vertical="center" wrapText="1"/>
    </xf>
    <xf numFmtId="166" fontId="17" fillId="0" borderId="0" xfId="0" applyNumberFormat="1" applyFont="1" applyAlignment="1">
      <alignment vertical="center"/>
    </xf>
    <xf numFmtId="0" fontId="17" fillId="0" borderId="7" xfId="0" applyFont="1" applyBorder="1" applyAlignment="1">
      <alignment horizontal="left"/>
    </xf>
    <xf numFmtId="0" fontId="17" fillId="0" borderId="10" xfId="0" applyFont="1" applyBorder="1" applyAlignment="1">
      <alignment vertical="center"/>
    </xf>
    <xf numFmtId="2" fontId="20" fillId="0" borderId="0" xfId="0" applyNumberFormat="1" applyFont="1" applyAlignment="1">
      <alignment horizontal="left"/>
    </xf>
    <xf numFmtId="167" fontId="20" fillId="0" borderId="0" xfId="0" applyNumberFormat="1" applyFont="1"/>
    <xf numFmtId="164" fontId="20" fillId="0" borderId="0" xfId="0" applyNumberFormat="1" applyFont="1"/>
    <xf numFmtId="0" fontId="17" fillId="0" borderId="0" xfId="2" applyFont="1" applyAlignment="1">
      <alignment horizontal="right"/>
    </xf>
    <xf numFmtId="0" fontId="85" fillId="0" borderId="0" xfId="0" applyFont="1"/>
    <xf numFmtId="0" fontId="86" fillId="0" borderId="0" xfId="0" applyFont="1" applyAlignment="1">
      <alignment horizontal="left" vertical="center" wrapText="1"/>
    </xf>
    <xf numFmtId="173" fontId="20" fillId="0" borderId="0" xfId="0" applyNumberFormat="1" applyFont="1" applyAlignment="1">
      <alignment horizontal="left"/>
    </xf>
    <xf numFmtId="0" fontId="17" fillId="0" borderId="0" xfId="5" applyFont="1">
      <protection locked="0"/>
    </xf>
    <xf numFmtId="2" fontId="17" fillId="0" borderId="0" xfId="0" applyNumberFormat="1" applyFont="1" applyAlignment="1">
      <alignment horizontal="center"/>
    </xf>
    <xf numFmtId="0" fontId="17" fillId="21" borderId="0" xfId="0" applyFont="1" applyFill="1"/>
    <xf numFmtId="0" fontId="17" fillId="0" borderId="12" xfId="0" applyFont="1" applyBorder="1" applyAlignment="1">
      <alignment horizontal="center"/>
    </xf>
    <xf numFmtId="0" fontId="17" fillId="0" borderId="12" xfId="0" applyFont="1" applyBorder="1"/>
    <xf numFmtId="0" fontId="17" fillId="0" borderId="12" xfId="0" applyFont="1" applyBorder="1" applyAlignment="1">
      <alignment horizontal="center" vertical="center"/>
    </xf>
    <xf numFmtId="0" fontId="17" fillId="0" borderId="20" xfId="0" applyFont="1" applyBorder="1" applyAlignment="1">
      <alignment horizontal="center"/>
    </xf>
    <xf numFmtId="0" fontId="17" fillId="0" borderId="21" xfId="0" applyFont="1" applyBorder="1" applyAlignment="1">
      <alignment horizontal="center" vertical="center"/>
    </xf>
    <xf numFmtId="0" fontId="20" fillId="0" borderId="0" xfId="0" applyFont="1" applyAlignment="1">
      <alignment horizontal="center"/>
    </xf>
    <xf numFmtId="167" fontId="20" fillId="0" borderId="0" xfId="0" applyNumberFormat="1" applyFont="1" applyAlignment="1">
      <alignment horizontal="left"/>
    </xf>
    <xf numFmtId="164" fontId="17" fillId="0" borderId="0" xfId="0" applyNumberFormat="1" applyFont="1"/>
    <xf numFmtId="0" fontId="17" fillId="0" borderId="25" xfId="0" applyFont="1" applyBorder="1" applyAlignment="1">
      <alignment horizontal="center"/>
    </xf>
    <xf numFmtId="0" fontId="17" fillId="0" borderId="18" xfId="0" applyFont="1" applyBorder="1" applyAlignment="1">
      <alignment horizontal="center"/>
    </xf>
    <xf numFmtId="0" fontId="17" fillId="0" borderId="18" xfId="0" applyFont="1" applyBorder="1"/>
    <xf numFmtId="0" fontId="17" fillId="0" borderId="17" xfId="0" applyFont="1" applyBorder="1" applyAlignment="1">
      <alignment horizontal="center" vertical="center"/>
    </xf>
    <xf numFmtId="0" fontId="17" fillId="0" borderId="18" xfId="0" applyFont="1" applyBorder="1" applyAlignment="1">
      <alignment horizontal="center" vertical="center"/>
    </xf>
    <xf numFmtId="0" fontId="17" fillId="0" borderId="21" xfId="0" applyFont="1" applyBorder="1" applyAlignment="1">
      <alignment horizontal="center"/>
    </xf>
    <xf numFmtId="0" fontId="17" fillId="0" borderId="20" xfId="0" applyFont="1" applyBorder="1"/>
    <xf numFmtId="0" fontId="17" fillId="0" borderId="37" xfId="0" applyFont="1" applyBorder="1"/>
    <xf numFmtId="0" fontId="53" fillId="0" borderId="0" xfId="0" applyFont="1" applyAlignment="1">
      <alignment horizontal="left" vertical="center"/>
    </xf>
    <xf numFmtId="0" fontId="25" fillId="0" borderId="0" xfId="0" applyFont="1" applyAlignment="1">
      <alignment horizontal="left" vertical="center"/>
    </xf>
    <xf numFmtId="0" fontId="28" fillId="4" borderId="11" xfId="0" applyFont="1" applyFill="1" applyBorder="1" applyAlignment="1">
      <alignment horizontal="center" vertical="center"/>
    </xf>
    <xf numFmtId="0" fontId="28" fillId="4" borderId="12" xfId="0" applyFont="1" applyFill="1" applyBorder="1" applyAlignment="1">
      <alignment horizontal="center" vertical="center"/>
    </xf>
    <xf numFmtId="0" fontId="28" fillId="4" borderId="12" xfId="0" applyFont="1" applyFill="1" applyBorder="1" applyAlignment="1">
      <alignment horizontal="center" vertical="center" wrapText="1"/>
    </xf>
    <xf numFmtId="0" fontId="28" fillId="4" borderId="44" xfId="0" applyFont="1" applyFill="1" applyBorder="1" applyAlignment="1">
      <alignment horizontal="center" vertical="center"/>
    </xf>
    <xf numFmtId="0" fontId="29" fillId="4" borderId="45" xfId="0" applyFont="1" applyFill="1" applyBorder="1" applyAlignment="1">
      <alignment horizontal="center" vertical="center"/>
    </xf>
    <xf numFmtId="175" fontId="29" fillId="29" borderId="0" xfId="0" applyNumberFormat="1" applyFont="1" applyFill="1" applyAlignment="1">
      <alignment horizontal="center" vertical="center"/>
    </xf>
    <xf numFmtId="175" fontId="25" fillId="29" borderId="0" xfId="0" applyNumberFormat="1" applyFont="1" applyFill="1" applyAlignment="1">
      <alignment horizontal="center" vertical="center"/>
    </xf>
    <xf numFmtId="0" fontId="25" fillId="29" borderId="0" xfId="0" applyFont="1" applyFill="1" applyAlignment="1">
      <alignment horizontal="center" vertical="center"/>
    </xf>
    <xf numFmtId="175" fontId="25" fillId="29" borderId="6" xfId="0" applyNumberFormat="1" applyFont="1" applyFill="1" applyBorder="1" applyAlignment="1">
      <alignment horizontal="center" vertical="center"/>
    </xf>
    <xf numFmtId="0" fontId="29" fillId="4" borderId="11" xfId="0" applyFont="1" applyFill="1" applyBorder="1" applyAlignment="1">
      <alignment horizontal="center" vertical="center"/>
    </xf>
    <xf numFmtId="175" fontId="25" fillId="0" borderId="0" xfId="0" applyNumberFormat="1" applyFont="1" applyAlignment="1">
      <alignment horizontal="center" vertical="center"/>
    </xf>
    <xf numFmtId="175" fontId="25" fillId="0" borderId="6" xfId="0" applyNumberFormat="1" applyFont="1" applyBorder="1" applyAlignment="1">
      <alignment horizontal="center" vertical="center"/>
    </xf>
    <xf numFmtId="0" fontId="29" fillId="4" borderId="46" xfId="0" applyFont="1" applyFill="1" applyBorder="1" applyAlignment="1">
      <alignment horizontal="center" vertical="center"/>
    </xf>
    <xf numFmtId="0" fontId="53" fillId="4" borderId="47" xfId="0" applyFont="1" applyFill="1" applyBorder="1" applyAlignment="1">
      <alignment horizontal="center" vertical="center"/>
    </xf>
    <xf numFmtId="0" fontId="53" fillId="4" borderId="48" xfId="0" applyFont="1" applyFill="1" applyBorder="1" applyAlignment="1">
      <alignment horizontal="center" vertical="center"/>
    </xf>
    <xf numFmtId="0" fontId="53" fillId="4" borderId="11" xfId="0" applyFont="1" applyFill="1" applyBorder="1" applyAlignment="1">
      <alignment horizontal="center" vertical="center"/>
    </xf>
    <xf numFmtId="0" fontId="53" fillId="4" borderId="12" xfId="0" applyFont="1" applyFill="1" applyBorder="1" applyAlignment="1">
      <alignment horizontal="center" vertical="center"/>
    </xf>
    <xf numFmtId="0" fontId="53" fillId="4" borderId="44" xfId="0" applyFont="1" applyFill="1" applyBorder="1" applyAlignment="1">
      <alignment horizontal="center" vertical="center"/>
    </xf>
    <xf numFmtId="0" fontId="25" fillId="4" borderId="11" xfId="0" applyFont="1" applyFill="1" applyBorder="1" applyAlignment="1">
      <alignment horizontal="center" vertical="center"/>
    </xf>
    <xf numFmtId="0" fontId="25" fillId="29" borderId="6" xfId="0" applyFont="1" applyFill="1" applyBorder="1" applyAlignment="1">
      <alignment horizontal="center" vertical="center"/>
    </xf>
    <xf numFmtId="0" fontId="25" fillId="0" borderId="6" xfId="0" applyFont="1" applyBorder="1" applyAlignment="1">
      <alignment horizontal="center" vertical="center"/>
    </xf>
    <xf numFmtId="0" fontId="25" fillId="4" borderId="46" xfId="0" applyFont="1" applyFill="1" applyBorder="1" applyAlignment="1">
      <alignment horizontal="center" vertical="center"/>
    </xf>
    <xf numFmtId="0" fontId="53" fillId="0" borderId="0" xfId="0" applyFont="1" applyAlignment="1">
      <alignment vertical="center"/>
    </xf>
    <xf numFmtId="0" fontId="53" fillId="4" borderId="12" xfId="0" applyFont="1" applyFill="1" applyBorder="1" applyAlignment="1">
      <alignment horizontal="center" vertical="center" wrapText="1"/>
    </xf>
    <xf numFmtId="0" fontId="25" fillId="29" borderId="0" xfId="0" applyFont="1" applyFill="1" applyAlignment="1">
      <alignment horizontal="center"/>
    </xf>
    <xf numFmtId="0" fontId="25" fillId="29" borderId="6" xfId="0" applyFont="1" applyFill="1" applyBorder="1" applyAlignment="1">
      <alignment horizontal="center"/>
    </xf>
    <xf numFmtId="0" fontId="25" fillId="0" borderId="6" xfId="0" applyFont="1" applyBorder="1" applyAlignment="1">
      <alignment horizontal="center"/>
    </xf>
    <xf numFmtId="175" fontId="25" fillId="10" borderId="0" xfId="0" applyNumberFormat="1" applyFont="1" applyFill="1" applyAlignment="1">
      <alignment horizontal="center" vertical="center"/>
    </xf>
    <xf numFmtId="0" fontId="53" fillId="0" borderId="0" xfId="0" applyFont="1" applyAlignment="1">
      <alignment vertical="center" wrapText="1"/>
    </xf>
    <xf numFmtId="0" fontId="25" fillId="4" borderId="45" xfId="0" applyFont="1" applyFill="1" applyBorder="1" applyAlignment="1">
      <alignment horizontal="center" vertical="center"/>
    </xf>
    <xf numFmtId="0" fontId="53" fillId="0" borderId="0" xfId="0" applyFont="1" applyAlignment="1">
      <alignment horizontal="center" vertical="center"/>
    </xf>
    <xf numFmtId="173" fontId="25" fillId="10" borderId="0" xfId="0" applyNumberFormat="1" applyFont="1" applyFill="1" applyAlignment="1">
      <alignment horizontal="center" vertical="center"/>
    </xf>
    <xf numFmtId="0" fontId="25" fillId="10" borderId="0" xfId="0" applyFont="1" applyFill="1" applyAlignment="1">
      <alignment horizontal="center" vertical="center"/>
    </xf>
    <xf numFmtId="0" fontId="25" fillId="10" borderId="6" xfId="0" applyFont="1" applyFill="1" applyBorder="1" applyAlignment="1">
      <alignment horizontal="center" vertical="center"/>
    </xf>
    <xf numFmtId="173" fontId="25" fillId="0" borderId="0" xfId="0" applyNumberFormat="1" applyFont="1" applyAlignment="1">
      <alignment horizontal="center" vertical="center"/>
    </xf>
    <xf numFmtId="173" fontId="53" fillId="4" borderId="12" xfId="0" applyNumberFormat="1" applyFont="1" applyFill="1" applyBorder="1" applyAlignment="1">
      <alignment horizontal="center" vertical="center"/>
    </xf>
    <xf numFmtId="0" fontId="53" fillId="4" borderId="52" xfId="0" applyFont="1" applyFill="1" applyBorder="1" applyAlignment="1">
      <alignment horizontal="center" vertical="center"/>
    </xf>
    <xf numFmtId="0" fontId="28" fillId="4" borderId="52" xfId="0" applyFont="1" applyFill="1" applyBorder="1" applyAlignment="1">
      <alignment horizontal="center" vertical="center"/>
    </xf>
    <xf numFmtId="0" fontId="28" fillId="4" borderId="52" xfId="0" applyFont="1" applyFill="1" applyBorder="1" applyAlignment="1">
      <alignment horizontal="center" vertical="center" wrapText="1"/>
    </xf>
    <xf numFmtId="0" fontId="28" fillId="4" borderId="51" xfId="0" applyFont="1" applyFill="1" applyBorder="1" applyAlignment="1">
      <alignment horizontal="center" vertical="center" wrapText="1"/>
    </xf>
    <xf numFmtId="0" fontId="53" fillId="4" borderId="25" xfId="0" applyFont="1" applyFill="1" applyBorder="1" applyAlignment="1">
      <alignment horizontal="center" vertical="center"/>
    </xf>
    <xf numFmtId="0" fontId="29" fillId="4" borderId="44" xfId="0" applyFont="1" applyFill="1" applyBorder="1" applyAlignment="1">
      <alignment horizontal="center" vertical="center"/>
    </xf>
    <xf numFmtId="1" fontId="25" fillId="10" borderId="0" xfId="0" applyNumberFormat="1" applyFont="1" applyFill="1" applyAlignment="1">
      <alignment horizontal="center" vertical="center"/>
    </xf>
    <xf numFmtId="1" fontId="25" fillId="0" borderId="0" xfId="0" applyNumberFormat="1" applyFont="1" applyAlignment="1">
      <alignment horizontal="center" vertical="center"/>
    </xf>
    <xf numFmtId="173" fontId="53" fillId="4" borderId="54" xfId="0" applyNumberFormat="1" applyFont="1" applyFill="1" applyBorder="1" applyAlignment="1">
      <alignment horizontal="center" vertical="center"/>
    </xf>
    <xf numFmtId="173" fontId="53" fillId="4" borderId="55" xfId="0" applyNumberFormat="1" applyFont="1" applyFill="1" applyBorder="1" applyAlignment="1">
      <alignment horizontal="center" vertical="center"/>
    </xf>
    <xf numFmtId="173" fontId="53" fillId="4" borderId="10" xfId="0" applyNumberFormat="1" applyFont="1" applyFill="1" applyBorder="1" applyAlignment="1">
      <alignment horizontal="center" vertical="center"/>
    </xf>
    <xf numFmtId="0" fontId="53" fillId="4" borderId="10" xfId="0" applyFont="1" applyFill="1" applyBorder="1" applyAlignment="1">
      <alignment horizontal="center" vertical="center"/>
    </xf>
    <xf numFmtId="0" fontId="53" fillId="4" borderId="8" xfId="0" applyFont="1" applyFill="1" applyBorder="1" applyAlignment="1">
      <alignment horizontal="center" vertical="center"/>
    </xf>
    <xf numFmtId="173" fontId="53" fillId="0" borderId="0" xfId="0" applyNumberFormat="1" applyFont="1" applyAlignment="1">
      <alignment horizontal="center" vertical="center"/>
    </xf>
    <xf numFmtId="0" fontId="25" fillId="4" borderId="12" xfId="0" applyFont="1" applyFill="1" applyBorder="1" applyAlignment="1">
      <alignment horizontal="center" vertical="center"/>
    </xf>
    <xf numFmtId="173" fontId="53" fillId="4" borderId="44" xfId="0" applyNumberFormat="1" applyFont="1" applyFill="1" applyBorder="1" applyAlignment="1">
      <alignment horizontal="center" vertical="center"/>
    </xf>
    <xf numFmtId="0" fontId="25" fillId="10" borderId="0" xfId="0" applyFont="1" applyFill="1" applyAlignment="1">
      <alignment vertical="center" wrapText="1"/>
    </xf>
    <xf numFmtId="173" fontId="25" fillId="10" borderId="6" xfId="0" applyNumberFormat="1" applyFont="1" applyFill="1" applyBorder="1" applyAlignment="1">
      <alignment horizontal="center" vertical="center"/>
    </xf>
    <xf numFmtId="0" fontId="25" fillId="0" borderId="0" xfId="0" applyFont="1" applyAlignment="1">
      <alignment vertical="center" wrapText="1"/>
    </xf>
    <xf numFmtId="173" fontId="25" fillId="0" borderId="6" xfId="0" applyNumberFormat="1" applyFont="1" applyBorder="1" applyAlignment="1">
      <alignment horizontal="center" vertical="center"/>
    </xf>
    <xf numFmtId="9" fontId="25" fillId="0" borderId="0" xfId="1" applyFont="1" applyBorder="1" applyAlignment="1" applyProtection="1">
      <alignment horizontal="center" vertical="center"/>
    </xf>
    <xf numFmtId="1" fontId="25" fillId="4" borderId="54" xfId="0" applyNumberFormat="1" applyFont="1" applyFill="1" applyBorder="1" applyAlignment="1">
      <alignment horizontal="center" vertical="center"/>
    </xf>
    <xf numFmtId="173" fontId="53" fillId="4" borderId="48" xfId="0" applyNumberFormat="1" applyFont="1" applyFill="1" applyBorder="1" applyAlignment="1">
      <alignment horizontal="center" vertical="center"/>
    </xf>
    <xf numFmtId="0" fontId="28" fillId="4" borderId="50" xfId="0" applyFont="1" applyFill="1" applyBorder="1" applyAlignment="1">
      <alignment horizontal="center" vertical="center"/>
    </xf>
    <xf numFmtId="0" fontId="53" fillId="9" borderId="0" xfId="0" applyFont="1" applyFill="1" applyAlignment="1">
      <alignment horizontal="center" vertical="center"/>
    </xf>
    <xf numFmtId="0" fontId="25" fillId="9" borderId="0" xfId="0" applyFont="1" applyFill="1" applyAlignment="1">
      <alignment horizontal="center" vertical="center"/>
    </xf>
    <xf numFmtId="0" fontId="25" fillId="4" borderId="47" xfId="0" applyFont="1" applyFill="1" applyBorder="1" applyAlignment="1">
      <alignment horizontal="center" vertical="center"/>
    </xf>
    <xf numFmtId="0" fontId="25" fillId="10" borderId="10" xfId="0" applyFont="1" applyFill="1" applyBorder="1" applyAlignment="1">
      <alignment horizontal="center" vertical="center"/>
    </xf>
    <xf numFmtId="1" fontId="25" fillId="10" borderId="10" xfId="0" applyNumberFormat="1" applyFont="1" applyFill="1" applyBorder="1" applyAlignment="1">
      <alignment horizontal="center" vertical="center"/>
    </xf>
    <xf numFmtId="0" fontId="25" fillId="10" borderId="8" xfId="0" applyFont="1" applyFill="1" applyBorder="1" applyAlignment="1">
      <alignment horizontal="center" vertical="center"/>
    </xf>
    <xf numFmtId="0" fontId="53" fillId="0" borderId="0" xfId="2" applyFont="1" applyAlignment="1">
      <alignment horizontal="left" vertical="center"/>
    </xf>
    <xf numFmtId="0" fontId="25" fillId="0" borderId="0" xfId="2" applyFont="1" applyAlignment="1">
      <alignment horizontal="center" vertical="center"/>
    </xf>
    <xf numFmtId="0" fontId="53" fillId="4" borderId="44" xfId="2" applyFont="1" applyFill="1" applyBorder="1" applyAlignment="1">
      <alignment horizontal="left" vertical="center"/>
    </xf>
    <xf numFmtId="0" fontId="53" fillId="4" borderId="44" xfId="2" applyFont="1" applyFill="1" applyBorder="1" applyAlignment="1">
      <alignment horizontal="center" vertical="center"/>
    </xf>
    <xf numFmtId="0" fontId="53" fillId="10" borderId="6" xfId="2" applyFont="1" applyFill="1" applyBorder="1" applyAlignment="1">
      <alignment horizontal="center" vertical="center"/>
    </xf>
    <xf numFmtId="0" fontId="53" fillId="0" borderId="6" xfId="2" applyFont="1" applyBorder="1" applyAlignment="1">
      <alignment horizontal="center" vertical="center"/>
    </xf>
    <xf numFmtId="0" fontId="53" fillId="4" borderId="47" xfId="2" applyFont="1" applyFill="1" applyBorder="1" applyAlignment="1">
      <alignment horizontal="center" vertical="center"/>
    </xf>
    <xf numFmtId="0" fontId="53" fillId="4" borderId="48" xfId="2" applyFont="1" applyFill="1" applyBorder="1" applyAlignment="1">
      <alignment horizontal="center" vertical="center"/>
    </xf>
    <xf numFmtId="0" fontId="25" fillId="0" borderId="0" xfId="2" applyFont="1" applyAlignment="1">
      <alignment horizontal="right" vertical="center"/>
    </xf>
    <xf numFmtId="0" fontId="53" fillId="0" borderId="0" xfId="2" applyFont="1" applyAlignment="1">
      <alignment horizontal="right" vertical="center"/>
    </xf>
    <xf numFmtId="0" fontId="53" fillId="0" borderId="0" xfId="2" applyFont="1" applyAlignment="1">
      <alignment horizontal="center" vertical="center"/>
    </xf>
    <xf numFmtId="9" fontId="25" fillId="0" borderId="0" xfId="2" applyNumberFormat="1" applyFont="1" applyAlignment="1">
      <alignment horizontal="center" vertical="center"/>
    </xf>
    <xf numFmtId="2" fontId="25" fillId="0" borderId="0" xfId="2" applyNumberFormat="1" applyFont="1" applyAlignment="1">
      <alignment horizontal="center" vertical="center"/>
    </xf>
    <xf numFmtId="0" fontId="53" fillId="10" borderId="0" xfId="2" applyFont="1" applyFill="1" applyAlignment="1">
      <alignment horizontal="center" vertical="center"/>
    </xf>
    <xf numFmtId="0" fontId="53" fillId="4" borderId="57" xfId="2" applyFont="1" applyFill="1" applyBorder="1" applyAlignment="1">
      <alignment horizontal="center" vertical="center"/>
    </xf>
    <xf numFmtId="0" fontId="53" fillId="4" borderId="58" xfId="2" applyFont="1" applyFill="1" applyBorder="1" applyAlignment="1">
      <alignment horizontal="center" vertical="center"/>
    </xf>
    <xf numFmtId="0" fontId="25" fillId="0" borderId="0" xfId="2" applyFont="1"/>
    <xf numFmtId="0" fontId="25" fillId="4" borderId="11" xfId="0" applyFont="1" applyFill="1" applyBorder="1" applyAlignment="1">
      <alignment horizontal="left" vertical="center"/>
    </xf>
    <xf numFmtId="0" fontId="25" fillId="10" borderId="27" xfId="0" applyFont="1" applyFill="1" applyBorder="1" applyAlignment="1">
      <alignment horizontal="right" vertical="center"/>
    </xf>
    <xf numFmtId="0" fontId="25" fillId="0" borderId="27" xfId="0" applyFont="1" applyBorder="1" applyAlignment="1">
      <alignment horizontal="right" vertical="center"/>
    </xf>
    <xf numFmtId="0" fontId="25" fillId="10" borderId="26" xfId="0" applyFont="1" applyFill="1" applyBorder="1" applyAlignment="1">
      <alignment horizontal="left" vertical="center"/>
    </xf>
    <xf numFmtId="0" fontId="53" fillId="0" borderId="60" xfId="0" applyFont="1" applyBorder="1" applyAlignment="1">
      <alignment vertical="center"/>
    </xf>
    <xf numFmtId="0" fontId="25" fillId="0" borderId="26" xfId="0" applyFont="1" applyBorder="1" applyAlignment="1">
      <alignment horizontal="left" vertical="center"/>
    </xf>
    <xf numFmtId="0" fontId="53" fillId="10" borderId="61" xfId="0" applyFont="1" applyFill="1" applyBorder="1" applyAlignment="1">
      <alignment vertical="center"/>
    </xf>
    <xf numFmtId="0" fontId="25" fillId="10" borderId="37" xfId="0" applyFont="1" applyFill="1" applyBorder="1" applyAlignment="1">
      <alignment horizontal="left" vertical="center"/>
    </xf>
    <xf numFmtId="0" fontId="25" fillId="10" borderId="22" xfId="0" applyFont="1" applyFill="1" applyBorder="1" applyAlignment="1">
      <alignment horizontal="right" vertical="center"/>
    </xf>
    <xf numFmtId="0" fontId="53" fillId="10" borderId="5" xfId="0" applyFont="1" applyFill="1" applyBorder="1" applyAlignment="1">
      <alignment vertical="center"/>
    </xf>
    <xf numFmtId="0" fontId="53" fillId="0" borderId="5" xfId="0" applyFont="1" applyBorder="1" applyAlignment="1">
      <alignment vertical="center"/>
    </xf>
    <xf numFmtId="0" fontId="53" fillId="0" borderId="5" xfId="0" applyFont="1" applyBorder="1" applyAlignment="1">
      <alignment horizontal="center" vertical="center"/>
    </xf>
    <xf numFmtId="0" fontId="25" fillId="0" borderId="37" xfId="0" applyFont="1" applyBorder="1" applyAlignment="1">
      <alignment horizontal="left" vertical="center"/>
    </xf>
    <xf numFmtId="0" fontId="25" fillId="0" borderId="22" xfId="0" applyFont="1" applyBorder="1" applyAlignment="1">
      <alignment horizontal="right" vertical="center"/>
    </xf>
    <xf numFmtId="0" fontId="53" fillId="0" borderId="61" xfId="0" applyFont="1" applyBorder="1" applyAlignment="1">
      <alignment horizontal="center" vertical="center"/>
    </xf>
    <xf numFmtId="0" fontId="25" fillId="10" borderId="62" xfId="0" applyFont="1" applyFill="1" applyBorder="1" applyAlignment="1">
      <alignment horizontal="right" vertical="center"/>
    </xf>
    <xf numFmtId="0" fontId="53" fillId="30" borderId="12" xfId="0" applyFont="1" applyFill="1" applyBorder="1" applyAlignment="1">
      <alignment horizontal="center" vertical="center"/>
    </xf>
    <xf numFmtId="0" fontId="25" fillId="4" borderId="63" xfId="0" applyFont="1" applyFill="1" applyBorder="1" applyAlignment="1">
      <alignment horizontal="center" vertical="center"/>
    </xf>
    <xf numFmtId="173" fontId="25" fillId="10" borderId="24" xfId="0" applyNumberFormat="1" applyFont="1" applyFill="1" applyBorder="1" applyAlignment="1">
      <alignment horizontal="center" vertical="center"/>
    </xf>
    <xf numFmtId="177" fontId="25" fillId="10" borderId="64" xfId="1" applyNumberFormat="1" applyFont="1" applyFill="1" applyBorder="1" applyAlignment="1" applyProtection="1">
      <alignment horizontal="center" vertical="center"/>
    </xf>
    <xf numFmtId="0" fontId="25" fillId="30" borderId="63" xfId="0" applyFont="1" applyFill="1" applyBorder="1" applyAlignment="1">
      <alignment horizontal="center" vertical="center"/>
    </xf>
    <xf numFmtId="173" fontId="25" fillId="12" borderId="24" xfId="0" applyNumberFormat="1" applyFont="1" applyFill="1" applyBorder="1" applyAlignment="1">
      <alignment horizontal="center" vertical="center"/>
    </xf>
    <xf numFmtId="177" fontId="25" fillId="12" borderId="64" xfId="1" applyNumberFormat="1" applyFont="1" applyFill="1" applyBorder="1" applyAlignment="1" applyProtection="1">
      <alignment horizontal="center" vertical="center"/>
    </xf>
    <xf numFmtId="0" fontId="25" fillId="31" borderId="46" xfId="0" applyFont="1" applyFill="1" applyBorder="1" applyAlignment="1">
      <alignment horizontal="center" vertical="center"/>
    </xf>
    <xf numFmtId="173" fontId="25" fillId="0" borderId="24" xfId="0" applyNumberFormat="1" applyFont="1" applyBorder="1" applyAlignment="1">
      <alignment horizontal="center" vertical="center"/>
    </xf>
    <xf numFmtId="177" fontId="25" fillId="0" borderId="64" xfId="1" applyNumberFormat="1" applyFont="1" applyBorder="1" applyAlignment="1" applyProtection="1">
      <alignment horizontal="center" vertical="center"/>
    </xf>
    <xf numFmtId="0" fontId="25" fillId="32" borderId="46" xfId="0" applyFont="1" applyFill="1" applyBorder="1" applyAlignment="1">
      <alignment horizontal="center" vertical="center"/>
    </xf>
    <xf numFmtId="0" fontId="25" fillId="30" borderId="46" xfId="0" applyFont="1" applyFill="1" applyBorder="1" applyAlignment="1">
      <alignment horizontal="center" vertical="center"/>
    </xf>
    <xf numFmtId="0" fontId="25" fillId="31" borderId="11" xfId="0" applyFont="1" applyFill="1" applyBorder="1" applyAlignment="1">
      <alignment horizontal="center" vertical="center"/>
    </xf>
    <xf numFmtId="173" fontId="25" fillId="0" borderId="26" xfId="0" applyNumberFormat="1" applyFont="1" applyBorder="1" applyAlignment="1">
      <alignment horizontal="center" vertical="center"/>
    </xf>
    <xf numFmtId="177" fontId="25" fillId="0" borderId="65" xfId="1" applyNumberFormat="1" applyFont="1" applyBorder="1" applyAlignment="1" applyProtection="1">
      <alignment horizontal="center" vertical="center"/>
    </xf>
    <xf numFmtId="0" fontId="25" fillId="32" borderId="11" xfId="0" applyFont="1" applyFill="1" applyBorder="1" applyAlignment="1">
      <alignment horizontal="center" vertical="center"/>
    </xf>
    <xf numFmtId="173" fontId="25" fillId="10" borderId="26" xfId="0" applyNumberFormat="1" applyFont="1" applyFill="1" applyBorder="1" applyAlignment="1">
      <alignment horizontal="center" vertical="center"/>
    </xf>
    <xf numFmtId="177" fontId="25" fillId="10" borderId="65" xfId="1" applyNumberFormat="1" applyFont="1" applyFill="1" applyBorder="1" applyAlignment="1" applyProtection="1">
      <alignment horizontal="center" vertical="center"/>
    </xf>
    <xf numFmtId="0" fontId="25" fillId="30" borderId="11" xfId="0" applyFont="1" applyFill="1" applyBorder="1" applyAlignment="1">
      <alignment horizontal="center" vertical="center"/>
    </xf>
    <xf numFmtId="177" fontId="25" fillId="12" borderId="65" xfId="1" applyNumberFormat="1" applyFont="1" applyFill="1" applyBorder="1" applyAlignment="1" applyProtection="1">
      <alignment horizontal="center" vertical="center"/>
    </xf>
    <xf numFmtId="173" fontId="53" fillId="0" borderId="26" xfId="0" applyNumberFormat="1" applyFont="1" applyBorder="1" applyAlignment="1">
      <alignment horizontal="center" vertical="center"/>
    </xf>
    <xf numFmtId="177" fontId="53" fillId="0" borderId="65" xfId="1" applyNumberFormat="1" applyFont="1" applyBorder="1" applyAlignment="1" applyProtection="1">
      <alignment horizontal="center" vertical="center"/>
    </xf>
    <xf numFmtId="0" fontId="25" fillId="31" borderId="47" xfId="0" applyFont="1" applyFill="1" applyBorder="1" applyAlignment="1">
      <alignment horizontal="center" vertical="center"/>
    </xf>
    <xf numFmtId="173" fontId="25" fillId="0" borderId="10" xfId="0" applyNumberFormat="1" applyFont="1" applyBorder="1" applyAlignment="1">
      <alignment horizontal="center" vertical="center"/>
    </xf>
    <xf numFmtId="177" fontId="25" fillId="0" borderId="8" xfId="1" applyNumberFormat="1" applyFont="1" applyBorder="1" applyAlignment="1" applyProtection="1">
      <alignment horizontal="center" vertical="center"/>
    </xf>
    <xf numFmtId="0" fontId="25" fillId="32" borderId="47" xfId="0" applyFont="1" applyFill="1" applyBorder="1" applyAlignment="1">
      <alignment horizontal="center" vertical="center"/>
    </xf>
    <xf numFmtId="173" fontId="25" fillId="0" borderId="66" xfId="0" applyNumberFormat="1" applyFont="1" applyBorder="1" applyAlignment="1">
      <alignment horizontal="center" vertical="center"/>
    </xf>
    <xf numFmtId="177" fontId="25" fillId="10" borderId="12" xfId="1" applyNumberFormat="1" applyFont="1" applyFill="1" applyBorder="1" applyAlignment="1" applyProtection="1">
      <alignment horizontal="center" vertical="center"/>
    </xf>
    <xf numFmtId="177" fontId="25" fillId="12" borderId="44" xfId="1" applyNumberFormat="1" applyFont="1" applyFill="1" applyBorder="1" applyAlignment="1" applyProtection="1">
      <alignment horizontal="center" vertical="center"/>
    </xf>
    <xf numFmtId="177" fontId="25" fillId="10" borderId="54" xfId="1" applyNumberFormat="1" applyFont="1" applyFill="1" applyBorder="1" applyAlignment="1" applyProtection="1">
      <alignment horizontal="center" vertical="center"/>
    </xf>
    <xf numFmtId="177" fontId="25" fillId="12" borderId="48" xfId="1" applyNumberFormat="1" applyFont="1" applyFill="1" applyBorder="1" applyAlignment="1" applyProtection="1">
      <alignment horizontal="center" vertical="center"/>
    </xf>
    <xf numFmtId="0" fontId="53" fillId="33" borderId="50" xfId="0" applyFont="1" applyFill="1" applyBorder="1" applyAlignment="1">
      <alignment horizontal="center" vertical="center"/>
    </xf>
    <xf numFmtId="0" fontId="53" fillId="33" borderId="51" xfId="0" applyFont="1" applyFill="1" applyBorder="1" applyAlignment="1">
      <alignment horizontal="center" vertical="center"/>
    </xf>
    <xf numFmtId="0" fontId="25" fillId="33" borderId="11" xfId="0" applyFont="1" applyFill="1" applyBorder="1" applyAlignment="1">
      <alignment horizontal="center" vertical="center"/>
    </xf>
    <xf numFmtId="0" fontId="25" fillId="34" borderId="44" xfId="0" applyFont="1" applyFill="1" applyBorder="1" applyAlignment="1">
      <alignment horizontal="center" vertical="center"/>
    </xf>
    <xf numFmtId="0" fontId="25" fillId="0" borderId="44" xfId="0" applyFont="1" applyBorder="1" applyAlignment="1">
      <alignment horizontal="center" vertical="center"/>
    </xf>
    <xf numFmtId="0" fontId="25" fillId="33" borderId="47" xfId="0" applyFont="1" applyFill="1" applyBorder="1" applyAlignment="1">
      <alignment horizontal="center" vertical="center"/>
    </xf>
    <xf numFmtId="0" fontId="25" fillId="34" borderId="48" xfId="0" applyFont="1" applyFill="1" applyBorder="1" applyAlignment="1">
      <alignment horizontal="center" vertical="center"/>
    </xf>
    <xf numFmtId="0" fontId="25" fillId="34" borderId="3" xfId="0" applyFont="1" applyFill="1" applyBorder="1" applyAlignment="1">
      <alignment horizontal="center" vertical="center"/>
    </xf>
    <xf numFmtId="0" fontId="25" fillId="34" borderId="9" xfId="0" applyFont="1" applyFill="1" applyBorder="1" applyAlignment="1">
      <alignment horizontal="center" vertical="center"/>
    </xf>
    <xf numFmtId="0" fontId="25" fillId="34" borderId="4" xfId="0" applyFont="1" applyFill="1" applyBorder="1" applyAlignment="1">
      <alignment horizontal="center" vertical="center"/>
    </xf>
    <xf numFmtId="2" fontId="0" fillId="0" borderId="0" xfId="0" applyNumberFormat="1"/>
    <xf numFmtId="180" fontId="25" fillId="0" borderId="0" xfId="0" applyNumberFormat="1" applyFont="1" applyAlignment="1">
      <alignment horizontal="center" vertical="center"/>
    </xf>
    <xf numFmtId="180" fontId="25" fillId="0" borderId="6" xfId="0" applyNumberFormat="1" applyFont="1" applyBorder="1" applyAlignment="1">
      <alignment horizontal="center" vertical="center"/>
    </xf>
    <xf numFmtId="181" fontId="25" fillId="0" borderId="0" xfId="0" applyNumberFormat="1" applyFont="1" applyAlignment="1">
      <alignment horizontal="center" vertical="center"/>
    </xf>
    <xf numFmtId="182" fontId="25" fillId="0" borderId="0" xfId="20" applyFont="1" applyBorder="1" applyAlignment="1" applyProtection="1">
      <alignment horizontal="center" vertical="center"/>
    </xf>
    <xf numFmtId="2" fontId="0" fillId="0" borderId="10" xfId="0" applyNumberFormat="1" applyBorder="1"/>
    <xf numFmtId="0" fontId="25" fillId="0" borderId="10" xfId="0" applyFont="1" applyBorder="1" applyAlignment="1">
      <alignment horizontal="center" vertical="center"/>
    </xf>
    <xf numFmtId="180" fontId="25" fillId="0" borderId="10" xfId="0" applyNumberFormat="1" applyFont="1" applyBorder="1" applyAlignment="1">
      <alignment horizontal="center" vertical="center"/>
    </xf>
    <xf numFmtId="180" fontId="25" fillId="0" borderId="8" xfId="0" applyNumberFormat="1" applyFont="1" applyBorder="1" applyAlignment="1">
      <alignment horizontal="center" vertical="center"/>
    </xf>
    <xf numFmtId="0" fontId="25" fillId="13" borderId="3" xfId="0" applyFont="1" applyFill="1" applyBorder="1" applyAlignment="1">
      <alignment horizontal="center" vertical="center"/>
    </xf>
    <xf numFmtId="183" fontId="25" fillId="0" borderId="4" xfId="0" applyNumberFormat="1" applyFont="1" applyBorder="1" applyAlignment="1">
      <alignment horizontal="center" vertical="center"/>
    </xf>
    <xf numFmtId="181" fontId="25" fillId="0" borderId="4" xfId="0" applyNumberFormat="1" applyFont="1" applyBorder="1" applyAlignment="1">
      <alignment horizontal="center" vertical="center"/>
    </xf>
    <xf numFmtId="0" fontId="25" fillId="34" borderId="5" xfId="0" applyFont="1" applyFill="1" applyBorder="1" applyAlignment="1">
      <alignment horizontal="center" vertical="center"/>
    </xf>
    <xf numFmtId="181" fontId="25" fillId="0" borderId="6" xfId="20" applyNumberFormat="1" applyFont="1" applyBorder="1" applyAlignment="1" applyProtection="1">
      <alignment horizontal="center" vertical="center"/>
    </xf>
    <xf numFmtId="181" fontId="25" fillId="0" borderId="6" xfId="0" applyNumberFormat="1" applyFont="1" applyBorder="1" applyAlignment="1">
      <alignment horizontal="center" vertical="center"/>
    </xf>
    <xf numFmtId="182" fontId="25" fillId="0" borderId="6" xfId="20" applyFont="1" applyBorder="1" applyAlignment="1" applyProtection="1">
      <alignment horizontal="center" vertical="center"/>
    </xf>
    <xf numFmtId="0" fontId="25" fillId="34" borderId="7" xfId="0" applyFont="1" applyFill="1" applyBorder="1" applyAlignment="1">
      <alignment horizontal="center" vertical="center"/>
    </xf>
    <xf numFmtId="181" fontId="25" fillId="0" borderId="8" xfId="0" applyNumberFormat="1" applyFont="1" applyBorder="1" applyAlignment="1">
      <alignment horizontal="center" vertical="center"/>
    </xf>
    <xf numFmtId="0" fontId="4" fillId="0" borderId="0" xfId="0" applyFont="1"/>
    <xf numFmtId="0" fontId="3" fillId="0" borderId="12" xfId="0" applyFont="1" applyBorder="1"/>
    <xf numFmtId="0" fontId="1" fillId="0" borderId="12" xfId="0" applyFont="1" applyBorder="1"/>
    <xf numFmtId="0" fontId="1" fillId="0" borderId="0" xfId="0" applyFont="1" applyAlignment="1">
      <alignment horizontal="center"/>
    </xf>
    <xf numFmtId="0" fontId="3" fillId="0" borderId="0" xfId="0" applyFont="1"/>
    <xf numFmtId="0" fontId="1" fillId="28" borderId="0" xfId="0" applyFont="1" applyFill="1" applyAlignment="1">
      <alignment horizontal="right"/>
    </xf>
    <xf numFmtId="0" fontId="1" fillId="28" borderId="0" xfId="0" applyFont="1" applyFill="1"/>
    <xf numFmtId="175" fontId="1" fillId="0" borderId="0" xfId="0" applyNumberFormat="1" applyFont="1" applyAlignment="1">
      <alignment horizontal="center" vertical="center"/>
    </xf>
    <xf numFmtId="0" fontId="1" fillId="0" borderId="0" xfId="0" applyFont="1" applyAlignment="1">
      <alignment horizontal="center" vertical="center"/>
    </xf>
    <xf numFmtId="0" fontId="77" fillId="0" borderId="12" xfId="0" applyFont="1" applyBorder="1" applyAlignment="1">
      <alignment horizontal="center" vertical="top"/>
    </xf>
    <xf numFmtId="0" fontId="88" fillId="0" borderId="12" xfId="0" applyFont="1" applyBorder="1" applyAlignment="1">
      <alignment horizontal="center" vertical="center"/>
    </xf>
    <xf numFmtId="0" fontId="4" fillId="0" borderId="12" xfId="0" applyFont="1" applyBorder="1" applyAlignment="1">
      <alignment horizontal="center" vertical="center"/>
    </xf>
    <xf numFmtId="0" fontId="89" fillId="0" borderId="0" xfId="0" applyFont="1" applyAlignment="1">
      <alignment horizontal="right"/>
    </xf>
    <xf numFmtId="0" fontId="89" fillId="0" borderId="0" xfId="0" applyFont="1"/>
    <xf numFmtId="0" fontId="90" fillId="0" borderId="0" xfId="0" applyFont="1"/>
    <xf numFmtId="1" fontId="89" fillId="0" borderId="0" xfId="0" applyNumberFormat="1" applyFont="1"/>
    <xf numFmtId="173" fontId="89" fillId="0" borderId="0" xfId="0" applyNumberFormat="1" applyFont="1"/>
    <xf numFmtId="0" fontId="91" fillId="0" borderId="0" xfId="0" applyFont="1" applyAlignment="1">
      <alignment horizontal="center" vertical="center"/>
    </xf>
    <xf numFmtId="0" fontId="92" fillId="0" borderId="0" xfId="0" applyFont="1" applyAlignment="1">
      <alignment horizontal="left" vertical="center"/>
    </xf>
    <xf numFmtId="0" fontId="92" fillId="0" borderId="12" xfId="0" applyFont="1" applyBorder="1" applyAlignment="1">
      <alignment horizontal="center" vertical="center"/>
    </xf>
    <xf numFmtId="0" fontId="92" fillId="0" borderId="12" xfId="0" applyFont="1" applyBorder="1" applyAlignment="1">
      <alignment horizontal="center" vertical="center" wrapText="1"/>
    </xf>
    <xf numFmtId="0" fontId="94" fillId="0" borderId="15" xfId="0" applyFont="1" applyBorder="1" applyAlignment="1">
      <alignment horizontal="center" vertical="center"/>
    </xf>
    <xf numFmtId="0" fontId="91" fillId="0" borderId="12" xfId="0" applyFont="1" applyBorder="1" applyAlignment="1">
      <alignment horizontal="center" vertical="center"/>
    </xf>
    <xf numFmtId="0" fontId="91" fillId="0" borderId="27" xfId="0" applyFont="1" applyBorder="1" applyAlignment="1">
      <alignment horizontal="center" vertical="center"/>
    </xf>
    <xf numFmtId="0" fontId="94" fillId="0" borderId="21" xfId="0" applyFont="1" applyBorder="1" applyAlignment="1">
      <alignment horizontal="center" vertical="center"/>
    </xf>
    <xf numFmtId="0" fontId="94" fillId="0" borderId="12" xfId="0" applyFont="1" applyBorder="1" applyAlignment="1">
      <alignment horizontal="center" vertical="center"/>
    </xf>
    <xf numFmtId="0" fontId="94" fillId="0" borderId="25" xfId="0" applyFont="1" applyBorder="1" applyAlignment="1">
      <alignment horizontal="center" vertical="center"/>
    </xf>
    <xf numFmtId="0" fontId="91" fillId="0" borderId="26" xfId="0" applyFont="1" applyBorder="1" applyAlignment="1">
      <alignment horizontal="center" vertical="center"/>
    </xf>
    <xf numFmtId="0" fontId="91" fillId="0" borderId="0" xfId="0" applyFont="1" applyAlignment="1">
      <alignment horizontal="left" vertical="center"/>
    </xf>
    <xf numFmtId="0" fontId="91" fillId="0" borderId="0" xfId="0" applyFont="1" applyAlignment="1">
      <alignment horizontal="right"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2" fillId="0" borderId="16" xfId="0" applyFont="1" applyBorder="1" applyAlignment="1">
      <alignment horizontal="center" vertical="center"/>
    </xf>
    <xf numFmtId="0" fontId="92" fillId="0" borderId="20" xfId="0" applyFont="1" applyBorder="1" applyAlignment="1">
      <alignment horizontal="center" vertical="center"/>
    </xf>
    <xf numFmtId="0" fontId="92" fillId="0" borderId="21" xfId="0" applyFont="1" applyBorder="1" applyAlignment="1">
      <alignment horizontal="center" vertical="center"/>
    </xf>
    <xf numFmtId="0" fontId="92" fillId="0" borderId="22" xfId="0" applyFont="1" applyBorder="1" applyAlignment="1">
      <alignment horizontal="center" vertical="center"/>
    </xf>
    <xf numFmtId="0" fontId="92" fillId="0" borderId="0" xfId="0" applyFont="1" applyAlignment="1">
      <alignment horizontal="center" vertical="center"/>
    </xf>
    <xf numFmtId="0" fontId="92" fillId="35" borderId="12" xfId="0" applyFont="1" applyFill="1" applyBorder="1" applyAlignment="1">
      <alignment horizontal="center" vertical="center"/>
    </xf>
    <xf numFmtId="0" fontId="92" fillId="0" borderId="12" xfId="0" applyFont="1" applyBorder="1" applyAlignment="1">
      <alignment horizontal="left" vertical="center"/>
    </xf>
    <xf numFmtId="0" fontId="92" fillId="0" borderId="0" xfId="0" applyFont="1" applyAlignment="1">
      <alignment horizontal="right" vertical="center"/>
    </xf>
    <xf numFmtId="9" fontId="91" fillId="0" borderId="0" xfId="0" applyNumberFormat="1" applyFont="1" applyAlignment="1">
      <alignment horizontal="center" vertical="center"/>
    </xf>
    <xf numFmtId="0" fontId="25" fillId="0" borderId="0" xfId="0" applyFont="1" applyAlignment="1">
      <alignment horizontal="left"/>
    </xf>
    <xf numFmtId="0" fontId="28" fillId="0" borderId="0" xfId="0" applyFont="1" applyAlignment="1">
      <alignment horizontal="left" vertical="center" wrapText="1"/>
    </xf>
    <xf numFmtId="10" fontId="29" fillId="0" borderId="0" xfId="0" applyNumberFormat="1" applyFont="1" applyAlignment="1">
      <alignment horizontal="left"/>
    </xf>
    <xf numFmtId="176" fontId="25" fillId="0" borderId="0" xfId="0" applyNumberFormat="1" applyFont="1" applyAlignment="1">
      <alignment horizontal="left"/>
    </xf>
    <xf numFmtId="2" fontId="25" fillId="0" borderId="0" xfId="0" applyNumberFormat="1" applyFont="1" applyAlignment="1">
      <alignment horizontal="left"/>
    </xf>
    <xf numFmtId="0" fontId="29" fillId="0" borderId="3" xfId="0" applyFont="1" applyBorder="1" applyAlignment="1">
      <alignment horizontal="left"/>
    </xf>
    <xf numFmtId="0" fontId="29" fillId="0" borderId="9" xfId="0" applyFont="1" applyBorder="1" applyAlignment="1">
      <alignment horizontal="left"/>
    </xf>
    <xf numFmtId="0" fontId="29" fillId="0" borderId="4" xfId="0" applyFont="1" applyBorder="1" applyAlignment="1">
      <alignment horizontal="left"/>
    </xf>
    <xf numFmtId="0" fontId="29" fillId="0" borderId="5" xfId="0" applyFont="1" applyBorder="1" applyAlignment="1">
      <alignment horizontal="left"/>
    </xf>
    <xf numFmtId="0" fontId="25" fillId="0" borderId="6" xfId="0" applyFont="1" applyBorder="1" applyAlignment="1">
      <alignment horizontal="left"/>
    </xf>
    <xf numFmtId="0" fontId="29" fillId="0" borderId="7" xfId="0" applyFont="1" applyBorder="1" applyAlignment="1">
      <alignment horizontal="left"/>
    </xf>
    <xf numFmtId="0" fontId="25" fillId="0" borderId="10" xfId="0" applyFont="1" applyBorder="1" applyAlignment="1">
      <alignment horizontal="left"/>
    </xf>
    <xf numFmtId="0" fontId="25" fillId="0" borderId="8" xfId="0" applyFont="1" applyBorder="1" applyAlignment="1">
      <alignment horizontal="left"/>
    </xf>
    <xf numFmtId="0" fontId="29" fillId="0" borderId="0" xfId="0" applyFont="1" applyAlignment="1">
      <alignment horizontal="left" wrapText="1"/>
    </xf>
    <xf numFmtId="0" fontId="25" fillId="0" borderId="0" xfId="0" applyFont="1" applyAlignment="1">
      <alignment horizontal="left" wrapText="1"/>
    </xf>
    <xf numFmtId="0" fontId="28" fillId="0" borderId="0" xfId="0" applyFont="1" applyAlignment="1">
      <alignment horizontal="right"/>
    </xf>
    <xf numFmtId="173" fontId="25" fillId="0" borderId="0" xfId="0" applyNumberFormat="1" applyFont="1" applyAlignment="1">
      <alignment horizontal="left"/>
    </xf>
    <xf numFmtId="0" fontId="28" fillId="0" borderId="0" xfId="0" applyFont="1" applyAlignment="1">
      <alignment horizontal="left" wrapText="1"/>
    </xf>
    <xf numFmtId="0" fontId="62" fillId="0" borderId="0" xfId="0" applyFont="1" applyAlignment="1">
      <alignment horizontal="left"/>
    </xf>
    <xf numFmtId="2" fontId="25" fillId="0" borderId="0" xfId="0" applyNumberFormat="1" applyFont="1" applyAlignment="1">
      <alignment horizontal="right"/>
    </xf>
    <xf numFmtId="173" fontId="29" fillId="0" borderId="0" xfId="0" applyNumberFormat="1" applyFont="1" applyAlignment="1">
      <alignment horizontal="right"/>
    </xf>
    <xf numFmtId="173" fontId="25" fillId="0" borderId="0" xfId="0" applyNumberFormat="1" applyFont="1" applyAlignment="1">
      <alignment horizontal="right"/>
    </xf>
    <xf numFmtId="0" fontId="62" fillId="16" borderId="0" xfId="0" applyFont="1" applyFill="1"/>
    <xf numFmtId="173" fontId="25" fillId="16" borderId="0" xfId="0" applyNumberFormat="1" applyFont="1" applyFill="1" applyAlignment="1">
      <alignment horizontal="right"/>
    </xf>
    <xf numFmtId="0" fontId="29" fillId="16" borderId="0" xfId="0" applyFont="1" applyFill="1" applyAlignment="1">
      <alignment horizontal="left"/>
    </xf>
    <xf numFmtId="165" fontId="0" fillId="0" borderId="6" xfId="0" applyNumberFormat="1" applyBorder="1" applyAlignment="1">
      <alignment horizontal="center" vertical="top"/>
    </xf>
    <xf numFmtId="0" fontId="0" fillId="0" borderId="10" xfId="0" applyBorder="1" applyAlignment="1">
      <alignment horizontal="center" vertical="top"/>
    </xf>
    <xf numFmtId="0" fontId="0" fillId="0" borderId="8" xfId="0" applyBorder="1" applyAlignment="1">
      <alignment horizontal="center" vertical="top"/>
    </xf>
    <xf numFmtId="0" fontId="1" fillId="0" borderId="11" xfId="0" applyFont="1" applyBorder="1" applyAlignment="1">
      <alignment horizontal="center" vertical="top"/>
    </xf>
    <xf numFmtId="0" fontId="1" fillId="0" borderId="12" xfId="0" applyFont="1" applyBorder="1" applyAlignment="1">
      <alignment horizontal="center" vertical="top"/>
    </xf>
    <xf numFmtId="0" fontId="14" fillId="9" borderId="3" xfId="0" applyFont="1" applyFill="1" applyBorder="1" applyAlignment="1">
      <alignment horizontal="left"/>
    </xf>
    <xf numFmtId="0" fontId="14" fillId="9" borderId="9" xfId="0" applyFont="1" applyFill="1" applyBorder="1" applyAlignment="1">
      <alignment horizontal="center"/>
    </xf>
    <xf numFmtId="0" fontId="13" fillId="0" borderId="5" xfId="0" applyFont="1" applyBorder="1"/>
    <xf numFmtId="0" fontId="13" fillId="0" borderId="0" xfId="0" applyFont="1" applyAlignment="1">
      <alignment horizontal="center" vertical="center"/>
    </xf>
    <xf numFmtId="0" fontId="13" fillId="0" borderId="5" xfId="0" applyFont="1" applyBorder="1" applyAlignment="1">
      <alignment horizontal="left"/>
    </xf>
    <xf numFmtId="0" fontId="13" fillId="9" borderId="4" xfId="0" applyFont="1" applyFill="1" applyBorder="1" applyAlignment="1">
      <alignment horizontal="left"/>
    </xf>
    <xf numFmtId="0" fontId="13" fillId="0" borderId="6" xfId="0" applyFont="1" applyBorder="1" applyAlignment="1">
      <alignment horizontal="left"/>
    </xf>
    <xf numFmtId="0" fontId="13" fillId="0" borderId="8" xfId="0" applyFont="1" applyBorder="1" applyAlignment="1">
      <alignment horizontal="left"/>
    </xf>
    <xf numFmtId="0" fontId="13" fillId="0" borderId="0" xfId="0" applyFont="1" applyAlignment="1">
      <alignment horizontal="center"/>
    </xf>
    <xf numFmtId="0" fontId="13" fillId="0" borderId="13" xfId="0" applyFont="1" applyBorder="1" applyAlignment="1">
      <alignment horizontal="center"/>
    </xf>
    <xf numFmtId="0" fontId="13" fillId="9" borderId="14" xfId="0" applyFont="1" applyFill="1" applyBorder="1" applyAlignment="1">
      <alignment horizontal="center" vertical="center"/>
    </xf>
    <xf numFmtId="2" fontId="17" fillId="9" borderId="15" xfId="0" applyNumberFormat="1" applyFont="1" applyFill="1" applyBorder="1" applyAlignment="1">
      <alignment horizontal="center" vertical="center"/>
    </xf>
    <xf numFmtId="0" fontId="13" fillId="9" borderId="16" xfId="0" applyFont="1" applyFill="1" applyBorder="1" applyAlignment="1">
      <alignment horizontal="center" vertical="center" wrapText="1"/>
    </xf>
    <xf numFmtId="2" fontId="17" fillId="0" borderId="18" xfId="0" applyNumberFormat="1" applyFont="1" applyBorder="1" applyAlignment="1">
      <alignment horizontal="left"/>
    </xf>
    <xf numFmtId="2" fontId="17" fillId="0" borderId="18" xfId="0" applyNumberFormat="1" applyFont="1" applyBorder="1" applyAlignment="1">
      <alignment horizontal="left" vertical="center"/>
    </xf>
    <xf numFmtId="2" fontId="17" fillId="0" borderId="20" xfId="0" applyNumberFormat="1" applyFont="1" applyBorder="1" applyAlignment="1">
      <alignment horizontal="left" vertical="center"/>
    </xf>
    <xf numFmtId="0" fontId="17" fillId="0" borderId="6" xfId="0" applyFont="1" applyBorder="1" applyAlignment="1">
      <alignment horizontal="left" vertical="center" wrapText="1"/>
    </xf>
    <xf numFmtId="0" fontId="17" fillId="0" borderId="0" xfId="0" applyFont="1" applyAlignment="1">
      <alignment horizontal="left" vertical="center" wrapText="1"/>
    </xf>
    <xf numFmtId="0" fontId="17" fillId="0" borderId="0" xfId="0" applyFont="1" applyAlignment="1">
      <alignment horizontal="left" wrapText="1"/>
    </xf>
    <xf numFmtId="0" fontId="13" fillId="0" borderId="0" xfId="0" applyFont="1" applyAlignment="1">
      <alignment horizontal="left"/>
    </xf>
    <xf numFmtId="0" fontId="13" fillId="0" borderId="0" xfId="5" applyFont="1" applyAlignment="1" applyProtection="1">
      <alignment horizontal="left"/>
    </xf>
    <xf numFmtId="0" fontId="26" fillId="0" borderId="0" xfId="0" applyFont="1" applyAlignment="1">
      <alignment horizontal="center" vertical="center" wrapText="1"/>
    </xf>
    <xf numFmtId="0" fontId="27" fillId="9" borderId="13" xfId="0" applyFont="1" applyFill="1" applyBorder="1" applyAlignment="1">
      <alignment horizontal="center"/>
    </xf>
    <xf numFmtId="0" fontId="26" fillId="0" borderId="5" xfId="0" applyFont="1" applyBorder="1" applyAlignment="1">
      <alignment horizontal="left"/>
    </xf>
    <xf numFmtId="0" fontId="26" fillId="0" borderId="0" xfId="0" applyFont="1" applyAlignment="1">
      <alignment horizontal="center" vertical="center"/>
    </xf>
    <xf numFmtId="0" fontId="26" fillId="0" borderId="0" xfId="0" applyFont="1" applyAlignment="1">
      <alignment horizontal="left" vertical="center"/>
    </xf>
    <xf numFmtId="0" fontId="29" fillId="0" borderId="0" xfId="0" applyFont="1" applyAlignment="1">
      <alignment horizontal="left" vertical="center"/>
    </xf>
    <xf numFmtId="0" fontId="29" fillId="12" borderId="0" xfId="0" applyFont="1" applyFill="1" applyAlignment="1">
      <alignment horizontal="right" vertical="center" wrapText="1"/>
    </xf>
    <xf numFmtId="0" fontId="29" fillId="13" borderId="0" xfId="0" applyFont="1" applyFill="1" applyAlignment="1">
      <alignment horizontal="right" vertical="center" wrapText="1"/>
    </xf>
    <xf numFmtId="0" fontId="28" fillId="9" borderId="3" xfId="0" applyFont="1" applyFill="1" applyBorder="1" applyAlignment="1">
      <alignment horizontal="center" vertical="center"/>
    </xf>
    <xf numFmtId="0" fontId="28" fillId="9" borderId="9" xfId="0" applyFont="1" applyFill="1" applyBorder="1" applyAlignment="1">
      <alignment horizontal="center" vertical="center"/>
    </xf>
    <xf numFmtId="0" fontId="28" fillId="9" borderId="9" xfId="0" applyFont="1" applyFill="1" applyBorder="1" applyAlignment="1">
      <alignment horizontal="center" vertical="center" wrapText="1"/>
    </xf>
    <xf numFmtId="0" fontId="28" fillId="9" borderId="4" xfId="0" applyFont="1" applyFill="1" applyBorder="1" applyAlignment="1">
      <alignment horizontal="center" vertical="center" wrapText="1"/>
    </xf>
    <xf numFmtId="0" fontId="47" fillId="0" borderId="0" xfId="0" applyFont="1" applyAlignment="1">
      <alignment horizontal="center" vertical="center" wrapText="1"/>
    </xf>
    <xf numFmtId="0" fontId="25" fillId="0" borderId="0" xfId="0" applyFont="1" applyAlignment="1">
      <alignment horizontal="right"/>
    </xf>
    <xf numFmtId="0" fontId="26" fillId="0" borderId="0" xfId="0" applyFont="1" applyAlignment="1">
      <alignment horizontal="right"/>
    </xf>
    <xf numFmtId="0" fontId="25" fillId="0" borderId="0" xfId="0" applyFont="1" applyAlignment="1">
      <alignment horizontal="justify" wrapText="1"/>
    </xf>
    <xf numFmtId="0" fontId="27" fillId="0" borderId="0" xfId="0" applyFont="1" applyAlignment="1">
      <alignment horizontal="justify" wrapText="1"/>
    </xf>
    <xf numFmtId="173" fontId="25" fillId="9" borderId="4" xfId="0" applyNumberFormat="1" applyFont="1" applyFill="1" applyBorder="1" applyAlignment="1">
      <alignment horizontal="center"/>
    </xf>
    <xf numFmtId="0" fontId="25" fillId="0" borderId="0" xfId="0" applyFont="1" applyAlignment="1">
      <alignment horizontal="center"/>
    </xf>
    <xf numFmtId="0" fontId="56" fillId="0" borderId="0" xfId="0" applyFont="1" applyAlignment="1">
      <alignment horizontal="left" vertical="center" wrapText="1"/>
    </xf>
    <xf numFmtId="0" fontId="56" fillId="0" borderId="0" xfId="0" applyFont="1" applyAlignment="1">
      <alignment vertical="center" wrapText="1"/>
    </xf>
    <xf numFmtId="0" fontId="57" fillId="0" borderId="0" xfId="0" applyFont="1" applyAlignment="1">
      <alignment horizontal="left" vertical="center" wrapText="1"/>
    </xf>
    <xf numFmtId="2" fontId="53" fillId="9" borderId="12" xfId="0" applyNumberFormat="1" applyFont="1" applyFill="1" applyBorder="1" applyAlignment="1">
      <alignment horizontal="center" vertical="center"/>
    </xf>
    <xf numFmtId="0" fontId="27" fillId="9" borderId="12" xfId="0" applyFont="1" applyFill="1" applyBorder="1" applyAlignment="1">
      <alignment horizontal="center" vertical="center"/>
    </xf>
    <xf numFmtId="0" fontId="56" fillId="9" borderId="12" xfId="0" applyFont="1" applyFill="1" applyBorder="1" applyAlignment="1">
      <alignment horizontal="center" vertical="center"/>
    </xf>
    <xf numFmtId="2" fontId="53" fillId="18" borderId="12" xfId="0" applyNumberFormat="1" applyFont="1" applyFill="1" applyBorder="1" applyAlignment="1">
      <alignment horizontal="center" vertical="center"/>
    </xf>
    <xf numFmtId="0" fontId="27" fillId="18" borderId="12" xfId="0" applyFont="1" applyFill="1" applyBorder="1" applyAlignment="1">
      <alignment horizontal="center" vertical="center"/>
    </xf>
    <xf numFmtId="0" fontId="56" fillId="18" borderId="12" xfId="0" applyFont="1" applyFill="1" applyBorder="1" applyAlignment="1">
      <alignment horizontal="center" vertical="center"/>
    </xf>
    <xf numFmtId="0" fontId="25" fillId="0" borderId="12" xfId="0" applyFont="1" applyBorder="1" applyAlignment="1">
      <alignment horizontal="left" vertical="top"/>
    </xf>
    <xf numFmtId="0" fontId="29" fillId="0" borderId="12" xfId="10" applyFont="1" applyBorder="1" applyAlignment="1">
      <alignment horizontal="left" vertical="top"/>
    </xf>
    <xf numFmtId="0" fontId="25" fillId="0" borderId="0" xfId="0" applyFont="1" applyAlignment="1">
      <alignment horizontal="left" vertical="top"/>
    </xf>
    <xf numFmtId="0" fontId="35" fillId="0" borderId="0" xfId="4" applyFont="1" applyAlignment="1">
      <alignment horizontal="left" vertical="top"/>
    </xf>
    <xf numFmtId="0" fontId="26" fillId="0" borderId="0" xfId="4" applyFont="1" applyAlignment="1">
      <alignment horizontal="left" vertical="top"/>
    </xf>
    <xf numFmtId="0" fontId="25" fillId="0" borderId="0" xfId="0" applyFont="1" applyAlignment="1">
      <alignment horizontal="left" vertical="top" wrapText="1"/>
    </xf>
    <xf numFmtId="0" fontId="26" fillId="0" borderId="0" xfId="4" applyFont="1" applyAlignment="1">
      <alignment horizontal="left" vertical="top" wrapText="1"/>
    </xf>
    <xf numFmtId="0" fontId="26" fillId="0" borderId="0" xfId="0" applyFont="1" applyAlignment="1">
      <alignment horizontal="left" vertical="top"/>
    </xf>
    <xf numFmtId="0" fontId="27" fillId="0" borderId="0" xfId="4" applyFont="1" applyAlignment="1">
      <alignment horizontal="left" vertical="top"/>
    </xf>
    <xf numFmtId="0" fontId="65" fillId="23" borderId="0" xfId="0" applyFont="1" applyFill="1" applyAlignment="1">
      <alignment horizontal="center"/>
    </xf>
    <xf numFmtId="0" fontId="25" fillId="10" borderId="20" xfId="0" applyFont="1" applyFill="1" applyBorder="1" applyAlignment="1">
      <alignment horizontal="center" vertical="center"/>
    </xf>
    <xf numFmtId="0" fontId="28" fillId="0" borderId="12" xfId="0" applyFont="1" applyBorder="1" applyAlignment="1">
      <alignment horizontal="center" vertical="center" wrapText="1" readingOrder="1"/>
    </xf>
    <xf numFmtId="0" fontId="28" fillId="0" borderId="25" xfId="0" applyFont="1" applyBorder="1" applyAlignment="1">
      <alignment horizontal="center" vertical="center" wrapText="1" readingOrder="1"/>
    </xf>
    <xf numFmtId="173" fontId="28" fillId="0" borderId="12" xfId="0" applyNumberFormat="1" applyFont="1" applyBorder="1" applyAlignment="1">
      <alignment horizontal="center"/>
    </xf>
    <xf numFmtId="0" fontId="29" fillId="0" borderId="0" xfId="6" applyFont="1" applyAlignment="1">
      <alignment horizontal="left" vertical="top" wrapText="1"/>
    </xf>
    <xf numFmtId="0" fontId="28" fillId="0" borderId="26" xfId="0" applyFont="1" applyBorder="1" applyAlignment="1">
      <alignment horizontal="center" vertical="center" wrapText="1" readingOrder="1"/>
    </xf>
    <xf numFmtId="173" fontId="28" fillId="0" borderId="26" xfId="0" applyNumberFormat="1" applyFont="1" applyBorder="1" applyAlignment="1">
      <alignment horizontal="center"/>
    </xf>
    <xf numFmtId="0" fontId="65" fillId="23" borderId="0" xfId="0" applyFont="1" applyFill="1" applyAlignment="1">
      <alignment horizontal="center" vertical="center" wrapText="1"/>
    </xf>
    <xf numFmtId="0" fontId="29" fillId="0" borderId="0" xfId="0" applyFont="1" applyAlignment="1">
      <alignment vertical="center" wrapText="1"/>
    </xf>
    <xf numFmtId="0" fontId="61" fillId="0" borderId="24" xfId="0" applyFont="1" applyBorder="1" applyAlignment="1">
      <alignment horizontal="center"/>
    </xf>
    <xf numFmtId="0" fontId="28" fillId="0" borderId="15" xfId="0" applyFont="1" applyBorder="1" applyAlignment="1">
      <alignment horizontal="center" vertical="center" wrapText="1" readingOrder="1"/>
    </xf>
    <xf numFmtId="0" fontId="29" fillId="0" borderId="12" xfId="0" applyFont="1" applyBorder="1" applyAlignment="1">
      <alignment horizontal="center" vertical="center"/>
    </xf>
    <xf numFmtId="0" fontId="47" fillId="0" borderId="0" xfId="0" applyFont="1"/>
    <xf numFmtId="0" fontId="47" fillId="0" borderId="0" xfId="0" applyFont="1" applyAlignment="1">
      <alignment horizontal="center" vertical="center"/>
    </xf>
    <xf numFmtId="0" fontId="47" fillId="0" borderId="0" xfId="0" applyFont="1" applyAlignment="1">
      <alignment horizontal="left"/>
    </xf>
    <xf numFmtId="0" fontId="47" fillId="0" borderId="0" xfId="0" applyFont="1" applyAlignment="1">
      <alignment horizontal="left" vertical="center"/>
    </xf>
    <xf numFmtId="0" fontId="76" fillId="0" borderId="38" xfId="0" applyFont="1" applyBorder="1" applyAlignment="1">
      <alignment horizontal="center"/>
    </xf>
    <xf numFmtId="0" fontId="76" fillId="0" borderId="38" xfId="0" applyFont="1" applyBorder="1" applyAlignment="1">
      <alignment horizontal="center" vertical="center"/>
    </xf>
    <xf numFmtId="0" fontId="76" fillId="0" borderId="4" xfId="0" applyFont="1" applyBorder="1" applyAlignment="1">
      <alignment horizontal="left" vertical="center" wrapText="1"/>
    </xf>
    <xf numFmtId="0" fontId="76" fillId="0" borderId="6" xfId="0" applyFont="1" applyBorder="1" applyAlignment="1">
      <alignment horizontal="left" vertical="center" wrapText="1"/>
    </xf>
    <xf numFmtId="0" fontId="76" fillId="0" borderId="8" xfId="0" applyFont="1" applyBorder="1" applyAlignment="1">
      <alignment horizontal="left" vertical="center"/>
    </xf>
    <xf numFmtId="0" fontId="11" fillId="9" borderId="13" xfId="0" applyFont="1" applyFill="1" applyBorder="1" applyAlignment="1">
      <alignment horizontal="center"/>
    </xf>
    <xf numFmtId="0" fontId="10" fillId="0" borderId="0" xfId="0" applyFont="1" applyAlignment="1">
      <alignment horizontal="center" vertical="center"/>
    </xf>
    <xf numFmtId="0" fontId="77" fillId="0" borderId="0" xfId="0" applyFont="1" applyAlignment="1">
      <alignment horizontal="left" vertical="top" wrapText="1"/>
    </xf>
    <xf numFmtId="0" fontId="1" fillId="0" borderId="25" xfId="0" applyFont="1" applyBorder="1" applyAlignment="1">
      <alignment horizontal="center"/>
    </xf>
    <xf numFmtId="0" fontId="10" fillId="0" borderId="0" xfId="0" applyFont="1" applyAlignment="1">
      <alignment horizontal="center"/>
    </xf>
    <xf numFmtId="0" fontId="5" fillId="9" borderId="39" xfId="0" applyFont="1" applyFill="1" applyBorder="1" applyAlignment="1">
      <alignment horizontal="center" vertical="center"/>
    </xf>
    <xf numFmtId="0" fontId="5" fillId="9" borderId="40" xfId="0" applyFont="1" applyFill="1" applyBorder="1" applyAlignment="1">
      <alignment horizontal="center" vertical="center"/>
    </xf>
    <xf numFmtId="0" fontId="5" fillId="9" borderId="41" xfId="0" applyFont="1" applyFill="1" applyBorder="1" applyAlignment="1">
      <alignment horizontal="center" vertical="center"/>
    </xf>
    <xf numFmtId="0" fontId="5" fillId="9" borderId="13" xfId="0" applyFont="1" applyFill="1" applyBorder="1" applyAlignment="1">
      <alignment horizontal="left" vertical="center"/>
    </xf>
    <xf numFmtId="0" fontId="0" fillId="0" borderId="5" xfId="0" applyBorder="1" applyAlignment="1">
      <alignment horizontal="center" vertical="center"/>
    </xf>
    <xf numFmtId="0" fontId="0" fillId="0" borderId="0" xfId="0" applyAlignment="1">
      <alignment horizontal="center" vertical="center"/>
    </xf>
    <xf numFmtId="0" fontId="5" fillId="9" borderId="42" xfId="0" applyFont="1" applyFill="1" applyBorder="1" applyAlignment="1">
      <alignment horizontal="left" vertical="center"/>
    </xf>
    <xf numFmtId="0" fontId="0" fillId="0" borderId="7" xfId="0" applyBorder="1" applyAlignment="1">
      <alignment horizontal="center" vertical="center"/>
    </xf>
    <xf numFmtId="0" fontId="0" fillId="0" borderId="10" xfId="0" applyBorder="1" applyAlignment="1">
      <alignment horizontal="center" vertical="center"/>
    </xf>
    <xf numFmtId="0" fontId="5" fillId="10" borderId="39" xfId="0" applyFont="1" applyFill="1" applyBorder="1" applyAlignment="1">
      <alignment horizontal="center" vertical="center"/>
    </xf>
    <xf numFmtId="0" fontId="5" fillId="9" borderId="13" xfId="0" applyFont="1" applyFill="1" applyBorder="1" applyAlignment="1">
      <alignment horizontal="center"/>
    </xf>
    <xf numFmtId="166" fontId="13" fillId="0" borderId="0" xfId="0" applyNumberFormat="1" applyFont="1" applyAlignment="1">
      <alignment horizontal="center" vertical="center"/>
    </xf>
    <xf numFmtId="0" fontId="13" fillId="0" borderId="10" xfId="0" applyFont="1" applyBorder="1" applyAlignment="1">
      <alignment horizontal="center" vertical="center"/>
    </xf>
    <xf numFmtId="0" fontId="0" fillId="9" borderId="0" xfId="0" applyFill="1" applyAlignment="1">
      <alignment horizontal="center"/>
    </xf>
    <xf numFmtId="0" fontId="0" fillId="0" borderId="0" xfId="0" applyAlignment="1">
      <alignment horizontal="center"/>
    </xf>
    <xf numFmtId="0" fontId="20" fillId="9" borderId="13" xfId="0" applyFont="1" applyFill="1" applyBorder="1" applyAlignment="1">
      <alignment horizontal="center"/>
    </xf>
    <xf numFmtId="0" fontId="17" fillId="0" borderId="0" xfId="0" applyFont="1" applyAlignment="1">
      <alignment horizontal="center" vertical="center"/>
    </xf>
    <xf numFmtId="0" fontId="17" fillId="0" borderId="0" xfId="0" applyFont="1" applyAlignment="1">
      <alignment horizontal="right"/>
    </xf>
    <xf numFmtId="0" fontId="20" fillId="0" borderId="0" xfId="0" applyFont="1" applyAlignment="1">
      <alignment horizontal="right"/>
    </xf>
    <xf numFmtId="0" fontId="17" fillId="0" borderId="0" xfId="0" applyFont="1" applyAlignment="1">
      <alignment horizontal="left"/>
    </xf>
    <xf numFmtId="0" fontId="17" fillId="0" borderId="12" xfId="0" applyFont="1" applyBorder="1" applyAlignment="1">
      <alignment horizontal="center"/>
    </xf>
    <xf numFmtId="0" fontId="28" fillId="4" borderId="43" xfId="0" applyFont="1" applyFill="1" applyBorder="1" applyAlignment="1">
      <alignment horizontal="center" vertical="center"/>
    </xf>
    <xf numFmtId="0" fontId="28" fillId="4" borderId="11" xfId="0" applyFont="1" applyFill="1" applyBorder="1" applyAlignment="1">
      <alignment horizontal="center" vertical="center"/>
    </xf>
    <xf numFmtId="0" fontId="28" fillId="4" borderId="12" xfId="0" applyFont="1" applyFill="1" applyBorder="1" applyAlignment="1">
      <alignment horizontal="center" vertical="center"/>
    </xf>
    <xf numFmtId="0" fontId="28" fillId="4" borderId="12" xfId="0" applyFont="1" applyFill="1" applyBorder="1" applyAlignment="1">
      <alignment horizontal="center" vertical="center" wrapText="1"/>
    </xf>
    <xf numFmtId="0" fontId="28" fillId="4" borderId="44" xfId="0" applyFont="1" applyFill="1" applyBorder="1" applyAlignment="1">
      <alignment horizontal="center" vertical="center"/>
    </xf>
    <xf numFmtId="0" fontId="53" fillId="4" borderId="47" xfId="0" applyFont="1" applyFill="1" applyBorder="1" applyAlignment="1">
      <alignment horizontal="center" vertical="center"/>
    </xf>
    <xf numFmtId="0" fontId="53" fillId="4" borderId="43" xfId="0" applyFont="1" applyFill="1" applyBorder="1" applyAlignment="1">
      <alignment horizontal="center" vertical="center"/>
    </xf>
    <xf numFmtId="0" fontId="53" fillId="4" borderId="11" xfId="0" applyFont="1" applyFill="1" applyBorder="1" applyAlignment="1">
      <alignment horizontal="center" vertical="center"/>
    </xf>
    <xf numFmtId="0" fontId="53" fillId="4" borderId="12" xfId="0" applyFont="1" applyFill="1" applyBorder="1" applyAlignment="1">
      <alignment horizontal="center" vertical="center" wrapText="1"/>
    </xf>
    <xf numFmtId="0" fontId="53" fillId="4" borderId="44" xfId="0" applyFont="1" applyFill="1" applyBorder="1" applyAlignment="1">
      <alignment horizontal="center" vertical="center"/>
    </xf>
    <xf numFmtId="0" fontId="53" fillId="4" borderId="12" xfId="0" applyFont="1" applyFill="1" applyBorder="1" applyAlignment="1">
      <alignment horizontal="center" vertical="center"/>
    </xf>
    <xf numFmtId="0" fontId="53" fillId="4" borderId="43" xfId="0" applyFont="1" applyFill="1" applyBorder="1" applyAlignment="1">
      <alignment horizontal="center" vertical="center" wrapText="1"/>
    </xf>
    <xf numFmtId="0" fontId="53" fillId="4" borderId="44" xfId="0" applyFont="1" applyFill="1" applyBorder="1" applyAlignment="1">
      <alignment horizontal="center" vertical="center" wrapText="1"/>
    </xf>
    <xf numFmtId="0" fontId="25" fillId="10" borderId="49" xfId="0" applyFont="1" applyFill="1" applyBorder="1" applyAlignment="1">
      <alignment horizontal="center" vertical="center"/>
    </xf>
    <xf numFmtId="0" fontId="25" fillId="0" borderId="49" xfId="0" applyFont="1" applyBorder="1" applyAlignment="1">
      <alignment horizontal="center" vertical="center"/>
    </xf>
    <xf numFmtId="0" fontId="53" fillId="4" borderId="50" xfId="0" applyFont="1" applyFill="1" applyBorder="1" applyAlignment="1">
      <alignment horizontal="center" vertical="center"/>
    </xf>
    <xf numFmtId="0" fontId="53" fillId="4" borderId="51" xfId="0" applyFont="1" applyFill="1" applyBorder="1" applyAlignment="1">
      <alignment horizontal="center" vertical="center"/>
    </xf>
    <xf numFmtId="0" fontId="53" fillId="4" borderId="48" xfId="0" applyFont="1" applyFill="1" applyBorder="1" applyAlignment="1">
      <alignment horizontal="center" vertical="center"/>
    </xf>
    <xf numFmtId="0" fontId="53" fillId="0" borderId="0" xfId="0" applyFont="1" applyAlignment="1">
      <alignment horizontal="center" vertical="center"/>
    </xf>
    <xf numFmtId="0" fontId="53" fillId="4" borderId="52" xfId="0" applyFont="1" applyFill="1" applyBorder="1" applyAlignment="1">
      <alignment horizontal="center" vertical="center"/>
    </xf>
    <xf numFmtId="0" fontId="53" fillId="4" borderId="53" xfId="0" applyFont="1" applyFill="1" applyBorder="1" applyAlignment="1">
      <alignment horizontal="center" vertical="center"/>
    </xf>
    <xf numFmtId="0" fontId="28" fillId="4" borderId="52" xfId="0" applyFont="1" applyFill="1" applyBorder="1" applyAlignment="1">
      <alignment horizontal="center" vertical="center"/>
    </xf>
    <xf numFmtId="0" fontId="28" fillId="4" borderId="52" xfId="0" applyFont="1" applyFill="1" applyBorder="1" applyAlignment="1">
      <alignment horizontal="center" vertical="center" wrapText="1"/>
    </xf>
    <xf numFmtId="0" fontId="28" fillId="4" borderId="51" xfId="0" applyFont="1" applyFill="1" applyBorder="1" applyAlignment="1">
      <alignment horizontal="center" vertical="center" wrapText="1"/>
    </xf>
    <xf numFmtId="0" fontId="53" fillId="4" borderId="52" xfId="0" applyFont="1" applyFill="1" applyBorder="1" applyAlignment="1">
      <alignment horizontal="center" vertical="center" wrapText="1"/>
    </xf>
    <xf numFmtId="0" fontId="25" fillId="10" borderId="26" xfId="0" applyFont="1" applyFill="1" applyBorder="1" applyAlignment="1">
      <alignment horizontal="center" vertical="center"/>
    </xf>
    <xf numFmtId="0" fontId="53" fillId="0" borderId="0" xfId="2" applyFont="1" applyAlignment="1">
      <alignment horizontal="left" vertical="center"/>
    </xf>
    <xf numFmtId="0" fontId="53" fillId="4" borderId="43" xfId="2" applyFont="1" applyFill="1" applyBorder="1" applyAlignment="1">
      <alignment horizontal="center" vertical="center"/>
    </xf>
    <xf numFmtId="0" fontId="53" fillId="4" borderId="11" xfId="2" applyFont="1" applyFill="1" applyBorder="1" applyAlignment="1">
      <alignment horizontal="center" vertical="center"/>
    </xf>
    <xf numFmtId="0" fontId="25" fillId="0" borderId="0" xfId="2" applyFont="1" applyAlignment="1">
      <alignment horizontal="left" vertical="center"/>
    </xf>
    <xf numFmtId="0" fontId="53" fillId="4" borderId="50" xfId="2" applyFont="1" applyFill="1" applyBorder="1" applyAlignment="1">
      <alignment horizontal="center" vertical="center"/>
    </xf>
    <xf numFmtId="0" fontId="53" fillId="4" borderId="52" xfId="2" applyFont="1" applyFill="1" applyBorder="1" applyAlignment="1">
      <alignment horizontal="center" vertical="center"/>
    </xf>
    <xf numFmtId="0" fontId="53" fillId="4" borderId="51" xfId="2" applyFont="1" applyFill="1" applyBorder="1" applyAlignment="1">
      <alignment horizontal="center" vertical="center" wrapText="1"/>
    </xf>
    <xf numFmtId="0" fontId="53" fillId="4" borderId="56" xfId="2" applyFont="1" applyFill="1" applyBorder="1" applyAlignment="1">
      <alignment horizontal="center" vertical="center"/>
    </xf>
    <xf numFmtId="0" fontId="25" fillId="4" borderId="44" xfId="0" applyFont="1" applyFill="1" applyBorder="1" applyAlignment="1">
      <alignment horizontal="center" vertical="center"/>
    </xf>
    <xf numFmtId="0" fontId="53" fillId="4" borderId="59" xfId="0" applyFont="1" applyFill="1" applyBorder="1" applyAlignment="1">
      <alignment horizontal="center" vertical="center"/>
    </xf>
    <xf numFmtId="0" fontId="53" fillId="10" borderId="60" xfId="0" applyFont="1" applyFill="1" applyBorder="1" applyAlignment="1">
      <alignment horizontal="left" vertical="center"/>
    </xf>
    <xf numFmtId="0" fontId="53" fillId="0" borderId="60" xfId="0" applyFont="1" applyBorder="1" applyAlignment="1">
      <alignment horizontal="left" vertical="center" wrapText="1"/>
    </xf>
    <xf numFmtId="0" fontId="25" fillId="0" borderId="27" xfId="0" applyFont="1" applyBorder="1" applyAlignment="1">
      <alignment horizontal="right" vertical="center"/>
    </xf>
    <xf numFmtId="0" fontId="25" fillId="0" borderId="6" xfId="0" applyFont="1" applyBorder="1" applyAlignment="1">
      <alignment horizontal="center" vertical="center"/>
    </xf>
    <xf numFmtId="0" fontId="53" fillId="10" borderId="60" xfId="0" applyFont="1" applyFill="1" applyBorder="1" applyAlignment="1">
      <alignment vertical="center" wrapText="1"/>
    </xf>
    <xf numFmtId="0" fontId="25" fillId="10" borderId="26" xfId="0" applyFont="1" applyFill="1" applyBorder="1" applyAlignment="1">
      <alignment horizontal="left" vertical="center"/>
    </xf>
    <xf numFmtId="0" fontId="25" fillId="10" borderId="27" xfId="0" applyFont="1" applyFill="1" applyBorder="1" applyAlignment="1">
      <alignment horizontal="right" vertical="center"/>
    </xf>
    <xf numFmtId="0" fontId="25" fillId="10" borderId="6" xfId="0" applyFont="1" applyFill="1" applyBorder="1" applyAlignment="1">
      <alignment horizontal="center" vertical="center"/>
    </xf>
    <xf numFmtId="0" fontId="53" fillId="10" borderId="7" xfId="0" applyFont="1" applyFill="1" applyBorder="1" applyAlignment="1">
      <alignment horizontal="left" vertical="center"/>
    </xf>
    <xf numFmtId="0" fontId="53" fillId="30" borderId="50" xfId="0" applyFont="1" applyFill="1" applyBorder="1" applyAlignment="1">
      <alignment horizontal="center" vertical="center"/>
    </xf>
    <xf numFmtId="0" fontId="53" fillId="30" borderId="52" xfId="0" applyFont="1" applyFill="1" applyBorder="1" applyAlignment="1">
      <alignment horizontal="center" vertical="center"/>
    </xf>
    <xf numFmtId="0" fontId="53" fillId="30" borderId="51" xfId="0" applyFont="1" applyFill="1" applyBorder="1" applyAlignment="1">
      <alignment horizontal="center" vertical="center"/>
    </xf>
    <xf numFmtId="0" fontId="53" fillId="30" borderId="12" xfId="0" applyFont="1" applyFill="1" applyBorder="1" applyAlignment="1">
      <alignment horizontal="center" vertical="center"/>
    </xf>
    <xf numFmtId="0" fontId="25" fillId="10" borderId="25" xfId="0" applyFont="1" applyFill="1" applyBorder="1" applyAlignment="1">
      <alignment horizontal="center" vertical="center"/>
    </xf>
    <xf numFmtId="0" fontId="25" fillId="12" borderId="25" xfId="0" applyFont="1" applyFill="1" applyBorder="1" applyAlignment="1">
      <alignment horizontal="center" vertical="center"/>
    </xf>
    <xf numFmtId="0" fontId="25" fillId="0" borderId="25" xfId="0" applyFont="1" applyBorder="1" applyAlignment="1">
      <alignment horizontal="center" vertical="center"/>
    </xf>
    <xf numFmtId="0" fontId="53" fillId="0" borderId="25" xfId="0" applyFont="1" applyBorder="1" applyAlignment="1">
      <alignment horizontal="center" vertical="center"/>
    </xf>
    <xf numFmtId="0" fontId="25" fillId="0" borderId="55" xfId="0" applyFont="1" applyBorder="1" applyAlignment="1">
      <alignment horizontal="center" vertical="center"/>
    </xf>
    <xf numFmtId="0" fontId="7" fillId="9" borderId="12" xfId="0" applyFont="1" applyFill="1" applyBorder="1" applyAlignment="1">
      <alignment horizontal="center"/>
    </xf>
    <xf numFmtId="0" fontId="3" fillId="0" borderId="12" xfId="0" applyFont="1" applyBorder="1" applyAlignment="1">
      <alignment horizontal="left"/>
    </xf>
    <xf numFmtId="0" fontId="3" fillId="0" borderId="12" xfId="0" applyFont="1" applyBorder="1" applyAlignment="1">
      <alignment horizontal="center" vertical="center"/>
    </xf>
    <xf numFmtId="166" fontId="3" fillId="0" borderId="12" xfId="0" applyNumberFormat="1" applyFont="1" applyBorder="1" applyAlignment="1">
      <alignment horizontal="center" vertical="center"/>
    </xf>
    <xf numFmtId="0" fontId="1" fillId="0" borderId="12" xfId="0" applyFont="1" applyBorder="1" applyAlignment="1">
      <alignment horizontal="left"/>
    </xf>
    <xf numFmtId="0" fontId="1" fillId="0" borderId="12" xfId="0" applyFont="1" applyBorder="1" applyAlignment="1">
      <alignment horizontal="center"/>
    </xf>
    <xf numFmtId="0" fontId="1" fillId="0" borderId="0" xfId="0" applyFont="1" applyAlignment="1">
      <alignment horizontal="center"/>
    </xf>
    <xf numFmtId="0" fontId="4" fillId="16" borderId="0" xfId="0" applyFont="1" applyFill="1" applyAlignment="1">
      <alignment horizontal="center"/>
    </xf>
    <xf numFmtId="0" fontId="92" fillId="0" borderId="0" xfId="0" applyFont="1" applyAlignment="1">
      <alignment horizontal="left" vertical="center"/>
    </xf>
    <xf numFmtId="0" fontId="92" fillId="16" borderId="37" xfId="0" applyFont="1" applyFill="1" applyBorder="1" applyAlignment="1">
      <alignment horizontal="center" vertical="center"/>
    </xf>
    <xf numFmtId="0" fontId="93" fillId="0" borderId="12" xfId="0" applyFont="1" applyBorder="1" applyAlignment="1">
      <alignment horizontal="center" vertical="center"/>
    </xf>
    <xf numFmtId="0" fontId="92" fillId="0" borderId="12" xfId="0" applyFont="1" applyBorder="1" applyAlignment="1">
      <alignment horizontal="center" vertical="center"/>
    </xf>
    <xf numFmtId="0" fontId="91" fillId="0" borderId="0" xfId="0" applyFont="1" applyAlignment="1">
      <alignment horizontal="center" vertical="center"/>
    </xf>
    <xf numFmtId="0" fontId="91" fillId="0" borderId="0" xfId="0" applyFont="1" applyAlignment="1">
      <alignment horizontal="left" vertical="center"/>
    </xf>
    <xf numFmtId="0" fontId="92" fillId="0" borderId="25" xfId="0" applyFont="1" applyBorder="1" applyAlignment="1">
      <alignment horizontal="center" vertical="center"/>
    </xf>
    <xf numFmtId="0" fontId="92" fillId="0" borderId="15" xfId="0" applyFont="1" applyBorder="1" applyAlignment="1">
      <alignment horizontal="center" vertical="center"/>
    </xf>
    <xf numFmtId="0" fontId="91" fillId="0" borderId="12" xfId="0" applyFont="1" applyBorder="1" applyAlignment="1">
      <alignment horizontal="center" vertical="center"/>
    </xf>
    <xf numFmtId="0" fontId="92" fillId="16" borderId="0" xfId="0" applyFont="1" applyFill="1" applyAlignment="1">
      <alignment horizontal="center" vertical="center"/>
    </xf>
    <xf numFmtId="0" fontId="92" fillId="35" borderId="12" xfId="0" applyFont="1" applyFill="1" applyBorder="1" applyAlignment="1">
      <alignment horizontal="center" vertical="center"/>
    </xf>
    <xf numFmtId="0" fontId="92" fillId="16" borderId="0" xfId="0" applyFont="1" applyFill="1" applyAlignment="1">
      <alignment horizontal="left" vertical="center"/>
    </xf>
    <xf numFmtId="0" fontId="27" fillId="0" borderId="3" xfId="0" applyFont="1" applyBorder="1" applyAlignment="1">
      <alignment horizontal="left"/>
    </xf>
    <xf numFmtId="0" fontId="27" fillId="0" borderId="9" xfId="0" applyFont="1" applyBorder="1" applyAlignment="1">
      <alignment horizontal="center"/>
    </xf>
    <xf numFmtId="166" fontId="26" fillId="0" borderId="0" xfId="0" applyNumberFormat="1" applyFont="1" applyAlignment="1">
      <alignment horizontal="center" vertical="center"/>
    </xf>
    <xf numFmtId="0" fontId="26" fillId="0" borderId="7" xfId="0" applyFont="1" applyBorder="1" applyAlignment="1">
      <alignment horizontal="left"/>
    </xf>
    <xf numFmtId="164" fontId="26" fillId="0" borderId="10" xfId="0" applyNumberFormat="1" applyFont="1" applyBorder="1" applyAlignment="1">
      <alignment horizontal="center" vertical="center"/>
    </xf>
  </cellXfs>
  <cellStyles count="21">
    <cellStyle name="Excel Built-in 60% - Accent6" xfId="15" xr:uid="{00000000-0005-0000-0000-000013000000}"/>
    <cellStyle name="Excel Built-in Accent1" xfId="16" xr:uid="{00000000-0005-0000-0000-000014000000}"/>
    <cellStyle name="Excel Built-in Accent5" xfId="17" xr:uid="{00000000-0005-0000-0000-000015000000}"/>
    <cellStyle name="Excel Built-in Calculation" xfId="14" xr:uid="{00000000-0005-0000-0000-000012000000}"/>
    <cellStyle name="Excel Built-in Check Cell" xfId="18" xr:uid="{00000000-0005-0000-0000-000016000000}"/>
    <cellStyle name="Excel Built-in Currency [0]" xfId="20" xr:uid="{00000000-0005-0000-0000-000018000000}"/>
    <cellStyle name="Excel Built-in Good" xfId="13" xr:uid="{00000000-0005-0000-0000-000011000000}"/>
    <cellStyle name="Excel Built-in Neutral" xfId="19" xr:uid="{00000000-0005-0000-0000-000017000000}"/>
    <cellStyle name="Normal" xfId="0" builtinId="0"/>
    <cellStyle name="Normal 2" xfId="2" xr:uid="{00000000-0005-0000-0000-000006000000}"/>
    <cellStyle name="Normal 2 2" xfId="3" xr:uid="{00000000-0005-0000-0000-000007000000}"/>
    <cellStyle name="Normal 2 2 3" xfId="4" xr:uid="{00000000-0005-0000-0000-000008000000}"/>
    <cellStyle name="Normal 3" xfId="5" xr:uid="{00000000-0005-0000-0000-000009000000}"/>
    <cellStyle name="Normal 3 2" xfId="6" xr:uid="{00000000-0005-0000-0000-00000A000000}"/>
    <cellStyle name="Normal 3 3" xfId="7" xr:uid="{00000000-0005-0000-0000-00000B000000}"/>
    <cellStyle name="Normal 4" xfId="8" xr:uid="{00000000-0005-0000-0000-00000C000000}"/>
    <cellStyle name="Normal 4 2" xfId="9" xr:uid="{00000000-0005-0000-0000-00000D000000}"/>
    <cellStyle name="Normal 5" xfId="10" xr:uid="{00000000-0005-0000-0000-00000E000000}"/>
    <cellStyle name="Normal_Pemilihan propeller Prima" xfId="11" xr:uid="{00000000-0005-0000-0000-00000F000000}"/>
    <cellStyle name="Percent" xfId="1" builtinId="5"/>
    <cellStyle name="Percent 2" xfId="12" xr:uid="{00000000-0005-0000-0000-000010000000}"/>
  </cellStyles>
  <dxfs count="0"/>
  <tableStyles count="0" defaultTableStyle="TableStyleMedium2" defaultPivotStyle="PivotStyleLight16"/>
  <colors>
    <indexedColors>
      <rgbColor rgb="FF000000"/>
      <rgbColor rgb="FFFFFFFF"/>
      <rgbColor rgb="FFFF0000"/>
      <rgbColor rgb="FFA8B4B5"/>
      <rgbColor rgb="FFD4D3DD"/>
      <rgbColor rgb="FFFFFF00"/>
      <rgbColor rgb="FFCC00CC"/>
      <rgbColor rgb="FF84ACB6"/>
      <rgbColor rgb="FFC5CDCE"/>
      <rgbColor rgb="FF006100"/>
      <rgbColor rgb="FF000080"/>
      <rgbColor rgb="FF7F7F7F"/>
      <rgbColor rgb="FFAD84C6"/>
      <rgbColor rgb="FF00B050"/>
      <rgbColor rgb="FFC7C1C7"/>
      <rgbColor rgb="FF808080"/>
      <rgbColor rgb="FF9F9DD2"/>
      <rgbColor rgb="FF874EA9"/>
      <rgbColor rgb="FFFFFFCC"/>
      <rgbColor rgb="FFF2F2F2"/>
      <rgbColor rgb="FFA5A5A5"/>
      <rgbColor rgb="FFFF5050"/>
      <rgbColor rgb="FF6F8183"/>
      <rgbColor rgb="FFCFCEE9"/>
      <rgbColor rgb="FF000080"/>
      <rgbColor rgb="FFB7B5DD"/>
      <rgbColor rgb="FFCFCDCD"/>
      <rgbColor rgb="FF87ACBF"/>
      <rgbColor rgb="FF8B8B8B"/>
      <rgbColor rgb="FFDECEE8"/>
      <rgbColor rgb="FF3A5C6E"/>
      <rgbColor rgb="FF0000FF"/>
      <rgbColor rgb="FF00B0F0"/>
      <rgbColor rgb="FFCEDEE2"/>
      <rgbColor rgb="FFC6EFCE"/>
      <rgbColor rgb="FFFFEB9C"/>
      <rgbColor rgb="FFA5C1CF"/>
      <rgbColor rgb="FFFF99FF"/>
      <rgbColor rgb="FFCEB5DD"/>
      <rgbColor rgb="FFD9D9D9"/>
      <rgbColor rgb="FF8784C7"/>
      <rgbColor rgb="FF6997AF"/>
      <rgbColor rgb="FF92D050"/>
      <rgbColor rgb="FFFFC000"/>
      <rgbColor rgb="FFA6A6A6"/>
      <rgbColor rgb="FFFA7D00"/>
      <rgbColor rgb="FF5D739A"/>
      <rgbColor rgb="FF969696"/>
      <rgbColor rgb="FF434D4F"/>
      <rgbColor rgb="FF588894"/>
      <rgbColor rgb="FF9DABC4"/>
      <rgbColor rgb="FF1A1A1A"/>
      <rgbColor rgb="FF9C5700"/>
      <rgbColor rgb="FF736773"/>
      <rgbColor rgb="FF413E88"/>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600" b="1" u="none" strike="noStrike" spc="119">
                <a:solidFill>
                  <a:srgbClr val="000000"/>
                </a:solidFill>
                <a:uFillTx/>
                <a:latin typeface="Calibri"/>
              </a:rPr>
              <a:t>Ship's KT-J Diagram</a:t>
            </a:r>
          </a:p>
        </c:rich>
      </c:tx>
      <c:overlay val="0"/>
      <c:spPr>
        <a:noFill/>
        <a:ln w="0">
          <a:noFill/>
        </a:ln>
      </c:spPr>
    </c:title>
    <c:autoTitleDeleted val="0"/>
    <c:plotArea>
      <c:layout/>
      <c:scatterChart>
        <c:scatterStyle val="lineMarker"/>
        <c:varyColors val="0"/>
        <c:ser>
          <c:idx val="0"/>
          <c:order val="0"/>
          <c:tx>
            <c:strRef>
              <c:f>EPM!$E$55</c:f>
              <c:strCache>
                <c:ptCount val="1"/>
                <c:pt idx="0">
                  <c:v>KTtrial</c:v>
                </c:pt>
              </c:strCache>
            </c:strRef>
          </c:tx>
          <c:spPr>
            <a:ln w="22320" cap="rnd">
              <a:solidFill>
                <a:schemeClr val="accent4"/>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EPM!$C$56:$C$66</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EPM!$E$56:$E$66</c:f>
              <c:numCache>
                <c:formatCode>0.000000</c:formatCode>
                <c:ptCount val="11"/>
                <c:pt idx="0">
                  <c:v>0</c:v>
                </c:pt>
                <c:pt idx="1">
                  <c:v>0</c:v>
                </c:pt>
                <c:pt idx="2">
                  <c:v>0</c:v>
                </c:pt>
                <c:pt idx="3">
                  <c:v>0</c:v>
                </c:pt>
                <c:pt idx="4">
                  <c:v>0</c:v>
                </c:pt>
                <c:pt idx="5">
                  <c:v>0</c:v>
                </c:pt>
                <c:pt idx="6" formatCode="0.00000">
                  <c:v>0</c:v>
                </c:pt>
                <c:pt idx="7" formatCode="0.00000">
                  <c:v>0</c:v>
                </c:pt>
                <c:pt idx="8" formatCode="0.00000">
                  <c:v>0</c:v>
                </c:pt>
                <c:pt idx="9" formatCode="0.00000">
                  <c:v>0</c:v>
                </c:pt>
                <c:pt idx="10" formatCode="0.00000">
                  <c:v>0</c:v>
                </c:pt>
              </c:numCache>
            </c:numRef>
          </c:yVal>
          <c:smooth val="1"/>
          <c:extLst>
            <c:ext xmlns:c16="http://schemas.microsoft.com/office/drawing/2014/chart" uri="{C3380CC4-5D6E-409C-BE32-E72D297353CC}">
              <c16:uniqueId val="{00000000-B09E-4DF5-AC04-DE8CD8405508}"/>
            </c:ext>
          </c:extLst>
        </c:ser>
        <c:ser>
          <c:idx val="1"/>
          <c:order val="1"/>
          <c:tx>
            <c:strRef>
              <c:f>EPM!$F$55</c:f>
              <c:strCache>
                <c:ptCount val="1"/>
                <c:pt idx="0">
                  <c:v>KTservice</c:v>
                </c:pt>
              </c:strCache>
            </c:strRef>
          </c:tx>
          <c:spPr>
            <a:ln w="22320" cap="rnd">
              <a:solidFill>
                <a:schemeClr val="accent2"/>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EPM!$C$56:$C$66</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EPM!$F$56:$F$66</c:f>
              <c:numCache>
                <c:formatCode>0.00000</c:formatCode>
                <c:ptCount val="11"/>
                <c:pt idx="0">
                  <c:v>0</c:v>
                </c:pt>
                <c:pt idx="1">
                  <c:v>0</c:v>
                </c:pt>
                <c:pt idx="2">
                  <c:v>0</c:v>
                </c:pt>
                <c:pt idx="3">
                  <c:v>0</c:v>
                </c:pt>
                <c:pt idx="4">
                  <c:v>0</c:v>
                </c:pt>
                <c:pt idx="5">
                  <c:v>0</c:v>
                </c:pt>
                <c:pt idx="6">
                  <c:v>0</c:v>
                </c:pt>
                <c:pt idx="7">
                  <c:v>0</c:v>
                </c:pt>
                <c:pt idx="8">
                  <c:v>0</c:v>
                </c:pt>
                <c:pt idx="9">
                  <c:v>0</c:v>
                </c:pt>
                <c:pt idx="10">
                  <c:v>0</c:v>
                </c:pt>
              </c:numCache>
            </c:numRef>
          </c:yVal>
          <c:smooth val="1"/>
          <c:extLst>
            <c:ext xmlns:c16="http://schemas.microsoft.com/office/drawing/2014/chart" uri="{C3380CC4-5D6E-409C-BE32-E72D297353CC}">
              <c16:uniqueId val="{00000001-B09E-4DF5-AC04-DE8CD8405508}"/>
            </c:ext>
          </c:extLst>
        </c:ser>
        <c:dLbls>
          <c:showLegendKey val="0"/>
          <c:showVal val="0"/>
          <c:showCatName val="0"/>
          <c:showSerName val="0"/>
          <c:showPercent val="0"/>
          <c:showBubbleSize val="0"/>
        </c:dLbls>
        <c:axId val="24609949"/>
        <c:axId val="96606723"/>
      </c:scatterChart>
      <c:valAx>
        <c:axId val="24609949"/>
        <c:scaling>
          <c:orientation val="minMax"/>
        </c:scaling>
        <c:delete val="0"/>
        <c:axPos val="b"/>
        <c:majorGridlines>
          <c:spPr>
            <a:ln w="9360">
              <a:solidFill>
                <a:schemeClr val="dk1">
                  <a:lumMod val="15000"/>
                  <a:lumOff val="85000"/>
                </a:schemeClr>
              </a:solidFill>
              <a:round/>
            </a:ln>
          </c:spPr>
        </c:majorGridlines>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rgbClr val="000000"/>
                </a:solidFill>
                <a:uFillTx/>
                <a:latin typeface="Calibri"/>
              </a:defRPr>
            </a:pPr>
            <a:endParaRPr lang="en-US"/>
          </a:p>
        </c:txPr>
        <c:crossAx val="96606723"/>
        <c:crosses val="autoZero"/>
        <c:crossBetween val="midCat"/>
      </c:valAx>
      <c:valAx>
        <c:axId val="96606723"/>
        <c:scaling>
          <c:orientation val="minMax"/>
        </c:scaling>
        <c:delete val="0"/>
        <c:axPos val="l"/>
        <c:majorGridlines>
          <c:spPr>
            <a:ln w="9360">
              <a:solidFill>
                <a:schemeClr val="dk1">
                  <a:lumMod val="15000"/>
                  <a:lumOff val="85000"/>
                </a:schemeClr>
              </a:solidFill>
              <a:round/>
            </a:ln>
          </c:spPr>
        </c:majorGridlines>
        <c:numFmt formatCode="0.000000"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rgbClr val="000000"/>
                </a:solidFill>
                <a:uFillTx/>
                <a:latin typeface="Calibri"/>
              </a:defRPr>
            </a:pPr>
            <a:endParaRPr lang="en-US"/>
          </a:p>
        </c:txPr>
        <c:crossAx val="24609949"/>
        <c:crosses val="autoZero"/>
        <c:crossBetween val="midCat"/>
      </c:valAx>
      <c:spPr>
        <a:noFill/>
        <a:ln w="0">
          <a:noFill/>
        </a:ln>
      </c:spPr>
    </c:plotArea>
    <c:legend>
      <c:legendPos val="t"/>
      <c:overlay val="0"/>
      <c:spPr>
        <a:noFill/>
        <a:ln w="0">
          <a:noFill/>
        </a:ln>
      </c:spPr>
      <c:txPr>
        <a:bodyPr/>
        <a:lstStyle/>
        <a:p>
          <a:pPr>
            <a:defRPr sz="9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600" b="1" u="none" strike="noStrike" spc="119">
                <a:solidFill>
                  <a:srgbClr val="000000"/>
                </a:solidFill>
                <a:uFillTx/>
                <a:latin typeface="Calibri"/>
              </a:rPr>
              <a:t>Open Water Test Curve B3-35</a:t>
            </a:r>
          </a:p>
        </c:rich>
      </c:tx>
      <c:overlay val="0"/>
      <c:spPr>
        <a:noFill/>
        <a:ln w="0">
          <a:noFill/>
        </a:ln>
      </c:spPr>
    </c:title>
    <c:autoTitleDeleted val="0"/>
    <c:plotArea>
      <c:layout>
        <c:manualLayout>
          <c:layoutTarget val="inner"/>
          <c:xMode val="edge"/>
          <c:yMode val="edge"/>
          <c:x val="0.104601701469451"/>
          <c:y val="0.186708860759494"/>
          <c:w val="0.86446249033255995"/>
          <c:h val="0.67133815551537102"/>
        </c:manualLayout>
      </c:layout>
      <c:scatterChart>
        <c:scatterStyle val="lineMarker"/>
        <c:varyColors val="0"/>
        <c:ser>
          <c:idx val="0"/>
          <c:order val="0"/>
          <c:tx>
            <c:v>KT propeller</c:v>
          </c:tx>
          <c:spPr>
            <a:ln w="22320" cap="rnd">
              <a:solidFill>
                <a:schemeClr val="accent2"/>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EPM!$D$92:$D$99</c:f>
              <c:numCache>
                <c:formatCode>General</c:formatCode>
                <c:ptCount val="8"/>
                <c:pt idx="0">
                  <c:v>0</c:v>
                </c:pt>
                <c:pt idx="1">
                  <c:v>0.1</c:v>
                </c:pt>
                <c:pt idx="2">
                  <c:v>0.2</c:v>
                </c:pt>
                <c:pt idx="3">
                  <c:v>0.3</c:v>
                </c:pt>
                <c:pt idx="4">
                  <c:v>0.4</c:v>
                </c:pt>
                <c:pt idx="5">
                  <c:v>0.5</c:v>
                </c:pt>
                <c:pt idx="6">
                  <c:v>0.6</c:v>
                </c:pt>
                <c:pt idx="7">
                  <c:v>0.7</c:v>
                </c:pt>
              </c:numCache>
            </c:numRef>
          </c:xVal>
          <c:yVal>
            <c:numRef>
              <c:f>EPM!$E$92:$E$99</c:f>
              <c:numCache>
                <c:formatCode>0.000</c:formatCode>
                <c:ptCount val="8"/>
                <c:pt idx="0">
                  <c:v>0.2472</c:v>
                </c:pt>
                <c:pt idx="1">
                  <c:v>0.22420999999999999</c:v>
                </c:pt>
                <c:pt idx="2">
                  <c:v>0.19784199999999999</c:v>
                </c:pt>
                <c:pt idx="3">
                  <c:v>0.1683974</c:v>
                </c:pt>
                <c:pt idx="4">
                  <c:v>0.13767099999999999</c:v>
                </c:pt>
                <c:pt idx="5">
                  <c:v>0.10226499999999999</c:v>
                </c:pt>
                <c:pt idx="6">
                  <c:v>6.5662393200000002E-2</c:v>
                </c:pt>
                <c:pt idx="7">
                  <c:v>2.6623931600000001E-2</c:v>
                </c:pt>
              </c:numCache>
            </c:numRef>
          </c:yVal>
          <c:smooth val="1"/>
          <c:extLst>
            <c:ext xmlns:c16="http://schemas.microsoft.com/office/drawing/2014/chart" uri="{C3380CC4-5D6E-409C-BE32-E72D297353CC}">
              <c16:uniqueId val="{00000000-0878-4666-AD18-3D22CE040D04}"/>
            </c:ext>
          </c:extLst>
        </c:ser>
        <c:ser>
          <c:idx val="1"/>
          <c:order val="1"/>
          <c:tx>
            <c:v>η propeller</c:v>
          </c:tx>
          <c:spPr>
            <a:ln w="22320" cap="rnd">
              <a:solidFill>
                <a:schemeClr val="accent6"/>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EPM!$D$92:$D$99</c:f>
              <c:numCache>
                <c:formatCode>General</c:formatCode>
                <c:ptCount val="8"/>
                <c:pt idx="0">
                  <c:v>0</c:v>
                </c:pt>
                <c:pt idx="1">
                  <c:v>0.1</c:v>
                </c:pt>
                <c:pt idx="2">
                  <c:v>0.2</c:v>
                </c:pt>
                <c:pt idx="3">
                  <c:v>0.3</c:v>
                </c:pt>
                <c:pt idx="4">
                  <c:v>0.4</c:v>
                </c:pt>
                <c:pt idx="5">
                  <c:v>0.5</c:v>
                </c:pt>
                <c:pt idx="6">
                  <c:v>0.6</c:v>
                </c:pt>
                <c:pt idx="7">
                  <c:v>0.7</c:v>
                </c:pt>
              </c:numCache>
            </c:numRef>
          </c:xVal>
          <c:yVal>
            <c:numRef>
              <c:f>EPM!$G$92:$G$99</c:f>
              <c:numCache>
                <c:formatCode>0.000</c:formatCode>
                <c:ptCount val="8"/>
                <c:pt idx="0" formatCode="0">
                  <c:v>0</c:v>
                </c:pt>
                <c:pt idx="1">
                  <c:v>0.15937999999999999</c:v>
                </c:pt>
                <c:pt idx="2">
                  <c:v>0.3084829</c:v>
                </c:pt>
                <c:pt idx="3">
                  <c:v>0.44651709000000001</c:v>
                </c:pt>
                <c:pt idx="4">
                  <c:v>0.56215809999999999</c:v>
                </c:pt>
                <c:pt idx="5">
                  <c:v>0.63123899999999999</c:v>
                </c:pt>
                <c:pt idx="6">
                  <c:v>0.63367519999999999</c:v>
                </c:pt>
                <c:pt idx="7">
                  <c:v>0.47273500000000002</c:v>
                </c:pt>
              </c:numCache>
            </c:numRef>
          </c:yVal>
          <c:smooth val="1"/>
          <c:extLst>
            <c:ext xmlns:c16="http://schemas.microsoft.com/office/drawing/2014/chart" uri="{C3380CC4-5D6E-409C-BE32-E72D297353CC}">
              <c16:uniqueId val="{00000001-0878-4666-AD18-3D22CE040D04}"/>
            </c:ext>
          </c:extLst>
        </c:ser>
        <c:ser>
          <c:idx val="2"/>
          <c:order val="2"/>
          <c:tx>
            <c:v>10KQ propeller</c:v>
          </c:tx>
          <c:spPr>
            <a:ln w="22320" cap="rnd">
              <a:solidFill>
                <a:schemeClr val="accent4"/>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EPM!$D$92:$D$99</c:f>
              <c:numCache>
                <c:formatCode>General</c:formatCode>
                <c:ptCount val="8"/>
                <c:pt idx="0">
                  <c:v>0</c:v>
                </c:pt>
                <c:pt idx="1">
                  <c:v>0.1</c:v>
                </c:pt>
                <c:pt idx="2">
                  <c:v>0.2</c:v>
                </c:pt>
                <c:pt idx="3">
                  <c:v>0.3</c:v>
                </c:pt>
                <c:pt idx="4">
                  <c:v>0.4</c:v>
                </c:pt>
                <c:pt idx="5">
                  <c:v>0.5</c:v>
                </c:pt>
                <c:pt idx="6">
                  <c:v>0.6</c:v>
                </c:pt>
                <c:pt idx="7">
                  <c:v>0.7</c:v>
                </c:pt>
              </c:numCache>
            </c:numRef>
          </c:xVal>
          <c:yVal>
            <c:numRef>
              <c:f>EPM!$F$92:$F$99</c:f>
              <c:numCache>
                <c:formatCode>0.000</c:formatCode>
                <c:ptCount val="8"/>
                <c:pt idx="0">
                  <c:v>0.24337600000000001</c:v>
                </c:pt>
                <c:pt idx="1">
                  <c:v>0.22628200000000001</c:v>
                </c:pt>
                <c:pt idx="2">
                  <c:v>0.20465800000000001</c:v>
                </c:pt>
                <c:pt idx="3">
                  <c:v>0.18247863</c:v>
                </c:pt>
                <c:pt idx="4">
                  <c:v>0.1574358974</c:v>
                </c:pt>
                <c:pt idx="5">
                  <c:v>0.13111110000000001</c:v>
                </c:pt>
                <c:pt idx="6">
                  <c:v>0.10081196000000001</c:v>
                </c:pt>
                <c:pt idx="7">
                  <c:v>6.7349999999999993E-2</c:v>
                </c:pt>
              </c:numCache>
            </c:numRef>
          </c:yVal>
          <c:smooth val="1"/>
          <c:extLst>
            <c:ext xmlns:c16="http://schemas.microsoft.com/office/drawing/2014/chart" uri="{C3380CC4-5D6E-409C-BE32-E72D297353CC}">
              <c16:uniqueId val="{00000002-0878-4666-AD18-3D22CE040D04}"/>
            </c:ext>
          </c:extLst>
        </c:ser>
        <c:dLbls>
          <c:showLegendKey val="0"/>
          <c:showVal val="0"/>
          <c:showCatName val="0"/>
          <c:showSerName val="0"/>
          <c:showPercent val="0"/>
          <c:showBubbleSize val="0"/>
        </c:dLbls>
        <c:axId val="39631426"/>
        <c:axId val="13533886"/>
      </c:scatterChart>
      <c:valAx>
        <c:axId val="39631426"/>
        <c:scaling>
          <c:orientation val="minMax"/>
        </c:scaling>
        <c:delete val="0"/>
        <c:axPos val="b"/>
        <c:majorGridlines>
          <c:spPr>
            <a:ln w="9360">
              <a:solidFill>
                <a:schemeClr val="dk1">
                  <a:lumMod val="15000"/>
                  <a:lumOff val="85000"/>
                </a:schemeClr>
              </a:solidFill>
              <a:round/>
            </a:ln>
          </c:spPr>
        </c:majorGridlines>
        <c:title>
          <c:tx>
            <c:rich>
              <a:bodyPr rot="0"/>
              <a:lstStyle/>
              <a:p>
                <a:pPr>
                  <a:defRPr sz="1300" b="0" u="none" strike="noStrike">
                    <a:uFillTx/>
                    <a:latin typeface="Arial"/>
                  </a:defRPr>
                </a:pPr>
                <a:r>
                  <a:rPr lang="en-US" sz="900" b="0" u="none" strike="noStrike">
                    <a:solidFill>
                      <a:srgbClr val="000000"/>
                    </a:solidFill>
                    <a:uFillTx/>
                    <a:latin typeface="Calibri"/>
                  </a:rPr>
                  <a:t>J</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rgbClr val="000000"/>
                </a:solidFill>
                <a:uFillTx/>
                <a:latin typeface="Calibri"/>
              </a:defRPr>
            </a:pPr>
            <a:endParaRPr lang="en-US"/>
          </a:p>
        </c:txPr>
        <c:crossAx val="13533886"/>
        <c:crosses val="autoZero"/>
        <c:crossBetween val="midCat"/>
        <c:majorUnit val="0.1"/>
      </c:valAx>
      <c:valAx>
        <c:axId val="13533886"/>
        <c:scaling>
          <c:orientation val="minMax"/>
          <c:max val="0.8"/>
        </c:scaling>
        <c:delete val="0"/>
        <c:axPos val="l"/>
        <c:majorGridlines>
          <c:spPr>
            <a:ln w="9360">
              <a:solidFill>
                <a:schemeClr val="dk1">
                  <a:lumMod val="15000"/>
                  <a:lumOff val="85000"/>
                </a:schemeClr>
              </a:solidFill>
              <a:round/>
            </a:ln>
          </c:spPr>
        </c:majorGridlines>
        <c:title>
          <c:tx>
            <c:rich>
              <a:bodyPr rot="-5400000"/>
              <a:lstStyle/>
              <a:p>
                <a:pPr>
                  <a:defRPr sz="1300" b="0" u="none" strike="noStrike">
                    <a:uFillTx/>
                    <a:latin typeface="Arial"/>
                  </a:defRPr>
                </a:pPr>
                <a:r>
                  <a:rPr lang="en-US" sz="900" b="0" u="none" strike="noStrike">
                    <a:solidFill>
                      <a:srgbClr val="000000"/>
                    </a:solidFill>
                    <a:uFillTx/>
                    <a:latin typeface="Calibri"/>
                  </a:rPr>
                  <a:t>KQ-KT-</a:t>
                </a:r>
                <a:r>
                  <a:rPr lang="el-GR" sz="900" b="0" u="none" strike="noStrike">
                    <a:solidFill>
                      <a:srgbClr val="000000"/>
                    </a:solidFill>
                    <a:uFillTx/>
                    <a:latin typeface="Calibri"/>
                  </a:rPr>
                  <a:t>η</a:t>
                </a:r>
              </a:p>
            </c:rich>
          </c:tx>
          <c:overlay val="0"/>
          <c:spPr>
            <a:noFill/>
            <a:ln w="0">
              <a:noFill/>
            </a:ln>
          </c:spPr>
        </c:title>
        <c:numFmt formatCode="0.000"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rgbClr val="000000"/>
                </a:solidFill>
                <a:uFillTx/>
                <a:latin typeface="Calibri"/>
              </a:defRPr>
            </a:pPr>
            <a:endParaRPr lang="en-US"/>
          </a:p>
        </c:txPr>
        <c:crossAx val="39631426"/>
        <c:crosses val="autoZero"/>
        <c:crossBetween val="midCat"/>
      </c:valAx>
      <c:spPr>
        <a:noFill/>
        <a:ln w="0">
          <a:noFill/>
        </a:ln>
      </c:spPr>
    </c:plotArea>
    <c:legend>
      <c:legendPos val="t"/>
      <c:overlay val="0"/>
      <c:spPr>
        <a:noFill/>
        <a:ln w="0">
          <a:noFill/>
        </a:ln>
      </c:spPr>
      <c:txPr>
        <a:bodyPr/>
        <a:lstStyle/>
        <a:p>
          <a:pPr>
            <a:defRPr sz="9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ID" sz="1600" b="1" u="none" strike="noStrike" spc="119">
                <a:solidFill>
                  <a:srgbClr val="000000"/>
                </a:solidFill>
                <a:uFillTx/>
                <a:latin typeface="Calibri"/>
              </a:rPr>
              <a:t>TITIK OPERASI pROPELLER cLEAN hULL</a:t>
            </a:r>
          </a:p>
        </c:rich>
      </c:tx>
      <c:overlay val="0"/>
      <c:spPr>
        <a:noFill/>
        <a:ln w="0">
          <a:noFill/>
        </a:ln>
      </c:spPr>
    </c:title>
    <c:autoTitleDeleted val="0"/>
    <c:plotArea>
      <c:layout/>
      <c:scatterChart>
        <c:scatterStyle val="lineMarker"/>
        <c:varyColors val="0"/>
        <c:ser>
          <c:idx val="0"/>
          <c:order val="0"/>
          <c:tx>
            <c:v>KT propeller</c:v>
          </c:tx>
          <c:spPr>
            <a:ln w="22320" cap="rnd">
              <a:solidFill>
                <a:schemeClr val="accent2"/>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EPM!$D$92:$D$99</c:f>
              <c:numCache>
                <c:formatCode>General</c:formatCode>
                <c:ptCount val="8"/>
                <c:pt idx="0">
                  <c:v>0</c:v>
                </c:pt>
                <c:pt idx="1">
                  <c:v>0.1</c:v>
                </c:pt>
                <c:pt idx="2">
                  <c:v>0.2</c:v>
                </c:pt>
                <c:pt idx="3">
                  <c:v>0.3</c:v>
                </c:pt>
                <c:pt idx="4">
                  <c:v>0.4</c:v>
                </c:pt>
                <c:pt idx="5">
                  <c:v>0.5</c:v>
                </c:pt>
                <c:pt idx="6">
                  <c:v>0.6</c:v>
                </c:pt>
                <c:pt idx="7">
                  <c:v>0.7</c:v>
                </c:pt>
              </c:numCache>
            </c:numRef>
          </c:xVal>
          <c:yVal>
            <c:numRef>
              <c:f>EPM!$E$92:$E$99</c:f>
              <c:numCache>
                <c:formatCode>0.000</c:formatCode>
                <c:ptCount val="8"/>
                <c:pt idx="0">
                  <c:v>0.2472</c:v>
                </c:pt>
                <c:pt idx="1">
                  <c:v>0.22420999999999999</c:v>
                </c:pt>
                <c:pt idx="2">
                  <c:v>0.19784199999999999</c:v>
                </c:pt>
                <c:pt idx="3">
                  <c:v>0.1683974</c:v>
                </c:pt>
                <c:pt idx="4">
                  <c:v>0.13767099999999999</c:v>
                </c:pt>
                <c:pt idx="5">
                  <c:v>0.10226499999999999</c:v>
                </c:pt>
                <c:pt idx="6">
                  <c:v>6.5662393200000002E-2</c:v>
                </c:pt>
                <c:pt idx="7">
                  <c:v>2.6623931600000001E-2</c:v>
                </c:pt>
              </c:numCache>
            </c:numRef>
          </c:yVal>
          <c:smooth val="1"/>
          <c:extLst>
            <c:ext xmlns:c16="http://schemas.microsoft.com/office/drawing/2014/chart" uri="{C3380CC4-5D6E-409C-BE32-E72D297353CC}">
              <c16:uniqueId val="{00000000-0677-4526-A770-D4EDA211B566}"/>
            </c:ext>
          </c:extLst>
        </c:ser>
        <c:ser>
          <c:idx val="1"/>
          <c:order val="1"/>
          <c:tx>
            <c:v>η propeller</c:v>
          </c:tx>
          <c:spPr>
            <a:ln w="22320" cap="rnd">
              <a:solidFill>
                <a:schemeClr val="accent6"/>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EPM!$D$92:$D$99</c:f>
              <c:numCache>
                <c:formatCode>General</c:formatCode>
                <c:ptCount val="8"/>
                <c:pt idx="0">
                  <c:v>0</c:v>
                </c:pt>
                <c:pt idx="1">
                  <c:v>0.1</c:v>
                </c:pt>
                <c:pt idx="2">
                  <c:v>0.2</c:v>
                </c:pt>
                <c:pt idx="3">
                  <c:v>0.3</c:v>
                </c:pt>
                <c:pt idx="4">
                  <c:v>0.4</c:v>
                </c:pt>
                <c:pt idx="5">
                  <c:v>0.5</c:v>
                </c:pt>
                <c:pt idx="6">
                  <c:v>0.6</c:v>
                </c:pt>
                <c:pt idx="7">
                  <c:v>0.7</c:v>
                </c:pt>
              </c:numCache>
            </c:numRef>
          </c:xVal>
          <c:yVal>
            <c:numRef>
              <c:f>EPM!$G$92:$G$99</c:f>
              <c:numCache>
                <c:formatCode>0.000</c:formatCode>
                <c:ptCount val="8"/>
                <c:pt idx="0" formatCode="0">
                  <c:v>0</c:v>
                </c:pt>
                <c:pt idx="1">
                  <c:v>0.15937999999999999</c:v>
                </c:pt>
                <c:pt idx="2">
                  <c:v>0.3084829</c:v>
                </c:pt>
                <c:pt idx="3">
                  <c:v>0.44651709000000001</c:v>
                </c:pt>
                <c:pt idx="4">
                  <c:v>0.56215809999999999</c:v>
                </c:pt>
                <c:pt idx="5">
                  <c:v>0.63123899999999999</c:v>
                </c:pt>
                <c:pt idx="6">
                  <c:v>0.63367519999999999</c:v>
                </c:pt>
                <c:pt idx="7">
                  <c:v>0.47273500000000002</c:v>
                </c:pt>
              </c:numCache>
            </c:numRef>
          </c:yVal>
          <c:smooth val="1"/>
          <c:extLst>
            <c:ext xmlns:c16="http://schemas.microsoft.com/office/drawing/2014/chart" uri="{C3380CC4-5D6E-409C-BE32-E72D297353CC}">
              <c16:uniqueId val="{00000001-0677-4526-A770-D4EDA211B566}"/>
            </c:ext>
          </c:extLst>
        </c:ser>
        <c:ser>
          <c:idx val="2"/>
          <c:order val="2"/>
          <c:tx>
            <c:v>10KQ propeller</c:v>
          </c:tx>
          <c:spPr>
            <a:ln w="22320" cap="rnd">
              <a:solidFill>
                <a:schemeClr val="accent4"/>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EPM!$D$92:$D$99</c:f>
              <c:numCache>
                <c:formatCode>General</c:formatCode>
                <c:ptCount val="8"/>
                <c:pt idx="0">
                  <c:v>0</c:v>
                </c:pt>
                <c:pt idx="1">
                  <c:v>0.1</c:v>
                </c:pt>
                <c:pt idx="2">
                  <c:v>0.2</c:v>
                </c:pt>
                <c:pt idx="3">
                  <c:v>0.3</c:v>
                </c:pt>
                <c:pt idx="4">
                  <c:v>0.4</c:v>
                </c:pt>
                <c:pt idx="5">
                  <c:v>0.5</c:v>
                </c:pt>
                <c:pt idx="6">
                  <c:v>0.6</c:v>
                </c:pt>
                <c:pt idx="7">
                  <c:v>0.7</c:v>
                </c:pt>
              </c:numCache>
            </c:numRef>
          </c:xVal>
          <c:yVal>
            <c:numRef>
              <c:f>EPM!$F$92:$F$99</c:f>
              <c:numCache>
                <c:formatCode>0.000</c:formatCode>
                <c:ptCount val="8"/>
                <c:pt idx="0">
                  <c:v>0.24337600000000001</c:v>
                </c:pt>
                <c:pt idx="1">
                  <c:v>0.22628200000000001</c:v>
                </c:pt>
                <c:pt idx="2">
                  <c:v>0.20465800000000001</c:v>
                </c:pt>
                <c:pt idx="3">
                  <c:v>0.18247863</c:v>
                </c:pt>
                <c:pt idx="4">
                  <c:v>0.1574358974</c:v>
                </c:pt>
                <c:pt idx="5">
                  <c:v>0.13111110000000001</c:v>
                </c:pt>
                <c:pt idx="6">
                  <c:v>0.10081196000000001</c:v>
                </c:pt>
                <c:pt idx="7">
                  <c:v>6.7349999999999993E-2</c:v>
                </c:pt>
              </c:numCache>
            </c:numRef>
          </c:yVal>
          <c:smooth val="1"/>
          <c:extLst>
            <c:ext xmlns:c16="http://schemas.microsoft.com/office/drawing/2014/chart" uri="{C3380CC4-5D6E-409C-BE32-E72D297353CC}">
              <c16:uniqueId val="{00000002-0677-4526-A770-D4EDA211B566}"/>
            </c:ext>
          </c:extLst>
        </c:ser>
        <c:ser>
          <c:idx val="3"/>
          <c:order val="3"/>
          <c:tx>
            <c:strRef>
              <c:f>EPM!$E$55</c:f>
              <c:strCache>
                <c:ptCount val="1"/>
                <c:pt idx="0">
                  <c:v>KTtrial</c:v>
                </c:pt>
              </c:strCache>
            </c:strRef>
          </c:tx>
          <c:spPr>
            <a:ln w="22320" cap="rnd">
              <a:solidFill>
                <a:schemeClr val="accent2">
                  <a:lumMod val="60000"/>
                </a:schemeClr>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EPM!$C$56:$C$63</c:f>
              <c:numCache>
                <c:formatCode>General</c:formatCode>
                <c:ptCount val="8"/>
                <c:pt idx="0">
                  <c:v>0</c:v>
                </c:pt>
                <c:pt idx="1">
                  <c:v>0.1</c:v>
                </c:pt>
                <c:pt idx="2">
                  <c:v>0.2</c:v>
                </c:pt>
                <c:pt idx="3">
                  <c:v>0.3</c:v>
                </c:pt>
                <c:pt idx="4">
                  <c:v>0.4</c:v>
                </c:pt>
                <c:pt idx="5">
                  <c:v>0.5</c:v>
                </c:pt>
                <c:pt idx="6">
                  <c:v>0.6</c:v>
                </c:pt>
                <c:pt idx="7">
                  <c:v>0.7</c:v>
                </c:pt>
              </c:numCache>
            </c:numRef>
          </c:xVal>
          <c:yVal>
            <c:numRef>
              <c:f>EPM!$E$56:$E$63</c:f>
              <c:numCache>
                <c:formatCode>0.000000</c:formatCode>
                <c:ptCount val="8"/>
                <c:pt idx="0">
                  <c:v>0</c:v>
                </c:pt>
                <c:pt idx="1">
                  <c:v>0</c:v>
                </c:pt>
                <c:pt idx="2">
                  <c:v>0</c:v>
                </c:pt>
                <c:pt idx="3">
                  <c:v>0</c:v>
                </c:pt>
                <c:pt idx="4">
                  <c:v>0</c:v>
                </c:pt>
                <c:pt idx="5">
                  <c:v>0</c:v>
                </c:pt>
                <c:pt idx="6" formatCode="0.00000">
                  <c:v>0</c:v>
                </c:pt>
                <c:pt idx="7" formatCode="0.00000">
                  <c:v>0</c:v>
                </c:pt>
              </c:numCache>
            </c:numRef>
          </c:yVal>
          <c:smooth val="1"/>
          <c:extLst>
            <c:ext xmlns:c16="http://schemas.microsoft.com/office/drawing/2014/chart" uri="{C3380CC4-5D6E-409C-BE32-E72D297353CC}">
              <c16:uniqueId val="{00000003-0677-4526-A770-D4EDA211B566}"/>
            </c:ext>
          </c:extLst>
        </c:ser>
        <c:ser>
          <c:idx val="4"/>
          <c:order val="4"/>
          <c:tx>
            <c:v>Nilai eff</c:v>
          </c:tx>
          <c:spPr>
            <a:ln w="22320" cap="rnd">
              <a:solidFill>
                <a:schemeClr val="accent4">
                  <a:lumMod val="60000"/>
                </a:schemeClr>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EPM!$C$137:$C$144</c:f>
              <c:numCache>
                <c:formatCode>General</c:formatCode>
                <c:ptCount val="8"/>
                <c:pt idx="0">
                  <c:v>0</c:v>
                </c:pt>
                <c:pt idx="1">
                  <c:v>0.1</c:v>
                </c:pt>
                <c:pt idx="2">
                  <c:v>0.2</c:v>
                </c:pt>
                <c:pt idx="3">
                  <c:v>0.30000000000000004</c:v>
                </c:pt>
                <c:pt idx="4">
                  <c:v>0.4</c:v>
                </c:pt>
                <c:pt idx="5">
                  <c:v>0.5</c:v>
                </c:pt>
                <c:pt idx="6">
                  <c:v>0.6</c:v>
                </c:pt>
                <c:pt idx="7">
                  <c:v>0.7</c:v>
                </c:pt>
              </c:numCache>
            </c:numRef>
          </c:xVal>
          <c:yVal>
            <c:numRef>
              <c:f>EPM!$G$137:$G$144</c:f>
              <c:numCache>
                <c:formatCode>General</c:formatCode>
                <c:ptCount val="8"/>
                <c:pt idx="0">
                  <c:v>0.56000000000000005</c:v>
                </c:pt>
                <c:pt idx="1">
                  <c:v>0.56000000000000005</c:v>
                </c:pt>
                <c:pt idx="2">
                  <c:v>0.56000000000000005</c:v>
                </c:pt>
                <c:pt idx="3">
                  <c:v>0.56000000000000005</c:v>
                </c:pt>
                <c:pt idx="4">
                  <c:v>0.56000000000000005</c:v>
                </c:pt>
                <c:pt idx="5">
                  <c:v>0.56000000000000005</c:v>
                </c:pt>
                <c:pt idx="6">
                  <c:v>0.56000000000000005</c:v>
                </c:pt>
                <c:pt idx="7">
                  <c:v>0.56000000000000005</c:v>
                </c:pt>
              </c:numCache>
            </c:numRef>
          </c:yVal>
          <c:smooth val="1"/>
          <c:extLst>
            <c:ext xmlns:c16="http://schemas.microsoft.com/office/drawing/2014/chart" uri="{C3380CC4-5D6E-409C-BE32-E72D297353CC}">
              <c16:uniqueId val="{00000004-0677-4526-A770-D4EDA211B566}"/>
            </c:ext>
          </c:extLst>
        </c:ser>
        <c:ser>
          <c:idx val="5"/>
          <c:order val="5"/>
          <c:tx>
            <c:v>Perpotongan KTship &amp; KTprop</c:v>
          </c:tx>
          <c:spPr>
            <a:ln w="22320" cap="rnd">
              <a:solidFill>
                <a:schemeClr val="accent2">
                  <a:lumMod val="80000"/>
                  <a:lumOff val="20000"/>
                </a:schemeClr>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EPM!$D$137:$D$144</c:f>
              <c:numCache>
                <c:formatCode>0.0000</c:formatCode>
                <c:ptCount val="8"/>
                <c:pt idx="0">
                  <c:v>0.39800000000000002</c:v>
                </c:pt>
                <c:pt idx="1">
                  <c:v>0.39800000000000002</c:v>
                </c:pt>
                <c:pt idx="2">
                  <c:v>0.39800000000000002</c:v>
                </c:pt>
                <c:pt idx="3">
                  <c:v>0.39800000000000002</c:v>
                </c:pt>
                <c:pt idx="4">
                  <c:v>0.39800000000000002</c:v>
                </c:pt>
                <c:pt idx="5">
                  <c:v>0.39800000000000002</c:v>
                </c:pt>
                <c:pt idx="6">
                  <c:v>0.39800000000000002</c:v>
                </c:pt>
                <c:pt idx="7">
                  <c:v>0.39800000000000002</c:v>
                </c:pt>
              </c:numCache>
            </c:numRef>
          </c:xVal>
          <c:yVal>
            <c:numRef>
              <c:f>EPM!$C$137:$C$144</c:f>
              <c:numCache>
                <c:formatCode>General</c:formatCode>
                <c:ptCount val="8"/>
                <c:pt idx="0">
                  <c:v>0</c:v>
                </c:pt>
                <c:pt idx="1">
                  <c:v>0.1</c:v>
                </c:pt>
                <c:pt idx="2">
                  <c:v>0.2</c:v>
                </c:pt>
                <c:pt idx="3">
                  <c:v>0.30000000000000004</c:v>
                </c:pt>
                <c:pt idx="4">
                  <c:v>0.4</c:v>
                </c:pt>
                <c:pt idx="5">
                  <c:v>0.5</c:v>
                </c:pt>
                <c:pt idx="6">
                  <c:v>0.6</c:v>
                </c:pt>
                <c:pt idx="7">
                  <c:v>0.7</c:v>
                </c:pt>
              </c:numCache>
            </c:numRef>
          </c:yVal>
          <c:smooth val="1"/>
          <c:extLst>
            <c:ext xmlns:c16="http://schemas.microsoft.com/office/drawing/2014/chart" uri="{C3380CC4-5D6E-409C-BE32-E72D297353CC}">
              <c16:uniqueId val="{00000005-0677-4526-A770-D4EDA211B566}"/>
            </c:ext>
          </c:extLst>
        </c:ser>
        <c:ser>
          <c:idx val="6"/>
          <c:order val="6"/>
          <c:tx>
            <c:v>Nilai 10KQ</c:v>
          </c:tx>
          <c:spPr>
            <a:ln w="22320" cap="rnd">
              <a:solidFill>
                <a:schemeClr val="accent6">
                  <a:lumMod val="60000"/>
                </a:schemeClr>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EPM!$C$137:$C$144</c:f>
              <c:numCache>
                <c:formatCode>General</c:formatCode>
                <c:ptCount val="8"/>
                <c:pt idx="0">
                  <c:v>0</c:v>
                </c:pt>
                <c:pt idx="1">
                  <c:v>0.1</c:v>
                </c:pt>
                <c:pt idx="2">
                  <c:v>0.2</c:v>
                </c:pt>
                <c:pt idx="3">
                  <c:v>0.30000000000000004</c:v>
                </c:pt>
                <c:pt idx="4">
                  <c:v>0.4</c:v>
                </c:pt>
                <c:pt idx="5">
                  <c:v>0.5</c:v>
                </c:pt>
                <c:pt idx="6">
                  <c:v>0.6</c:v>
                </c:pt>
                <c:pt idx="7">
                  <c:v>0.7</c:v>
                </c:pt>
              </c:numCache>
            </c:numRef>
          </c:xVal>
          <c:yVal>
            <c:numRef>
              <c:f>EPM!$F$137:$F$144</c:f>
              <c:numCache>
                <c:formatCode>0.0000</c:formatCode>
                <c:ptCount val="8"/>
                <c:pt idx="0">
                  <c:v>0.153</c:v>
                </c:pt>
                <c:pt idx="1">
                  <c:v>0.153</c:v>
                </c:pt>
                <c:pt idx="2">
                  <c:v>0.153</c:v>
                </c:pt>
                <c:pt idx="3">
                  <c:v>0.153</c:v>
                </c:pt>
                <c:pt idx="4">
                  <c:v>0.153</c:v>
                </c:pt>
                <c:pt idx="5">
                  <c:v>0.153</c:v>
                </c:pt>
                <c:pt idx="6">
                  <c:v>0.153</c:v>
                </c:pt>
                <c:pt idx="7">
                  <c:v>0.153</c:v>
                </c:pt>
              </c:numCache>
            </c:numRef>
          </c:yVal>
          <c:smooth val="1"/>
          <c:extLst>
            <c:ext xmlns:c16="http://schemas.microsoft.com/office/drawing/2014/chart" uri="{C3380CC4-5D6E-409C-BE32-E72D297353CC}">
              <c16:uniqueId val="{00000006-0677-4526-A770-D4EDA211B566}"/>
            </c:ext>
          </c:extLst>
        </c:ser>
        <c:ser>
          <c:idx val="7"/>
          <c:order val="7"/>
          <c:tx>
            <c:v>Nilai KT</c:v>
          </c:tx>
          <c:spPr>
            <a:ln w="22320" cap="rnd">
              <a:solidFill>
                <a:schemeClr val="accent4">
                  <a:lumMod val="80000"/>
                  <a:lumOff val="20000"/>
                </a:schemeClr>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EPM!$C$137:$C$144</c:f>
              <c:numCache>
                <c:formatCode>General</c:formatCode>
                <c:ptCount val="8"/>
                <c:pt idx="0">
                  <c:v>0</c:v>
                </c:pt>
                <c:pt idx="1">
                  <c:v>0.1</c:v>
                </c:pt>
                <c:pt idx="2">
                  <c:v>0.2</c:v>
                </c:pt>
                <c:pt idx="3">
                  <c:v>0.30000000000000004</c:v>
                </c:pt>
                <c:pt idx="4">
                  <c:v>0.4</c:v>
                </c:pt>
                <c:pt idx="5">
                  <c:v>0.5</c:v>
                </c:pt>
                <c:pt idx="6">
                  <c:v>0.6</c:v>
                </c:pt>
                <c:pt idx="7">
                  <c:v>0.7</c:v>
                </c:pt>
              </c:numCache>
            </c:numRef>
          </c:xVal>
          <c:yVal>
            <c:numRef>
              <c:f>EPM!$E$137:$E$144</c:f>
              <c:numCache>
                <c:formatCode>General</c:formatCode>
                <c:ptCount val="8"/>
                <c:pt idx="0">
                  <c:v>0.13900000000000001</c:v>
                </c:pt>
                <c:pt idx="1">
                  <c:v>0.13900000000000001</c:v>
                </c:pt>
                <c:pt idx="2">
                  <c:v>0.13900000000000001</c:v>
                </c:pt>
                <c:pt idx="3">
                  <c:v>0.13900000000000001</c:v>
                </c:pt>
                <c:pt idx="4">
                  <c:v>0.13900000000000001</c:v>
                </c:pt>
                <c:pt idx="5">
                  <c:v>0.13900000000000001</c:v>
                </c:pt>
                <c:pt idx="6">
                  <c:v>0.13900000000000001</c:v>
                </c:pt>
                <c:pt idx="7">
                  <c:v>0.13900000000000001</c:v>
                </c:pt>
              </c:numCache>
            </c:numRef>
          </c:yVal>
          <c:smooth val="1"/>
          <c:extLst>
            <c:ext xmlns:c16="http://schemas.microsoft.com/office/drawing/2014/chart" uri="{C3380CC4-5D6E-409C-BE32-E72D297353CC}">
              <c16:uniqueId val="{00000007-0677-4526-A770-D4EDA211B566}"/>
            </c:ext>
          </c:extLst>
        </c:ser>
        <c:dLbls>
          <c:showLegendKey val="0"/>
          <c:showVal val="0"/>
          <c:showCatName val="0"/>
          <c:showSerName val="0"/>
          <c:showPercent val="0"/>
          <c:showBubbleSize val="0"/>
        </c:dLbls>
        <c:axId val="20219029"/>
        <c:axId val="57316179"/>
      </c:scatterChart>
      <c:valAx>
        <c:axId val="20219029"/>
        <c:scaling>
          <c:orientation val="minMax"/>
        </c:scaling>
        <c:delete val="0"/>
        <c:axPos val="b"/>
        <c:title>
          <c:tx>
            <c:rich>
              <a:bodyPr rot="0"/>
              <a:lstStyle/>
              <a:p>
                <a:pPr>
                  <a:defRPr sz="1300" b="0" u="none" strike="noStrike">
                    <a:uFillTx/>
                    <a:latin typeface="Arial"/>
                  </a:defRPr>
                </a:pPr>
                <a:r>
                  <a:rPr lang="en-US" sz="900" b="0" u="none" strike="noStrike">
                    <a:solidFill>
                      <a:srgbClr val="000000"/>
                    </a:solidFill>
                    <a:uFillTx/>
                    <a:latin typeface="Calibri"/>
                  </a:rPr>
                  <a:t>J</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rgbClr val="000000"/>
                </a:solidFill>
                <a:uFillTx/>
                <a:latin typeface="Calibri"/>
              </a:defRPr>
            </a:pPr>
            <a:endParaRPr lang="en-US"/>
          </a:p>
        </c:txPr>
        <c:crossAx val="57316179"/>
        <c:crosses val="autoZero"/>
        <c:crossBetween val="midCat"/>
        <c:majorUnit val="0.1"/>
      </c:valAx>
      <c:valAx>
        <c:axId val="57316179"/>
        <c:scaling>
          <c:orientation val="minMax"/>
          <c:max val="0.8"/>
        </c:scaling>
        <c:delete val="0"/>
        <c:axPos val="l"/>
        <c:majorGridlines>
          <c:spPr>
            <a:ln w="9360">
              <a:solidFill>
                <a:schemeClr val="dk1">
                  <a:lumMod val="15000"/>
                  <a:lumOff val="85000"/>
                </a:schemeClr>
              </a:solidFill>
              <a:round/>
            </a:ln>
          </c:spPr>
        </c:majorGridlines>
        <c:title>
          <c:tx>
            <c:rich>
              <a:bodyPr rot="-5400000"/>
              <a:lstStyle/>
              <a:p>
                <a:pPr>
                  <a:defRPr sz="1300" b="0" u="none" strike="noStrike">
                    <a:uFillTx/>
                    <a:latin typeface="Arial"/>
                  </a:defRPr>
                </a:pPr>
                <a:r>
                  <a:rPr lang="en-US" sz="900" b="0" u="none" strike="noStrike">
                    <a:solidFill>
                      <a:srgbClr val="000000"/>
                    </a:solidFill>
                    <a:uFillTx/>
                    <a:latin typeface="Calibri"/>
                  </a:rPr>
                  <a:t>KQ-KT-</a:t>
                </a:r>
                <a:r>
                  <a:rPr lang="el-GR" sz="900" b="0" u="none" strike="noStrike">
                    <a:solidFill>
                      <a:srgbClr val="000000"/>
                    </a:solidFill>
                    <a:uFillTx/>
                    <a:latin typeface="Calibri"/>
                  </a:rPr>
                  <a:t>η</a:t>
                </a:r>
              </a:p>
            </c:rich>
          </c:tx>
          <c:overlay val="0"/>
          <c:spPr>
            <a:noFill/>
            <a:ln w="0">
              <a:noFill/>
            </a:ln>
          </c:spPr>
        </c:title>
        <c:numFmt formatCode="0.000"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rgbClr val="000000"/>
                </a:solidFill>
                <a:uFillTx/>
                <a:latin typeface="Calibri"/>
              </a:defRPr>
            </a:pPr>
            <a:endParaRPr lang="en-US"/>
          </a:p>
        </c:txPr>
        <c:crossAx val="20219029"/>
        <c:crosses val="autoZero"/>
        <c:crossBetween val="midCat"/>
      </c:valAx>
      <c:spPr>
        <a:noFill/>
        <a:ln w="0">
          <a:noFill/>
        </a:ln>
      </c:spPr>
    </c:plotArea>
    <c:legend>
      <c:legendPos val="r"/>
      <c:overlay val="0"/>
      <c:spPr>
        <a:noFill/>
        <a:ln w="0">
          <a:noFill/>
        </a:ln>
      </c:spPr>
      <c:txPr>
        <a:bodyPr/>
        <a:lstStyle/>
        <a:p>
          <a:pPr>
            <a:defRPr sz="9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ID" sz="1600" b="1" u="none" strike="noStrike" spc="119">
                <a:solidFill>
                  <a:srgbClr val="000000"/>
                </a:solidFill>
                <a:uFillTx/>
                <a:latin typeface="Calibri"/>
              </a:rPr>
              <a:t>titik operasi propeller rough hull</a:t>
            </a:r>
          </a:p>
        </c:rich>
      </c:tx>
      <c:overlay val="0"/>
      <c:spPr>
        <a:noFill/>
        <a:ln w="0">
          <a:noFill/>
        </a:ln>
      </c:spPr>
    </c:title>
    <c:autoTitleDeleted val="0"/>
    <c:plotArea>
      <c:layout/>
      <c:scatterChart>
        <c:scatterStyle val="lineMarker"/>
        <c:varyColors val="0"/>
        <c:ser>
          <c:idx val="0"/>
          <c:order val="0"/>
          <c:tx>
            <c:v>KT propeller</c:v>
          </c:tx>
          <c:spPr>
            <a:ln w="22320" cap="rnd">
              <a:solidFill>
                <a:schemeClr val="accent2"/>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EPM!$D$92:$D$100</c:f>
              <c:numCache>
                <c:formatCode>General</c:formatCode>
                <c:ptCount val="9"/>
                <c:pt idx="0">
                  <c:v>0</c:v>
                </c:pt>
                <c:pt idx="1">
                  <c:v>0.1</c:v>
                </c:pt>
                <c:pt idx="2">
                  <c:v>0.2</c:v>
                </c:pt>
                <c:pt idx="3">
                  <c:v>0.3</c:v>
                </c:pt>
                <c:pt idx="4">
                  <c:v>0.4</c:v>
                </c:pt>
                <c:pt idx="5">
                  <c:v>0.5</c:v>
                </c:pt>
                <c:pt idx="6">
                  <c:v>0.6</c:v>
                </c:pt>
                <c:pt idx="7">
                  <c:v>0.7</c:v>
                </c:pt>
                <c:pt idx="8">
                  <c:v>0.8</c:v>
                </c:pt>
              </c:numCache>
            </c:numRef>
          </c:xVal>
          <c:yVal>
            <c:numRef>
              <c:f>EPM!$E$92:$E$100</c:f>
              <c:numCache>
                <c:formatCode>0.000</c:formatCode>
                <c:ptCount val="9"/>
                <c:pt idx="0">
                  <c:v>0.2472</c:v>
                </c:pt>
                <c:pt idx="1">
                  <c:v>0.22420999999999999</c:v>
                </c:pt>
                <c:pt idx="2">
                  <c:v>0.19784199999999999</c:v>
                </c:pt>
                <c:pt idx="3">
                  <c:v>0.1683974</c:v>
                </c:pt>
                <c:pt idx="4">
                  <c:v>0.13767099999999999</c:v>
                </c:pt>
                <c:pt idx="5">
                  <c:v>0.10226499999999999</c:v>
                </c:pt>
                <c:pt idx="6">
                  <c:v>6.5662393200000002E-2</c:v>
                </c:pt>
                <c:pt idx="7">
                  <c:v>2.6623931600000001E-2</c:v>
                </c:pt>
                <c:pt idx="8">
                  <c:v>0</c:v>
                </c:pt>
              </c:numCache>
            </c:numRef>
          </c:yVal>
          <c:smooth val="1"/>
          <c:extLst>
            <c:ext xmlns:c16="http://schemas.microsoft.com/office/drawing/2014/chart" uri="{C3380CC4-5D6E-409C-BE32-E72D297353CC}">
              <c16:uniqueId val="{00000000-F3AB-4C8C-9732-41C55C592EB4}"/>
            </c:ext>
          </c:extLst>
        </c:ser>
        <c:ser>
          <c:idx val="1"/>
          <c:order val="1"/>
          <c:tx>
            <c:v>η propeller</c:v>
          </c:tx>
          <c:spPr>
            <a:ln w="22320" cap="rnd">
              <a:solidFill>
                <a:schemeClr val="accent6"/>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EPM!$D$92:$D$100</c:f>
              <c:numCache>
                <c:formatCode>General</c:formatCode>
                <c:ptCount val="9"/>
                <c:pt idx="0">
                  <c:v>0</c:v>
                </c:pt>
                <c:pt idx="1">
                  <c:v>0.1</c:v>
                </c:pt>
                <c:pt idx="2">
                  <c:v>0.2</c:v>
                </c:pt>
                <c:pt idx="3">
                  <c:v>0.3</c:v>
                </c:pt>
                <c:pt idx="4">
                  <c:v>0.4</c:v>
                </c:pt>
                <c:pt idx="5">
                  <c:v>0.5</c:v>
                </c:pt>
                <c:pt idx="6">
                  <c:v>0.6</c:v>
                </c:pt>
                <c:pt idx="7">
                  <c:v>0.7</c:v>
                </c:pt>
                <c:pt idx="8">
                  <c:v>0.8</c:v>
                </c:pt>
              </c:numCache>
            </c:numRef>
          </c:xVal>
          <c:yVal>
            <c:numRef>
              <c:f>EPM!$G$92:$G$100</c:f>
              <c:numCache>
                <c:formatCode>0.000</c:formatCode>
                <c:ptCount val="9"/>
                <c:pt idx="0" formatCode="0">
                  <c:v>0</c:v>
                </c:pt>
                <c:pt idx="1">
                  <c:v>0.15937999999999999</c:v>
                </c:pt>
                <c:pt idx="2">
                  <c:v>0.3084829</c:v>
                </c:pt>
                <c:pt idx="3">
                  <c:v>0.44651709000000001</c:v>
                </c:pt>
                <c:pt idx="4">
                  <c:v>0.56215809999999999</c:v>
                </c:pt>
                <c:pt idx="5">
                  <c:v>0.63123899999999999</c:v>
                </c:pt>
                <c:pt idx="6">
                  <c:v>0.63367519999999999</c:v>
                </c:pt>
                <c:pt idx="7">
                  <c:v>0.47273500000000002</c:v>
                </c:pt>
                <c:pt idx="8">
                  <c:v>0</c:v>
                </c:pt>
              </c:numCache>
            </c:numRef>
          </c:yVal>
          <c:smooth val="1"/>
          <c:extLst>
            <c:ext xmlns:c16="http://schemas.microsoft.com/office/drawing/2014/chart" uri="{C3380CC4-5D6E-409C-BE32-E72D297353CC}">
              <c16:uniqueId val="{00000001-F3AB-4C8C-9732-41C55C592EB4}"/>
            </c:ext>
          </c:extLst>
        </c:ser>
        <c:ser>
          <c:idx val="2"/>
          <c:order val="2"/>
          <c:tx>
            <c:v>10KQ propeller</c:v>
          </c:tx>
          <c:spPr>
            <a:ln w="22320" cap="rnd">
              <a:solidFill>
                <a:schemeClr val="accent4"/>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EPM!$D$92:$D$100</c:f>
              <c:numCache>
                <c:formatCode>General</c:formatCode>
                <c:ptCount val="9"/>
                <c:pt idx="0">
                  <c:v>0</c:v>
                </c:pt>
                <c:pt idx="1">
                  <c:v>0.1</c:v>
                </c:pt>
                <c:pt idx="2">
                  <c:v>0.2</c:v>
                </c:pt>
                <c:pt idx="3">
                  <c:v>0.3</c:v>
                </c:pt>
                <c:pt idx="4">
                  <c:v>0.4</c:v>
                </c:pt>
                <c:pt idx="5">
                  <c:v>0.5</c:v>
                </c:pt>
                <c:pt idx="6">
                  <c:v>0.6</c:v>
                </c:pt>
                <c:pt idx="7">
                  <c:v>0.7</c:v>
                </c:pt>
                <c:pt idx="8">
                  <c:v>0.8</c:v>
                </c:pt>
              </c:numCache>
            </c:numRef>
          </c:xVal>
          <c:yVal>
            <c:numRef>
              <c:f>EPM!$F$92:$F$100</c:f>
              <c:numCache>
                <c:formatCode>0.000</c:formatCode>
                <c:ptCount val="9"/>
                <c:pt idx="0">
                  <c:v>0.24337600000000001</c:v>
                </c:pt>
                <c:pt idx="1">
                  <c:v>0.22628200000000001</c:v>
                </c:pt>
                <c:pt idx="2">
                  <c:v>0.20465800000000001</c:v>
                </c:pt>
                <c:pt idx="3">
                  <c:v>0.18247863</c:v>
                </c:pt>
                <c:pt idx="4">
                  <c:v>0.1574358974</c:v>
                </c:pt>
                <c:pt idx="5">
                  <c:v>0.13111110000000001</c:v>
                </c:pt>
                <c:pt idx="6">
                  <c:v>0.10081196000000001</c:v>
                </c:pt>
                <c:pt idx="7">
                  <c:v>6.7349999999999993E-2</c:v>
                </c:pt>
                <c:pt idx="8">
                  <c:v>0</c:v>
                </c:pt>
              </c:numCache>
            </c:numRef>
          </c:yVal>
          <c:smooth val="1"/>
          <c:extLst>
            <c:ext xmlns:c16="http://schemas.microsoft.com/office/drawing/2014/chart" uri="{C3380CC4-5D6E-409C-BE32-E72D297353CC}">
              <c16:uniqueId val="{00000002-F3AB-4C8C-9732-41C55C592EB4}"/>
            </c:ext>
          </c:extLst>
        </c:ser>
        <c:ser>
          <c:idx val="3"/>
          <c:order val="3"/>
          <c:tx>
            <c:strRef>
              <c:f>EPM!$F$55</c:f>
              <c:strCache>
                <c:ptCount val="1"/>
                <c:pt idx="0">
                  <c:v>KTservice</c:v>
                </c:pt>
              </c:strCache>
            </c:strRef>
          </c:tx>
          <c:spPr>
            <a:ln w="22320" cap="rnd">
              <a:solidFill>
                <a:schemeClr val="accent2">
                  <a:lumMod val="60000"/>
                </a:schemeClr>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EPM!$C$56:$C$64</c:f>
              <c:numCache>
                <c:formatCode>General</c:formatCode>
                <c:ptCount val="9"/>
                <c:pt idx="0">
                  <c:v>0</c:v>
                </c:pt>
                <c:pt idx="1">
                  <c:v>0.1</c:v>
                </c:pt>
                <c:pt idx="2">
                  <c:v>0.2</c:v>
                </c:pt>
                <c:pt idx="3">
                  <c:v>0.3</c:v>
                </c:pt>
                <c:pt idx="4">
                  <c:v>0.4</c:v>
                </c:pt>
                <c:pt idx="5">
                  <c:v>0.5</c:v>
                </c:pt>
                <c:pt idx="6">
                  <c:v>0.6</c:v>
                </c:pt>
                <c:pt idx="7">
                  <c:v>0.7</c:v>
                </c:pt>
                <c:pt idx="8">
                  <c:v>0.8</c:v>
                </c:pt>
              </c:numCache>
            </c:numRef>
          </c:xVal>
          <c:yVal>
            <c:numRef>
              <c:f>EPM!$F$56:$F$64</c:f>
              <c:numCache>
                <c:formatCode>0.00000</c:formatCode>
                <c:ptCount val="9"/>
                <c:pt idx="0">
                  <c:v>0</c:v>
                </c:pt>
                <c:pt idx="1">
                  <c:v>0</c:v>
                </c:pt>
                <c:pt idx="2">
                  <c:v>0</c:v>
                </c:pt>
                <c:pt idx="3">
                  <c:v>0</c:v>
                </c:pt>
                <c:pt idx="4">
                  <c:v>0</c:v>
                </c:pt>
                <c:pt idx="5">
                  <c:v>0</c:v>
                </c:pt>
                <c:pt idx="6">
                  <c:v>0</c:v>
                </c:pt>
                <c:pt idx="7">
                  <c:v>0</c:v>
                </c:pt>
                <c:pt idx="8">
                  <c:v>0</c:v>
                </c:pt>
              </c:numCache>
            </c:numRef>
          </c:yVal>
          <c:smooth val="1"/>
          <c:extLst>
            <c:ext xmlns:c16="http://schemas.microsoft.com/office/drawing/2014/chart" uri="{C3380CC4-5D6E-409C-BE32-E72D297353CC}">
              <c16:uniqueId val="{00000003-F3AB-4C8C-9732-41C55C592EB4}"/>
            </c:ext>
          </c:extLst>
        </c:ser>
        <c:ser>
          <c:idx val="4"/>
          <c:order val="4"/>
          <c:tx>
            <c:v>Nilai eff</c:v>
          </c:tx>
          <c:spPr>
            <a:ln w="22320" cap="rnd">
              <a:solidFill>
                <a:schemeClr val="accent4">
                  <a:lumMod val="60000"/>
                </a:schemeClr>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EPM!$C$164:$C$172</c:f>
              <c:numCache>
                <c:formatCode>General</c:formatCode>
                <c:ptCount val="9"/>
                <c:pt idx="0">
                  <c:v>0</c:v>
                </c:pt>
                <c:pt idx="1">
                  <c:v>0.1</c:v>
                </c:pt>
                <c:pt idx="2">
                  <c:v>0.2</c:v>
                </c:pt>
                <c:pt idx="3">
                  <c:v>0.30000000000000004</c:v>
                </c:pt>
                <c:pt idx="4">
                  <c:v>0.4</c:v>
                </c:pt>
                <c:pt idx="5">
                  <c:v>0.5</c:v>
                </c:pt>
                <c:pt idx="6">
                  <c:v>0.6</c:v>
                </c:pt>
                <c:pt idx="7">
                  <c:v>0.7</c:v>
                </c:pt>
                <c:pt idx="8">
                  <c:v>0.79999999999999993</c:v>
                </c:pt>
              </c:numCache>
            </c:numRef>
          </c:xVal>
          <c:yVal>
            <c:numRef>
              <c:f>EPM!$G$165:$G$172</c:f>
              <c:numCache>
                <c:formatCode>General</c:formatCode>
                <c:ptCount val="8"/>
                <c:pt idx="0">
                  <c:v>0.54800000000000004</c:v>
                </c:pt>
                <c:pt idx="1">
                  <c:v>0.54800000000000004</c:v>
                </c:pt>
                <c:pt idx="2">
                  <c:v>0.54800000000000004</c:v>
                </c:pt>
                <c:pt idx="3">
                  <c:v>0.54800000000000004</c:v>
                </c:pt>
                <c:pt idx="4">
                  <c:v>0.54800000000000004</c:v>
                </c:pt>
                <c:pt idx="5">
                  <c:v>0.54800000000000004</c:v>
                </c:pt>
                <c:pt idx="6">
                  <c:v>0.54800000000000004</c:v>
                </c:pt>
                <c:pt idx="7">
                  <c:v>0.54800000000000004</c:v>
                </c:pt>
              </c:numCache>
            </c:numRef>
          </c:yVal>
          <c:smooth val="1"/>
          <c:extLst>
            <c:ext xmlns:c16="http://schemas.microsoft.com/office/drawing/2014/chart" uri="{C3380CC4-5D6E-409C-BE32-E72D297353CC}">
              <c16:uniqueId val="{00000004-F3AB-4C8C-9732-41C55C592EB4}"/>
            </c:ext>
          </c:extLst>
        </c:ser>
        <c:ser>
          <c:idx val="5"/>
          <c:order val="5"/>
          <c:tx>
            <c:v>Nilai 10KQ</c:v>
          </c:tx>
          <c:spPr>
            <a:ln w="22320" cap="rnd">
              <a:solidFill>
                <a:schemeClr val="accent6">
                  <a:lumMod val="60000"/>
                </a:schemeClr>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EPM!$C$164:$C$172</c:f>
              <c:numCache>
                <c:formatCode>General</c:formatCode>
                <c:ptCount val="9"/>
                <c:pt idx="0">
                  <c:v>0</c:v>
                </c:pt>
                <c:pt idx="1">
                  <c:v>0.1</c:v>
                </c:pt>
                <c:pt idx="2">
                  <c:v>0.2</c:v>
                </c:pt>
                <c:pt idx="3">
                  <c:v>0.30000000000000004</c:v>
                </c:pt>
                <c:pt idx="4">
                  <c:v>0.4</c:v>
                </c:pt>
                <c:pt idx="5">
                  <c:v>0.5</c:v>
                </c:pt>
                <c:pt idx="6">
                  <c:v>0.6</c:v>
                </c:pt>
                <c:pt idx="7">
                  <c:v>0.7</c:v>
                </c:pt>
                <c:pt idx="8">
                  <c:v>0.79999999999999993</c:v>
                </c:pt>
              </c:numCache>
            </c:numRef>
          </c:xVal>
          <c:yVal>
            <c:numRef>
              <c:f>EPM!$F$164:$F$172</c:f>
              <c:numCache>
                <c:formatCode>General</c:formatCode>
                <c:ptCount val="9"/>
                <c:pt idx="0">
                  <c:v>0.1575</c:v>
                </c:pt>
                <c:pt idx="1">
                  <c:v>0.1575</c:v>
                </c:pt>
                <c:pt idx="2">
                  <c:v>0.1575</c:v>
                </c:pt>
                <c:pt idx="3">
                  <c:v>0.1575</c:v>
                </c:pt>
                <c:pt idx="4">
                  <c:v>0.1575</c:v>
                </c:pt>
                <c:pt idx="5">
                  <c:v>0.1575</c:v>
                </c:pt>
                <c:pt idx="6">
                  <c:v>0.1575</c:v>
                </c:pt>
                <c:pt idx="7">
                  <c:v>0.1575</c:v>
                </c:pt>
                <c:pt idx="8">
                  <c:v>0.1575</c:v>
                </c:pt>
              </c:numCache>
            </c:numRef>
          </c:yVal>
          <c:smooth val="1"/>
          <c:extLst>
            <c:ext xmlns:c16="http://schemas.microsoft.com/office/drawing/2014/chart" uri="{C3380CC4-5D6E-409C-BE32-E72D297353CC}">
              <c16:uniqueId val="{00000005-F3AB-4C8C-9732-41C55C592EB4}"/>
            </c:ext>
          </c:extLst>
        </c:ser>
        <c:ser>
          <c:idx val="6"/>
          <c:order val="6"/>
          <c:tx>
            <c:v>Perpotongan KTship &amp; KTprop</c:v>
          </c:tx>
          <c:spPr>
            <a:ln w="22320" cap="rnd">
              <a:solidFill>
                <a:schemeClr val="accent2">
                  <a:lumMod val="80000"/>
                  <a:lumOff val="20000"/>
                </a:schemeClr>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EPM!$D$164:$D$172</c:f>
              <c:numCache>
                <c:formatCode>0.0000</c:formatCode>
                <c:ptCount val="9"/>
                <c:pt idx="0">
                  <c:v>0.38500000000000001</c:v>
                </c:pt>
                <c:pt idx="1">
                  <c:v>0.38500000000000001</c:v>
                </c:pt>
                <c:pt idx="2">
                  <c:v>0.38500000000000001</c:v>
                </c:pt>
                <c:pt idx="3">
                  <c:v>0.38500000000000001</c:v>
                </c:pt>
                <c:pt idx="4">
                  <c:v>0.38500000000000001</c:v>
                </c:pt>
                <c:pt idx="5">
                  <c:v>0.38500000000000001</c:v>
                </c:pt>
                <c:pt idx="6">
                  <c:v>0.38500000000000001</c:v>
                </c:pt>
                <c:pt idx="7">
                  <c:v>0.38500000000000001</c:v>
                </c:pt>
                <c:pt idx="8">
                  <c:v>0.38500000000000001</c:v>
                </c:pt>
              </c:numCache>
            </c:numRef>
          </c:xVal>
          <c:yVal>
            <c:numRef>
              <c:f>EPM!$C$164:$C$172</c:f>
              <c:numCache>
                <c:formatCode>General</c:formatCode>
                <c:ptCount val="9"/>
                <c:pt idx="0">
                  <c:v>0</c:v>
                </c:pt>
                <c:pt idx="1">
                  <c:v>0.1</c:v>
                </c:pt>
                <c:pt idx="2">
                  <c:v>0.2</c:v>
                </c:pt>
                <c:pt idx="3">
                  <c:v>0.30000000000000004</c:v>
                </c:pt>
                <c:pt idx="4">
                  <c:v>0.4</c:v>
                </c:pt>
                <c:pt idx="5">
                  <c:v>0.5</c:v>
                </c:pt>
                <c:pt idx="6">
                  <c:v>0.6</c:v>
                </c:pt>
                <c:pt idx="7">
                  <c:v>0.7</c:v>
                </c:pt>
                <c:pt idx="8">
                  <c:v>0.79999999999999993</c:v>
                </c:pt>
              </c:numCache>
            </c:numRef>
          </c:yVal>
          <c:smooth val="1"/>
          <c:extLst>
            <c:ext xmlns:c16="http://schemas.microsoft.com/office/drawing/2014/chart" uri="{C3380CC4-5D6E-409C-BE32-E72D297353CC}">
              <c16:uniqueId val="{00000006-F3AB-4C8C-9732-41C55C592EB4}"/>
            </c:ext>
          </c:extLst>
        </c:ser>
        <c:ser>
          <c:idx val="7"/>
          <c:order val="7"/>
          <c:tx>
            <c:v>Nilai KT</c:v>
          </c:tx>
          <c:spPr>
            <a:ln w="22320" cap="rnd">
              <a:solidFill>
                <a:schemeClr val="accent4">
                  <a:lumMod val="80000"/>
                  <a:lumOff val="20000"/>
                </a:schemeClr>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2320" cap="rnd">
                      <a:solidFill>
                        <a:srgbClr val="000000"/>
                      </a:solidFill>
                    </a:ln>
                  </c:spPr>
                </c15:leaderLines>
              </c:ext>
            </c:extLst>
          </c:dLbls>
          <c:xVal>
            <c:numRef>
              <c:f>EPM!$C$164:$C$172</c:f>
              <c:numCache>
                <c:formatCode>General</c:formatCode>
                <c:ptCount val="9"/>
                <c:pt idx="0">
                  <c:v>0</c:v>
                </c:pt>
                <c:pt idx="1">
                  <c:v>0.1</c:v>
                </c:pt>
                <c:pt idx="2">
                  <c:v>0.2</c:v>
                </c:pt>
                <c:pt idx="3">
                  <c:v>0.30000000000000004</c:v>
                </c:pt>
                <c:pt idx="4">
                  <c:v>0.4</c:v>
                </c:pt>
                <c:pt idx="5">
                  <c:v>0.5</c:v>
                </c:pt>
                <c:pt idx="6">
                  <c:v>0.6</c:v>
                </c:pt>
                <c:pt idx="7">
                  <c:v>0.7</c:v>
                </c:pt>
                <c:pt idx="8">
                  <c:v>0.79999999999999993</c:v>
                </c:pt>
              </c:numCache>
            </c:numRef>
          </c:xVal>
          <c:yVal>
            <c:numRef>
              <c:f>EPM!$E$164:$E$172</c:f>
              <c:numCache>
                <c:formatCode>General</c:formatCode>
                <c:ptCount val="9"/>
                <c:pt idx="0">
                  <c:v>0.14299999999999999</c:v>
                </c:pt>
                <c:pt idx="1">
                  <c:v>0.14299999999999999</c:v>
                </c:pt>
                <c:pt idx="2">
                  <c:v>0.14299999999999999</c:v>
                </c:pt>
                <c:pt idx="3">
                  <c:v>0.14299999999999999</c:v>
                </c:pt>
                <c:pt idx="4">
                  <c:v>0.14299999999999999</c:v>
                </c:pt>
                <c:pt idx="5">
                  <c:v>0.14299999999999999</c:v>
                </c:pt>
                <c:pt idx="6">
                  <c:v>0.14299999999999999</c:v>
                </c:pt>
                <c:pt idx="7">
                  <c:v>0.14299999999999999</c:v>
                </c:pt>
                <c:pt idx="8">
                  <c:v>0.14299999999999999</c:v>
                </c:pt>
              </c:numCache>
            </c:numRef>
          </c:yVal>
          <c:smooth val="1"/>
          <c:extLst>
            <c:ext xmlns:c16="http://schemas.microsoft.com/office/drawing/2014/chart" uri="{C3380CC4-5D6E-409C-BE32-E72D297353CC}">
              <c16:uniqueId val="{00000007-F3AB-4C8C-9732-41C55C592EB4}"/>
            </c:ext>
          </c:extLst>
        </c:ser>
        <c:dLbls>
          <c:showLegendKey val="0"/>
          <c:showVal val="0"/>
          <c:showCatName val="0"/>
          <c:showSerName val="0"/>
          <c:showPercent val="0"/>
          <c:showBubbleSize val="0"/>
        </c:dLbls>
        <c:axId val="59334093"/>
        <c:axId val="62779293"/>
      </c:scatterChart>
      <c:valAx>
        <c:axId val="59334093"/>
        <c:scaling>
          <c:orientation val="minMax"/>
        </c:scaling>
        <c:delete val="0"/>
        <c:axPos val="b"/>
        <c:majorGridlines>
          <c:spPr>
            <a:ln w="9360">
              <a:solidFill>
                <a:schemeClr val="dk1">
                  <a:lumMod val="15000"/>
                  <a:lumOff val="85000"/>
                </a:schemeClr>
              </a:solidFill>
              <a:round/>
            </a:ln>
          </c:spPr>
        </c:majorGridlines>
        <c:minorGridlines>
          <c:spPr>
            <a:ln w="6480">
              <a:solidFill>
                <a:schemeClr val="dk1">
                  <a:lumMod val="5000"/>
                  <a:lumOff val="95000"/>
                </a:schemeClr>
              </a:solidFill>
              <a:round/>
            </a:ln>
          </c:spPr>
        </c:minorGridlines>
        <c:title>
          <c:tx>
            <c:rich>
              <a:bodyPr rot="0"/>
              <a:lstStyle/>
              <a:p>
                <a:pPr>
                  <a:defRPr sz="1300" b="0" u="none" strike="noStrike">
                    <a:uFillTx/>
                    <a:latin typeface="Arial"/>
                  </a:defRPr>
                </a:pPr>
                <a:r>
                  <a:rPr lang="en-US" sz="900" b="0" u="none" strike="noStrike">
                    <a:solidFill>
                      <a:srgbClr val="000000"/>
                    </a:solidFill>
                    <a:uFillTx/>
                    <a:latin typeface="Calibri"/>
                  </a:rPr>
                  <a:t>J</a:t>
                </a:r>
              </a:p>
            </c:rich>
          </c:tx>
          <c:overlay val="0"/>
          <c:spPr>
            <a:noFill/>
            <a:ln w="0">
              <a:noFill/>
            </a:ln>
          </c:spPr>
        </c:title>
        <c:numFmt formatCode="General" sourceLinked="0"/>
        <c:majorTickMark val="out"/>
        <c:minorTickMark val="none"/>
        <c:tickLblPos val="nextTo"/>
        <c:spPr>
          <a:ln w="9360">
            <a:solidFill>
              <a:schemeClr val="dk1">
                <a:lumMod val="15000"/>
                <a:lumOff val="85000"/>
              </a:schemeClr>
            </a:solidFill>
            <a:round/>
          </a:ln>
        </c:spPr>
        <c:txPr>
          <a:bodyPr/>
          <a:lstStyle/>
          <a:p>
            <a:pPr>
              <a:defRPr sz="900" b="0" u="none" strike="noStrike">
                <a:solidFill>
                  <a:srgbClr val="000000"/>
                </a:solidFill>
                <a:uFillTx/>
                <a:latin typeface="Calibri"/>
              </a:defRPr>
            </a:pPr>
            <a:endParaRPr lang="en-US"/>
          </a:p>
        </c:txPr>
        <c:crossAx val="62779293"/>
        <c:crosses val="autoZero"/>
        <c:crossBetween val="midCat"/>
        <c:majorUnit val="0.1"/>
      </c:valAx>
      <c:valAx>
        <c:axId val="62779293"/>
        <c:scaling>
          <c:orientation val="minMax"/>
          <c:max val="0.8"/>
        </c:scaling>
        <c:delete val="0"/>
        <c:axPos val="l"/>
        <c:majorGridlines>
          <c:spPr>
            <a:ln w="9360">
              <a:solidFill>
                <a:schemeClr val="dk1">
                  <a:lumMod val="15000"/>
                  <a:lumOff val="85000"/>
                </a:schemeClr>
              </a:solidFill>
              <a:round/>
            </a:ln>
          </c:spPr>
        </c:majorGridlines>
        <c:minorGridlines>
          <c:spPr>
            <a:ln w="6480">
              <a:solidFill>
                <a:schemeClr val="dk1">
                  <a:lumMod val="5000"/>
                  <a:lumOff val="95000"/>
                </a:schemeClr>
              </a:solidFill>
              <a:round/>
            </a:ln>
          </c:spPr>
        </c:minorGridlines>
        <c:title>
          <c:tx>
            <c:rich>
              <a:bodyPr rot="-5400000"/>
              <a:lstStyle/>
              <a:p>
                <a:pPr>
                  <a:defRPr sz="1300" b="0" u="none" strike="noStrike">
                    <a:uFillTx/>
                    <a:latin typeface="Arial"/>
                  </a:defRPr>
                </a:pPr>
                <a:r>
                  <a:rPr lang="en-US" sz="900" b="0" u="none" strike="noStrike">
                    <a:solidFill>
                      <a:srgbClr val="000000"/>
                    </a:solidFill>
                    <a:uFillTx/>
                    <a:latin typeface="Calibri"/>
                  </a:rPr>
                  <a:t>KQ-KT-</a:t>
                </a:r>
                <a:r>
                  <a:rPr lang="el-GR" sz="900" b="0" u="none" strike="noStrike">
                    <a:solidFill>
                      <a:srgbClr val="000000"/>
                    </a:solidFill>
                    <a:uFillTx/>
                    <a:latin typeface="Calibri"/>
                  </a:rPr>
                  <a:t>η</a:t>
                </a:r>
              </a:p>
            </c:rich>
          </c:tx>
          <c:overlay val="0"/>
          <c:spPr>
            <a:noFill/>
            <a:ln w="0">
              <a:noFill/>
            </a:ln>
          </c:spPr>
        </c:title>
        <c:numFmt formatCode="0.000" sourceLinked="0"/>
        <c:majorTickMark val="out"/>
        <c:minorTickMark val="none"/>
        <c:tickLblPos val="nextTo"/>
        <c:spPr>
          <a:ln w="9360">
            <a:solidFill>
              <a:schemeClr val="dk1">
                <a:lumMod val="15000"/>
                <a:lumOff val="85000"/>
              </a:schemeClr>
            </a:solidFill>
            <a:round/>
          </a:ln>
        </c:spPr>
        <c:txPr>
          <a:bodyPr/>
          <a:lstStyle/>
          <a:p>
            <a:pPr>
              <a:defRPr sz="900" b="0" u="none" strike="noStrike">
                <a:solidFill>
                  <a:srgbClr val="000000"/>
                </a:solidFill>
                <a:uFillTx/>
                <a:latin typeface="Calibri"/>
              </a:defRPr>
            </a:pPr>
            <a:endParaRPr lang="en-US"/>
          </a:p>
        </c:txPr>
        <c:crossAx val="59334093"/>
        <c:crosses val="autoZero"/>
        <c:crossBetween val="midCat"/>
      </c:valAx>
      <c:spPr>
        <a:noFill/>
        <a:ln w="0">
          <a:noFill/>
        </a:ln>
      </c:spPr>
    </c:plotArea>
    <c:legend>
      <c:legendPos val="r"/>
      <c:overlay val="0"/>
      <c:spPr>
        <a:noFill/>
        <a:ln w="0">
          <a:noFill/>
        </a:ln>
      </c:spPr>
      <c:txPr>
        <a:bodyPr/>
        <a:lstStyle/>
        <a:p>
          <a:pPr>
            <a:defRPr sz="9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214485615134893"/>
          <c:y val="0.18130049000132401"/>
          <c:w val="0.54584126273368405"/>
          <c:h val="0.59939080916434895"/>
        </c:manualLayout>
      </c:layout>
      <c:scatterChart>
        <c:scatterStyle val="lineMarker"/>
        <c:varyColors val="0"/>
        <c:ser>
          <c:idx val="0"/>
          <c:order val="0"/>
          <c:tx>
            <c:v>clean hull</c:v>
          </c:tx>
          <c:spPr>
            <a:ln w="19080">
              <a:solidFill>
                <a:srgbClr val="AD84C6"/>
              </a:solidFill>
              <a:round/>
            </a:ln>
          </c:spP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9080">
                      <a:solidFill>
                        <a:srgbClr val="000000"/>
                      </a:solidFill>
                    </a:ln>
                  </c:spPr>
                </c15:leaderLines>
              </c:ext>
            </c:extLst>
          </c:dLbls>
          <c:xVal>
            <c:numRef>
              <c:f>EPM!$C$209:$C$223</c:f>
              <c:numCache>
                <c:formatCode>General</c:formatCode>
                <c:ptCount val="15"/>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720</c:v>
                </c:pt>
              </c:numCache>
            </c:numRef>
          </c:xVal>
          <c:yVal>
            <c:numRef>
              <c:f>EPM!$I$209:$I$223</c:f>
              <c:numCache>
                <c:formatCode>0.00</c:formatCode>
                <c:ptCount val="15"/>
                <c:pt idx="0">
                  <c:v>3.4976816084686599</c:v>
                </c:pt>
                <c:pt idx="1">
                  <c:v>27.98145286774928</c:v>
                </c:pt>
                <c:pt idx="2">
                  <c:v>94.437403428653838</c:v>
                </c:pt>
                <c:pt idx="3">
                  <c:v>223.85162294199424</c:v>
                </c:pt>
                <c:pt idx="4">
                  <c:v>437.21020105858264</c:v>
                </c:pt>
                <c:pt idx="5">
                  <c:v>755.4992274292307</c:v>
                </c:pt>
                <c:pt idx="6">
                  <c:v>1199.7047917047512</c:v>
                </c:pt>
                <c:pt idx="7">
                  <c:v>1790.8129835359539</c:v>
                </c:pt>
                <c:pt idx="8">
                  <c:v>2549.8098925736535</c:v>
                </c:pt>
                <c:pt idx="9">
                  <c:v>3497.6816084686611</c:v>
                </c:pt>
                <c:pt idx="10">
                  <c:v>4655.4142208717858</c:v>
                </c:pt>
                <c:pt idx="11">
                  <c:v>6043.9938194338456</c:v>
                </c:pt>
                <c:pt idx="12">
                  <c:v>7684.4064938056472</c:v>
                </c:pt>
                <c:pt idx="13">
                  <c:v>9597.6383336380095</c:v>
                </c:pt>
                <c:pt idx="14">
                  <c:v>10444.021319981686</c:v>
                </c:pt>
              </c:numCache>
            </c:numRef>
          </c:yVal>
          <c:smooth val="1"/>
          <c:extLst>
            <c:ext xmlns:c16="http://schemas.microsoft.com/office/drawing/2014/chart" uri="{C3380CC4-5D6E-409C-BE32-E72D297353CC}">
              <c16:uniqueId val="{00000000-93D1-4541-9CF7-82848349B554}"/>
            </c:ext>
          </c:extLst>
        </c:ser>
        <c:ser>
          <c:idx val="1"/>
          <c:order val="1"/>
          <c:tx>
            <c:v>rough hull</c:v>
          </c:tx>
          <c:spPr>
            <a:ln w="19080">
              <a:solidFill>
                <a:srgbClr val="8784C7"/>
              </a:solidFill>
              <a:round/>
            </a:ln>
          </c:spP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9080">
                      <a:solidFill>
                        <a:srgbClr val="000000"/>
                      </a:solidFill>
                    </a:ln>
                  </c:spPr>
                </c15:leaderLines>
              </c:ext>
            </c:extLst>
          </c:dLbls>
          <c:xVal>
            <c:numRef>
              <c:f>EPM!$C$233:$C$248</c:f>
              <c:numCache>
                <c:formatCode>General</c:formatCode>
                <c:ptCount val="16"/>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formatCode="0.00">
                  <c:v>661.7951067077214</c:v>
                </c:pt>
                <c:pt idx="15">
                  <c:v>720</c:v>
                </c:pt>
              </c:numCache>
            </c:numRef>
          </c:xVal>
          <c:yVal>
            <c:numRef>
              <c:f>EPM!$I$233:$I$248</c:f>
              <c:numCache>
                <c:formatCode>0.00</c:formatCode>
                <c:ptCount val="16"/>
                <c:pt idx="0">
                  <c:v>4.825087519209065</c:v>
                </c:pt>
                <c:pt idx="1">
                  <c:v>38.60070015367252</c:v>
                </c:pt>
                <c:pt idx="2">
                  <c:v>130.27736301864473</c:v>
                </c:pt>
                <c:pt idx="3">
                  <c:v>308.80560122938016</c:v>
                </c:pt>
                <c:pt idx="4">
                  <c:v>603.13593990113327</c:v>
                </c:pt>
                <c:pt idx="5">
                  <c:v>1042.2189041491579</c:v>
                </c:pt>
                <c:pt idx="6">
                  <c:v>1655.0050190887084</c:v>
                </c:pt>
                <c:pt idx="7">
                  <c:v>2470.4448098350413</c:v>
                </c:pt>
                <c:pt idx="8">
                  <c:v>3517.488801503408</c:v>
                </c:pt>
                <c:pt idx="9">
                  <c:v>4825.0875192090662</c:v>
                </c:pt>
                <c:pt idx="10">
                  <c:v>6422.191488067263</c:v>
                </c:pt>
                <c:pt idx="11">
                  <c:v>8337.751233193263</c:v>
                </c:pt>
                <c:pt idx="12">
                  <c:v>10600.717279702316</c:v>
                </c:pt>
                <c:pt idx="13">
                  <c:v>13240.040152709667</c:v>
                </c:pt>
                <c:pt idx="14">
                  <c:v>11188.34467799585</c:v>
                </c:pt>
                <c:pt idx="15">
                  <c:v>14407.634130957957</c:v>
                </c:pt>
              </c:numCache>
            </c:numRef>
          </c:yVal>
          <c:smooth val="1"/>
          <c:extLst>
            <c:ext xmlns:c16="http://schemas.microsoft.com/office/drawing/2014/chart" uri="{C3380CC4-5D6E-409C-BE32-E72D297353CC}">
              <c16:uniqueId val="{00000001-93D1-4541-9CF7-82848349B554}"/>
            </c:ext>
          </c:extLst>
        </c:ser>
        <c:dLbls>
          <c:showLegendKey val="0"/>
          <c:showVal val="0"/>
          <c:showCatName val="0"/>
          <c:showSerName val="0"/>
          <c:showPercent val="0"/>
          <c:showBubbleSize val="0"/>
        </c:dLbls>
        <c:axId val="91866711"/>
        <c:axId val="20339285"/>
      </c:scatterChart>
      <c:valAx>
        <c:axId val="91866711"/>
        <c:scaling>
          <c:orientation val="minMax"/>
        </c:scaling>
        <c:delete val="0"/>
        <c:axPos val="b"/>
        <c:numFmt formatCode="General" sourceLinked="0"/>
        <c:majorTickMark val="out"/>
        <c:minorTickMark val="none"/>
        <c:tickLblPos val="nextTo"/>
        <c:spPr>
          <a:ln w="6480">
            <a:solidFill>
              <a:srgbClr val="8B8B8B"/>
            </a:solidFill>
            <a:round/>
          </a:ln>
        </c:spPr>
        <c:txPr>
          <a:bodyPr/>
          <a:lstStyle/>
          <a:p>
            <a:pPr>
              <a:defRPr lang="en-US" sz="1000" b="0" u="none" strike="noStrike">
                <a:solidFill>
                  <a:srgbClr val="000000"/>
                </a:solidFill>
                <a:uFillTx/>
                <a:latin typeface="Calibri"/>
              </a:defRPr>
            </a:pPr>
            <a:endParaRPr lang="en-US"/>
          </a:p>
        </c:txPr>
        <c:crossAx val="20339285"/>
        <c:crosses val="autoZero"/>
        <c:crossBetween val="midCat"/>
      </c:valAx>
      <c:valAx>
        <c:axId val="20339285"/>
        <c:scaling>
          <c:orientation val="minMax"/>
        </c:scaling>
        <c:delete val="0"/>
        <c:axPos val="l"/>
        <c:majorGridlines>
          <c:spPr>
            <a:ln w="6480">
              <a:solidFill>
                <a:srgbClr val="8B8B8B"/>
              </a:solidFill>
              <a:round/>
            </a:ln>
          </c:spPr>
        </c:majorGridlines>
        <c:numFmt formatCode="0.00" sourceLinked="0"/>
        <c:majorTickMark val="out"/>
        <c:minorTickMark val="none"/>
        <c:tickLblPos val="nextTo"/>
        <c:spPr>
          <a:ln w="6480">
            <a:solidFill>
              <a:srgbClr val="8B8B8B"/>
            </a:solidFill>
            <a:round/>
          </a:ln>
        </c:spPr>
        <c:txPr>
          <a:bodyPr/>
          <a:lstStyle/>
          <a:p>
            <a:pPr>
              <a:defRPr lang="en-US" sz="1000" b="0" u="none" strike="noStrike">
                <a:solidFill>
                  <a:srgbClr val="000000"/>
                </a:solidFill>
                <a:uFillTx/>
                <a:latin typeface="Calibri"/>
              </a:defRPr>
            </a:pPr>
            <a:endParaRPr lang="en-US"/>
          </a:p>
        </c:txPr>
        <c:crossAx val="91866711"/>
        <c:crosses val="autoZero"/>
        <c:crossBetween val="midCat"/>
      </c:valAx>
      <c:spPr>
        <a:solidFill>
          <a:srgbClr val="FFFFFF"/>
        </a:solidFill>
        <a:ln w="0">
          <a:noFill/>
        </a:ln>
      </c:spPr>
    </c:plotArea>
    <c:legend>
      <c:legendPos val="r"/>
      <c:overlay val="0"/>
      <c:spPr>
        <a:noFill/>
        <a:ln w="0">
          <a:noFill/>
        </a:ln>
      </c:spPr>
      <c:txPr>
        <a:bodyPr/>
        <a:lstStyle/>
        <a:p>
          <a:pPr>
            <a:defRPr lang="en-US"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0.21446920365613201"/>
          <c:y val="0.181299885974914"/>
          <c:w val="0.54585100663122099"/>
          <c:h val="0.59934435575826694"/>
        </c:manualLayout>
      </c:layout>
      <c:scatterChart>
        <c:scatterStyle val="lineMarker"/>
        <c:varyColors val="0"/>
        <c:ser>
          <c:idx val="0"/>
          <c:order val="0"/>
          <c:tx>
            <c:v>clean hull</c:v>
          </c:tx>
          <c:spPr>
            <a:ln w="19080">
              <a:solidFill>
                <a:srgbClr val="AD84C6"/>
              </a:solidFill>
              <a:round/>
            </a:ln>
          </c:spP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9080">
                      <a:solidFill>
                        <a:srgbClr val="000000"/>
                      </a:solidFill>
                    </a:ln>
                  </c:spPr>
                </c15:leaderLines>
              </c:ext>
            </c:extLst>
          </c:dLbls>
          <c:xVal>
            <c:numRef>
              <c:f>EPM!$J$209:$J$223</c:f>
              <c:numCache>
                <c:formatCode>0.00</c:formatCode>
                <c:ptCount val="15"/>
                <c:pt idx="0">
                  <c:v>6.9444444444444438</c:v>
                </c:pt>
                <c:pt idx="1">
                  <c:v>13.888888888888888</c:v>
                </c:pt>
                <c:pt idx="2">
                  <c:v>20.833333333333336</c:v>
                </c:pt>
                <c:pt idx="3">
                  <c:v>27.777777777777775</c:v>
                </c:pt>
                <c:pt idx="4">
                  <c:v>34.722222222222221</c:v>
                </c:pt>
                <c:pt idx="5">
                  <c:v>41.666666666666671</c:v>
                </c:pt>
                <c:pt idx="6">
                  <c:v>48.611111111111114</c:v>
                </c:pt>
                <c:pt idx="7">
                  <c:v>55.55555555555555</c:v>
                </c:pt>
                <c:pt idx="8">
                  <c:v>62.5</c:v>
                </c:pt>
                <c:pt idx="9">
                  <c:v>69.444444444444443</c:v>
                </c:pt>
                <c:pt idx="10">
                  <c:v>76.388888888888886</c:v>
                </c:pt>
                <c:pt idx="11">
                  <c:v>83.333333333333343</c:v>
                </c:pt>
                <c:pt idx="12">
                  <c:v>90.277777777777786</c:v>
                </c:pt>
                <c:pt idx="13">
                  <c:v>97.222222222222229</c:v>
                </c:pt>
                <c:pt idx="14">
                  <c:v>100</c:v>
                </c:pt>
              </c:numCache>
            </c:numRef>
          </c:xVal>
          <c:yVal>
            <c:numRef>
              <c:f>EPM!$I$209:$I$223</c:f>
              <c:numCache>
                <c:formatCode>0.00</c:formatCode>
                <c:ptCount val="15"/>
                <c:pt idx="0">
                  <c:v>3.4976816084686599</c:v>
                </c:pt>
                <c:pt idx="1">
                  <c:v>27.98145286774928</c:v>
                </c:pt>
                <c:pt idx="2">
                  <c:v>94.437403428653838</c:v>
                </c:pt>
                <c:pt idx="3">
                  <c:v>223.85162294199424</c:v>
                </c:pt>
                <c:pt idx="4">
                  <c:v>437.21020105858264</c:v>
                </c:pt>
                <c:pt idx="5">
                  <c:v>755.4992274292307</c:v>
                </c:pt>
                <c:pt idx="6">
                  <c:v>1199.7047917047512</c:v>
                </c:pt>
                <c:pt idx="7">
                  <c:v>1790.8129835359539</c:v>
                </c:pt>
                <c:pt idx="8">
                  <c:v>2549.8098925736535</c:v>
                </c:pt>
                <c:pt idx="9">
                  <c:v>3497.6816084686611</c:v>
                </c:pt>
                <c:pt idx="10">
                  <c:v>4655.4142208717858</c:v>
                </c:pt>
                <c:pt idx="11">
                  <c:v>6043.9938194338456</c:v>
                </c:pt>
                <c:pt idx="12">
                  <c:v>7684.4064938056472</c:v>
                </c:pt>
                <c:pt idx="13">
                  <c:v>9597.6383336380095</c:v>
                </c:pt>
                <c:pt idx="14">
                  <c:v>10444.021319981686</c:v>
                </c:pt>
              </c:numCache>
            </c:numRef>
          </c:yVal>
          <c:smooth val="1"/>
          <c:extLst>
            <c:ext xmlns:c16="http://schemas.microsoft.com/office/drawing/2014/chart" uri="{C3380CC4-5D6E-409C-BE32-E72D297353CC}">
              <c16:uniqueId val="{00000000-20DB-43A8-A26E-97A272A146F7}"/>
            </c:ext>
          </c:extLst>
        </c:ser>
        <c:ser>
          <c:idx val="1"/>
          <c:order val="1"/>
          <c:tx>
            <c:v>rough hull</c:v>
          </c:tx>
          <c:spPr>
            <a:ln w="19080">
              <a:solidFill>
                <a:srgbClr val="8784C7"/>
              </a:solidFill>
              <a:round/>
            </a:ln>
          </c:spP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9080">
                      <a:solidFill>
                        <a:srgbClr val="000000"/>
                      </a:solidFill>
                    </a:ln>
                  </c:spPr>
                </c15:leaderLines>
              </c:ext>
            </c:extLst>
          </c:dLbls>
          <c:xVal>
            <c:numRef>
              <c:f>EPM!$J$233:$J$248</c:f>
              <c:numCache>
                <c:formatCode>0.00</c:formatCode>
                <c:ptCount val="16"/>
                <c:pt idx="0">
                  <c:v>6.9444444444444446</c:v>
                </c:pt>
                <c:pt idx="1">
                  <c:v>13.888888888888889</c:v>
                </c:pt>
                <c:pt idx="2">
                  <c:v>20.833333333333336</c:v>
                </c:pt>
                <c:pt idx="3">
                  <c:v>27.777777777777779</c:v>
                </c:pt>
                <c:pt idx="4">
                  <c:v>34.722222222222229</c:v>
                </c:pt>
                <c:pt idx="5">
                  <c:v>41.666666666666671</c:v>
                </c:pt>
                <c:pt idx="6">
                  <c:v>48.611111111111107</c:v>
                </c:pt>
                <c:pt idx="7">
                  <c:v>55.555555555555557</c:v>
                </c:pt>
                <c:pt idx="8">
                  <c:v>62.5</c:v>
                </c:pt>
                <c:pt idx="9">
                  <c:v>69.444444444444457</c:v>
                </c:pt>
                <c:pt idx="10">
                  <c:v>76.388888888888886</c:v>
                </c:pt>
                <c:pt idx="11">
                  <c:v>83.333333333333343</c:v>
                </c:pt>
                <c:pt idx="12">
                  <c:v>90.277777777777786</c:v>
                </c:pt>
                <c:pt idx="13">
                  <c:v>97.222222222222214</c:v>
                </c:pt>
                <c:pt idx="14">
                  <c:v>91.915987042739076</c:v>
                </c:pt>
                <c:pt idx="15">
                  <c:v>100</c:v>
                </c:pt>
              </c:numCache>
            </c:numRef>
          </c:xVal>
          <c:yVal>
            <c:numRef>
              <c:f>EPM!$I$233:$I$248</c:f>
              <c:numCache>
                <c:formatCode>0.00</c:formatCode>
                <c:ptCount val="16"/>
                <c:pt idx="0">
                  <c:v>4.825087519209065</c:v>
                </c:pt>
                <c:pt idx="1">
                  <c:v>38.60070015367252</c:v>
                </c:pt>
                <c:pt idx="2">
                  <c:v>130.27736301864473</c:v>
                </c:pt>
                <c:pt idx="3">
                  <c:v>308.80560122938016</c:v>
                </c:pt>
                <c:pt idx="4">
                  <c:v>603.13593990113327</c:v>
                </c:pt>
                <c:pt idx="5">
                  <c:v>1042.2189041491579</c:v>
                </c:pt>
                <c:pt idx="6">
                  <c:v>1655.0050190887084</c:v>
                </c:pt>
                <c:pt idx="7">
                  <c:v>2470.4448098350413</c:v>
                </c:pt>
                <c:pt idx="8">
                  <c:v>3517.488801503408</c:v>
                </c:pt>
                <c:pt idx="9">
                  <c:v>4825.0875192090662</c:v>
                </c:pt>
                <c:pt idx="10">
                  <c:v>6422.191488067263</c:v>
                </c:pt>
                <c:pt idx="11">
                  <c:v>8337.751233193263</c:v>
                </c:pt>
                <c:pt idx="12">
                  <c:v>10600.717279702316</c:v>
                </c:pt>
                <c:pt idx="13">
                  <c:v>13240.040152709667</c:v>
                </c:pt>
                <c:pt idx="14">
                  <c:v>11188.34467799585</c:v>
                </c:pt>
                <c:pt idx="15">
                  <c:v>14407.634130957957</c:v>
                </c:pt>
              </c:numCache>
            </c:numRef>
          </c:yVal>
          <c:smooth val="1"/>
          <c:extLst>
            <c:ext xmlns:c16="http://schemas.microsoft.com/office/drawing/2014/chart" uri="{C3380CC4-5D6E-409C-BE32-E72D297353CC}">
              <c16:uniqueId val="{00000001-20DB-43A8-A26E-97A272A146F7}"/>
            </c:ext>
          </c:extLst>
        </c:ser>
        <c:dLbls>
          <c:showLegendKey val="0"/>
          <c:showVal val="0"/>
          <c:showCatName val="0"/>
          <c:showSerName val="0"/>
          <c:showPercent val="0"/>
          <c:showBubbleSize val="0"/>
        </c:dLbls>
        <c:axId val="77656111"/>
        <c:axId val="25636986"/>
      </c:scatterChart>
      <c:valAx>
        <c:axId val="77656111"/>
        <c:scaling>
          <c:orientation val="minMax"/>
        </c:scaling>
        <c:delete val="0"/>
        <c:axPos val="b"/>
        <c:numFmt formatCode="0.00" sourceLinked="0"/>
        <c:majorTickMark val="out"/>
        <c:minorTickMark val="none"/>
        <c:tickLblPos val="nextTo"/>
        <c:spPr>
          <a:ln w="6480">
            <a:solidFill>
              <a:srgbClr val="8B8B8B"/>
            </a:solidFill>
            <a:round/>
          </a:ln>
        </c:spPr>
        <c:txPr>
          <a:bodyPr/>
          <a:lstStyle/>
          <a:p>
            <a:pPr>
              <a:defRPr lang="en-US" sz="1000" b="0" u="none" strike="noStrike">
                <a:solidFill>
                  <a:srgbClr val="000000"/>
                </a:solidFill>
                <a:uFillTx/>
                <a:latin typeface="Calibri"/>
              </a:defRPr>
            </a:pPr>
            <a:endParaRPr lang="en-US"/>
          </a:p>
        </c:txPr>
        <c:crossAx val="25636986"/>
        <c:crosses val="autoZero"/>
        <c:crossBetween val="midCat"/>
      </c:valAx>
      <c:valAx>
        <c:axId val="25636986"/>
        <c:scaling>
          <c:orientation val="minMax"/>
        </c:scaling>
        <c:delete val="0"/>
        <c:axPos val="l"/>
        <c:majorGridlines>
          <c:spPr>
            <a:ln w="6480">
              <a:solidFill>
                <a:srgbClr val="8B8B8B"/>
              </a:solidFill>
              <a:round/>
            </a:ln>
          </c:spPr>
        </c:majorGridlines>
        <c:numFmt formatCode="0.00" sourceLinked="0"/>
        <c:majorTickMark val="out"/>
        <c:minorTickMark val="none"/>
        <c:tickLblPos val="nextTo"/>
        <c:spPr>
          <a:ln w="6480">
            <a:solidFill>
              <a:srgbClr val="8B8B8B"/>
            </a:solidFill>
            <a:round/>
          </a:ln>
        </c:spPr>
        <c:txPr>
          <a:bodyPr/>
          <a:lstStyle/>
          <a:p>
            <a:pPr>
              <a:defRPr lang="en-US" sz="1000" b="0" u="none" strike="noStrike">
                <a:solidFill>
                  <a:srgbClr val="000000"/>
                </a:solidFill>
                <a:uFillTx/>
                <a:latin typeface="Calibri"/>
              </a:defRPr>
            </a:pPr>
            <a:endParaRPr lang="en-US"/>
          </a:p>
        </c:txPr>
        <c:crossAx val="77656111"/>
        <c:crosses val="autoZero"/>
        <c:crossBetween val="midCat"/>
      </c:valAx>
      <c:spPr>
        <a:solidFill>
          <a:srgbClr val="FFFFFF"/>
        </a:solidFill>
        <a:ln w="0">
          <a:noFill/>
        </a:ln>
      </c:spPr>
    </c:plotArea>
    <c:legend>
      <c:legendPos val="r"/>
      <c:overlay val="0"/>
      <c:spPr>
        <a:noFill/>
        <a:ln w="0">
          <a:noFill/>
        </a:ln>
      </c:spPr>
      <c:txPr>
        <a:bodyPr/>
        <a:lstStyle/>
        <a:p>
          <a:pPr>
            <a:defRPr lang="en-US"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clustered"/>
        <c:varyColors val="0"/>
        <c:ser>
          <c:idx val="0"/>
          <c:order val="0"/>
          <c:tx>
            <c:strRef>
              <c:f>HAHAHU!$B$275</c:f>
              <c:strCache>
                <c:ptCount val="1"/>
                <c:pt idx="0">
                  <c:v>PFE Perhitungan</c:v>
                </c:pt>
              </c:strCache>
            </c:strRef>
          </c:tx>
          <c:spPr>
            <a:solidFill>
              <a:srgbClr val="6997AF"/>
            </a:solidFill>
            <a:ln w="12600">
              <a:noFill/>
            </a:ln>
          </c:spPr>
          <c:invertIfNegative val="0"/>
          <c:dLbls>
            <c:spPr>
              <a:noFill/>
              <a:ln>
                <a:noFill/>
              </a:ln>
              <a:effectLst/>
            </c:spPr>
            <c:txPr>
              <a:bodyPr wrap="square"/>
              <a:lstStyle/>
              <a:p>
                <a:pPr>
                  <a:defRPr sz="1100" b="0" u="none" strike="noStrike">
                    <a:solidFill>
                      <a:srgbClr val="000000"/>
                    </a:solidFill>
                    <a:uFillTx/>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HAHAHU!$A$276:$A$287</c:f>
              <c:strCache>
                <c:ptCount val="12"/>
                <c:pt idx="0">
                  <c:v>Mess Room</c:v>
                </c:pt>
                <c:pt idx="1">
                  <c:v>Galley</c:v>
                </c:pt>
                <c:pt idx="2">
                  <c:v>Musholla</c:v>
                </c:pt>
                <c:pt idx="3">
                  <c:v>Library</c:v>
                </c:pt>
                <c:pt idx="4">
                  <c:v>Tally Office</c:v>
                </c:pt>
                <c:pt idx="5">
                  <c:v>Chief Cook</c:v>
                </c:pt>
                <c:pt idx="6">
                  <c:v>Boatswain</c:v>
                </c:pt>
                <c:pt idx="7">
                  <c:v>Oiler</c:v>
                </c:pt>
                <c:pt idx="8">
                  <c:v>Fireman </c:v>
                </c:pt>
                <c:pt idx="9">
                  <c:v>Pumpman</c:v>
                </c:pt>
                <c:pt idx="10">
                  <c:v>Asistant Cook</c:v>
                </c:pt>
                <c:pt idx="11">
                  <c:v>Boys</c:v>
                </c:pt>
              </c:strCache>
            </c:strRef>
          </c:cat>
          <c:val>
            <c:numRef>
              <c:f>HAHAHU!$B$276:$B$287</c:f>
              <c:numCache>
                <c:formatCode>General</c:formatCode>
                <c:ptCount val="12"/>
                <c:pt idx="0">
                  <c:v>244</c:v>
                </c:pt>
                <c:pt idx="1">
                  <c:v>107</c:v>
                </c:pt>
                <c:pt idx="2">
                  <c:v>183</c:v>
                </c:pt>
                <c:pt idx="3">
                  <c:v>116</c:v>
                </c:pt>
                <c:pt idx="4">
                  <c:v>83.9</c:v>
                </c:pt>
                <c:pt idx="5">
                  <c:v>50.78</c:v>
                </c:pt>
                <c:pt idx="6">
                  <c:v>51.82</c:v>
                </c:pt>
                <c:pt idx="7">
                  <c:v>35.75</c:v>
                </c:pt>
                <c:pt idx="8">
                  <c:v>40.01</c:v>
                </c:pt>
                <c:pt idx="9">
                  <c:v>40.6</c:v>
                </c:pt>
                <c:pt idx="10">
                  <c:v>36.94</c:v>
                </c:pt>
                <c:pt idx="11">
                  <c:v>43.08</c:v>
                </c:pt>
              </c:numCache>
            </c:numRef>
          </c:val>
          <c:extLst>
            <c:ext xmlns:c16="http://schemas.microsoft.com/office/drawing/2014/chart" uri="{C3380CC4-5D6E-409C-BE32-E72D297353CC}">
              <c16:uniqueId val="{00000000-6DA5-4DAB-9B55-925F632C90C0}"/>
            </c:ext>
          </c:extLst>
        </c:ser>
        <c:ser>
          <c:idx val="1"/>
          <c:order val="1"/>
          <c:tx>
            <c:strRef>
              <c:f>HAHAHU!$D$275</c:f>
              <c:strCache>
                <c:ptCount val="1"/>
                <c:pt idx="0">
                  <c:v>Perhitungan</c:v>
                </c:pt>
              </c:strCache>
            </c:strRef>
          </c:tx>
          <c:spPr>
            <a:solidFill>
              <a:srgbClr val="6F8183"/>
            </a:solidFill>
            <a:ln w="12600">
              <a:noFill/>
            </a:ln>
          </c:spPr>
          <c:invertIfNegative val="0"/>
          <c:dLbls>
            <c:spPr>
              <a:noFill/>
              <a:ln>
                <a:noFill/>
              </a:ln>
              <a:effectLst/>
            </c:spPr>
            <c:txPr>
              <a:bodyPr wrap="square"/>
              <a:lstStyle/>
              <a:p>
                <a:pPr>
                  <a:defRPr sz="1100" b="0" u="none" strike="noStrike">
                    <a:solidFill>
                      <a:srgbClr val="000000"/>
                    </a:solidFill>
                    <a:uFillTx/>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HAHAHU!$A$276:$A$287</c:f>
              <c:strCache>
                <c:ptCount val="12"/>
                <c:pt idx="0">
                  <c:v>Mess Room</c:v>
                </c:pt>
                <c:pt idx="1">
                  <c:v>Galley</c:v>
                </c:pt>
                <c:pt idx="2">
                  <c:v>Musholla</c:v>
                </c:pt>
                <c:pt idx="3">
                  <c:v>Library</c:v>
                </c:pt>
                <c:pt idx="4">
                  <c:v>Tally Office</c:v>
                </c:pt>
                <c:pt idx="5">
                  <c:v>Chief Cook</c:v>
                </c:pt>
                <c:pt idx="6">
                  <c:v>Boatswain</c:v>
                </c:pt>
                <c:pt idx="7">
                  <c:v>Oiler</c:v>
                </c:pt>
                <c:pt idx="8">
                  <c:v>Fireman </c:v>
                </c:pt>
                <c:pt idx="9">
                  <c:v>Pumpman</c:v>
                </c:pt>
                <c:pt idx="10">
                  <c:v>Asistant Cook</c:v>
                </c:pt>
                <c:pt idx="11">
                  <c:v>Boys</c:v>
                </c:pt>
              </c:strCache>
            </c:strRef>
          </c:cat>
          <c:val>
            <c:numRef>
              <c:f>HAHAHU!$D$276:$D$287</c:f>
              <c:numCache>
                <c:formatCode>0.000</c:formatCode>
                <c:ptCount val="12"/>
                <c:pt idx="0">
                  <c:v>255.16575201219516</c:v>
                </c:pt>
                <c:pt idx="1">
                  <c:v>105.3694430894309</c:v>
                </c:pt>
                <c:pt idx="2">
                  <c:v>182.14331097560981</c:v>
                </c:pt>
                <c:pt idx="3">
                  <c:v>116.55617073170734</c:v>
                </c:pt>
                <c:pt idx="4">
                  <c:v>86.008380589430914</c:v>
                </c:pt>
                <c:pt idx="5">
                  <c:v>49.423804878048784</c:v>
                </c:pt>
                <c:pt idx="6">
                  <c:v>50.507982215447171</c:v>
                </c:pt>
                <c:pt idx="7">
                  <c:v>35.99615447154472</c:v>
                </c:pt>
                <c:pt idx="8">
                  <c:v>40.591682926829272</c:v>
                </c:pt>
                <c:pt idx="9">
                  <c:v>40.591682926829272</c:v>
                </c:pt>
                <c:pt idx="10">
                  <c:v>35.99615447154472</c:v>
                </c:pt>
                <c:pt idx="11">
                  <c:v>42.584925304878055</c:v>
                </c:pt>
              </c:numCache>
            </c:numRef>
          </c:val>
          <c:extLst>
            <c:ext xmlns:c16="http://schemas.microsoft.com/office/drawing/2014/chart" uri="{C3380CC4-5D6E-409C-BE32-E72D297353CC}">
              <c16:uniqueId val="{00000001-6DA5-4DAB-9B55-925F632C90C0}"/>
            </c:ext>
          </c:extLst>
        </c:ser>
        <c:ser>
          <c:idx val="2"/>
          <c:order val="2"/>
          <c:tx>
            <c:strRef>
              <c:f>HAHAHU!$H$275</c:f>
              <c:strCache>
                <c:ptCount val="1"/>
                <c:pt idx="0">
                  <c:v>PFE Katalog</c:v>
                </c:pt>
              </c:strCache>
            </c:strRef>
          </c:tx>
          <c:spPr>
            <a:solidFill>
              <a:srgbClr val="AD84C6"/>
            </a:solidFill>
            <a:ln w="12600">
              <a:noFill/>
            </a:ln>
          </c:spPr>
          <c:invertIfNegative val="0"/>
          <c:dLbls>
            <c:spPr>
              <a:noFill/>
              <a:ln>
                <a:noFill/>
              </a:ln>
              <a:effectLst/>
            </c:spPr>
            <c:txPr>
              <a:bodyPr wrap="square"/>
              <a:lstStyle/>
              <a:p>
                <a:pPr>
                  <a:defRPr sz="1100" b="0" u="none" strike="noStrike">
                    <a:solidFill>
                      <a:srgbClr val="000000"/>
                    </a:solidFill>
                    <a:uFillTx/>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HAHAHU!$A$276:$A$287</c:f>
              <c:strCache>
                <c:ptCount val="12"/>
                <c:pt idx="0">
                  <c:v>Mess Room</c:v>
                </c:pt>
                <c:pt idx="1">
                  <c:v>Galley</c:v>
                </c:pt>
                <c:pt idx="2">
                  <c:v>Musholla</c:v>
                </c:pt>
                <c:pt idx="3">
                  <c:v>Library</c:v>
                </c:pt>
                <c:pt idx="4">
                  <c:v>Tally Office</c:v>
                </c:pt>
                <c:pt idx="5">
                  <c:v>Chief Cook</c:v>
                </c:pt>
                <c:pt idx="6">
                  <c:v>Boatswain</c:v>
                </c:pt>
                <c:pt idx="7">
                  <c:v>Oiler</c:v>
                </c:pt>
                <c:pt idx="8">
                  <c:v>Fireman </c:v>
                </c:pt>
                <c:pt idx="9">
                  <c:v>Pumpman</c:v>
                </c:pt>
                <c:pt idx="10">
                  <c:v>Asistant Cook</c:v>
                </c:pt>
                <c:pt idx="11">
                  <c:v>Boys</c:v>
                </c:pt>
              </c:strCache>
            </c:strRef>
          </c:cat>
          <c:val>
            <c:numRef>
              <c:f>HAHAHU!$H$276:$H$287</c:f>
              <c:numCache>
                <c:formatCode>General</c:formatCode>
                <c:ptCount val="12"/>
                <c:pt idx="0">
                  <c:v>259</c:v>
                </c:pt>
                <c:pt idx="1">
                  <c:v>111</c:v>
                </c:pt>
                <c:pt idx="2">
                  <c:v>194</c:v>
                </c:pt>
                <c:pt idx="3">
                  <c:v>123</c:v>
                </c:pt>
                <c:pt idx="4">
                  <c:v>89.04</c:v>
                </c:pt>
                <c:pt idx="5">
                  <c:v>53.87</c:v>
                </c:pt>
                <c:pt idx="6">
                  <c:v>55.02</c:v>
                </c:pt>
                <c:pt idx="7">
                  <c:v>37.78</c:v>
                </c:pt>
                <c:pt idx="8">
                  <c:v>42.43</c:v>
                </c:pt>
                <c:pt idx="9">
                  <c:v>43.05</c:v>
                </c:pt>
                <c:pt idx="10">
                  <c:v>38.89</c:v>
                </c:pt>
                <c:pt idx="11">
                  <c:v>45.79</c:v>
                </c:pt>
              </c:numCache>
            </c:numRef>
          </c:val>
          <c:extLst>
            <c:ext xmlns:c16="http://schemas.microsoft.com/office/drawing/2014/chart" uri="{C3380CC4-5D6E-409C-BE32-E72D297353CC}">
              <c16:uniqueId val="{00000002-6DA5-4DAB-9B55-925F632C90C0}"/>
            </c:ext>
          </c:extLst>
        </c:ser>
        <c:ser>
          <c:idx val="3"/>
          <c:order val="3"/>
          <c:tx>
            <c:strRef>
              <c:f>HAHAHU!$J$275</c:f>
              <c:strCache>
                <c:ptCount val="1"/>
                <c:pt idx="0">
                  <c:v>Perhitungan Katalog</c:v>
                </c:pt>
              </c:strCache>
            </c:strRef>
          </c:tx>
          <c:spPr>
            <a:solidFill>
              <a:srgbClr val="5D739A"/>
            </a:solidFill>
            <a:ln w="12600">
              <a:noFill/>
            </a:ln>
          </c:spPr>
          <c:invertIfNegative val="0"/>
          <c:dLbls>
            <c:spPr>
              <a:noFill/>
              <a:ln>
                <a:noFill/>
              </a:ln>
              <a:effectLst/>
            </c:spPr>
            <c:txPr>
              <a:bodyPr wrap="square"/>
              <a:lstStyle/>
              <a:p>
                <a:pPr>
                  <a:defRPr sz="1100" b="0" u="none" strike="noStrike">
                    <a:solidFill>
                      <a:srgbClr val="000000"/>
                    </a:solidFill>
                    <a:uFillTx/>
                    <a:latin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HAHAHU!$A$276:$A$287</c:f>
              <c:strCache>
                <c:ptCount val="12"/>
                <c:pt idx="0">
                  <c:v>Mess Room</c:v>
                </c:pt>
                <c:pt idx="1">
                  <c:v>Galley</c:v>
                </c:pt>
                <c:pt idx="2">
                  <c:v>Musholla</c:v>
                </c:pt>
                <c:pt idx="3">
                  <c:v>Library</c:v>
                </c:pt>
                <c:pt idx="4">
                  <c:v>Tally Office</c:v>
                </c:pt>
                <c:pt idx="5">
                  <c:v>Chief Cook</c:v>
                </c:pt>
                <c:pt idx="6">
                  <c:v>Boatswain</c:v>
                </c:pt>
                <c:pt idx="7">
                  <c:v>Oiler</c:v>
                </c:pt>
                <c:pt idx="8">
                  <c:v>Fireman </c:v>
                </c:pt>
                <c:pt idx="9">
                  <c:v>Pumpman</c:v>
                </c:pt>
                <c:pt idx="10">
                  <c:v>Asistant Cook</c:v>
                </c:pt>
                <c:pt idx="11">
                  <c:v>Boys</c:v>
                </c:pt>
              </c:strCache>
            </c:strRef>
          </c:cat>
          <c:val>
            <c:numRef>
              <c:f>HAHAHU!$J$276:$J$287</c:f>
              <c:numCache>
                <c:formatCode>0.000</c:formatCode>
                <c:ptCount val="12"/>
                <c:pt idx="0">
                  <c:v>269.6443172064586</c:v>
                </c:pt>
                <c:pt idx="1">
                  <c:v>111.34829542060362</c:v>
                </c:pt>
                <c:pt idx="2">
                  <c:v>192.47845110261761</c:v>
                </c:pt>
                <c:pt idx="3">
                  <c:v>123.16977817480992</c:v>
                </c:pt>
                <c:pt idx="4">
                  <c:v>90.888651298948304</c:v>
                </c:pt>
                <c:pt idx="5">
                  <c:v>52.228200747919217</c:v>
                </c:pt>
                <c:pt idx="6">
                  <c:v>53.373896263748208</c:v>
                </c:pt>
                <c:pt idx="7">
                  <c:v>38.038641228286778</c:v>
                </c:pt>
                <c:pt idx="8">
                  <c:v>42.894928260367912</c:v>
                </c:pt>
                <c:pt idx="9">
                  <c:v>42.894928260367912</c:v>
                </c:pt>
                <c:pt idx="10">
                  <c:v>38.038641228286778</c:v>
                </c:pt>
                <c:pt idx="11">
                  <c:v>45.001270807585044</c:v>
                </c:pt>
              </c:numCache>
            </c:numRef>
          </c:val>
          <c:extLst>
            <c:ext xmlns:c16="http://schemas.microsoft.com/office/drawing/2014/chart" uri="{C3380CC4-5D6E-409C-BE32-E72D297353CC}">
              <c16:uniqueId val="{00000003-6DA5-4DAB-9B55-925F632C90C0}"/>
            </c:ext>
          </c:extLst>
        </c:ser>
        <c:dLbls>
          <c:showLegendKey val="0"/>
          <c:showVal val="0"/>
          <c:showCatName val="0"/>
          <c:showSerName val="0"/>
          <c:showPercent val="0"/>
          <c:showBubbleSize val="0"/>
        </c:dLbls>
        <c:gapWidth val="150"/>
        <c:axId val="24473993"/>
        <c:axId val="17169173"/>
      </c:barChart>
      <c:catAx>
        <c:axId val="24473993"/>
        <c:scaling>
          <c:orientation val="minMax"/>
        </c:scaling>
        <c:delete val="0"/>
        <c:axPos val="l"/>
        <c:numFmt formatCode="General" sourceLinked="0"/>
        <c:majorTickMark val="none"/>
        <c:minorTickMark val="none"/>
        <c:tickLblPos val="nextTo"/>
        <c:spPr>
          <a:ln w="9360">
            <a:solidFill>
              <a:schemeClr val="dk1">
                <a:lumMod val="15000"/>
                <a:lumOff val="85000"/>
              </a:schemeClr>
            </a:solidFill>
            <a:round/>
          </a:ln>
        </c:spPr>
        <c:txPr>
          <a:bodyPr/>
          <a:lstStyle/>
          <a:p>
            <a:pPr>
              <a:defRPr sz="1100" b="0" u="none" strike="noStrike">
                <a:solidFill>
                  <a:srgbClr val="000000"/>
                </a:solidFill>
                <a:uFillTx/>
                <a:latin typeface="Calibri"/>
              </a:defRPr>
            </a:pPr>
            <a:endParaRPr lang="en-US"/>
          </a:p>
        </c:txPr>
        <c:crossAx val="17169173"/>
        <c:crosses val="autoZero"/>
        <c:auto val="1"/>
        <c:lblAlgn val="ctr"/>
        <c:lblOffset val="100"/>
        <c:noMultiLvlLbl val="0"/>
      </c:catAx>
      <c:valAx>
        <c:axId val="17169173"/>
        <c:scaling>
          <c:orientation val="minMax"/>
        </c:scaling>
        <c:delete val="0"/>
        <c:axPos val="b"/>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1100" b="0" u="none" strike="noStrike">
                <a:solidFill>
                  <a:srgbClr val="000000"/>
                </a:solidFill>
                <a:uFillTx/>
                <a:latin typeface="Calibri"/>
              </a:defRPr>
            </a:pPr>
            <a:endParaRPr lang="en-US"/>
          </a:p>
        </c:txPr>
        <c:crossAx val="24473993"/>
        <c:crosses val="autoZero"/>
        <c:crossBetween val="between"/>
      </c:valAx>
      <c:dTable>
        <c:showHorzBorder val="1"/>
        <c:showVertBorder val="1"/>
        <c:showOutline val="1"/>
        <c:showKeys val="1"/>
        <c:spPr>
          <a:noFill/>
          <a:ln w="9360">
            <a:solidFill>
              <a:schemeClr val="dk1">
                <a:lumMod val="15000"/>
                <a:lumOff val="85000"/>
              </a:schemeClr>
            </a:solidFill>
            <a:round/>
          </a:ln>
        </c:spPr>
        <c:txPr>
          <a:bodyPr/>
          <a:lstStyle/>
          <a:p>
            <a:pPr>
              <a:defRPr sz="1100" b="0" u="none" strike="noStrike">
                <a:solidFill>
                  <a:srgbClr val="000000"/>
                </a:solidFill>
                <a:uFillTx/>
                <a:latin typeface="Calibri"/>
              </a:defRPr>
            </a:pPr>
            <a:endParaRPr lang="en-US"/>
          </a:p>
        </c:txPr>
      </c:dTable>
      <c:spPr>
        <a:noFill/>
        <a:ln w="0">
          <a:noFill/>
        </a:ln>
      </c:spPr>
    </c:plotArea>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view3D>
      <c:rotX val="15"/>
      <c:rotY val="20"/>
      <c:rAngAx val="1"/>
    </c:view3D>
    <c:floor>
      <c:thickness val="0"/>
      <c:spPr>
        <a:noFill/>
        <a:ln w="6480">
          <a:noFill/>
        </a:ln>
      </c:spPr>
    </c:floor>
    <c:sideWall>
      <c:thickness val="0"/>
      <c:spPr>
        <a:noFill/>
        <a:ln w="6480">
          <a:noFill/>
        </a:ln>
      </c:spPr>
    </c:sideWall>
    <c:backWall>
      <c:thickness val="0"/>
      <c:spPr>
        <a:noFill/>
        <a:ln w="6480">
          <a:noFill/>
        </a:ln>
      </c:spPr>
    </c:backWall>
    <c:plotArea>
      <c:layout/>
      <c:bar3DChart>
        <c:barDir val="col"/>
        <c:grouping val="clustered"/>
        <c:varyColors val="0"/>
        <c:ser>
          <c:idx val="0"/>
          <c:order val="0"/>
          <c:tx>
            <c:strRef>
              <c:f>HAHAHU!$B$289</c:f>
              <c:strCache>
                <c:ptCount val="1"/>
                <c:pt idx="0">
                  <c:v>Error %</c:v>
                </c:pt>
              </c:strCache>
            </c:strRef>
          </c:tx>
          <c:spPr>
            <a:solidFill>
              <a:srgbClr val="AD84C6"/>
            </a:solidFill>
            <a:ln w="12600">
              <a:noFill/>
            </a:ln>
          </c:spPr>
          <c:invertIfNegative val="0"/>
          <c:dLbls>
            <c:spPr>
              <a:noFill/>
              <a:ln>
                <a:noFill/>
              </a:ln>
              <a:effectLst/>
            </c:spPr>
            <c:txPr>
              <a:bodyPr wrap="square"/>
              <a:lstStyle/>
              <a:p>
                <a:pPr>
                  <a:defRPr sz="1200" b="0" u="none" strike="noStrike">
                    <a:solidFill>
                      <a:srgbClr val="000000"/>
                    </a:solidFill>
                    <a:uFillTx/>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HAHAHU!$A$291:$A$302</c:f>
              <c:strCache>
                <c:ptCount val="12"/>
                <c:pt idx="0">
                  <c:v>Mess Room</c:v>
                </c:pt>
                <c:pt idx="1">
                  <c:v>Galley</c:v>
                </c:pt>
                <c:pt idx="2">
                  <c:v>Musholla</c:v>
                </c:pt>
                <c:pt idx="3">
                  <c:v>Library</c:v>
                </c:pt>
                <c:pt idx="4">
                  <c:v>Tally Office</c:v>
                </c:pt>
                <c:pt idx="5">
                  <c:v>Chief Cook</c:v>
                </c:pt>
                <c:pt idx="6">
                  <c:v>Boatswain</c:v>
                </c:pt>
                <c:pt idx="7">
                  <c:v>Oiler</c:v>
                </c:pt>
                <c:pt idx="8">
                  <c:v>Fireman </c:v>
                </c:pt>
                <c:pt idx="9">
                  <c:v>Pumpman</c:v>
                </c:pt>
                <c:pt idx="10">
                  <c:v>Asistant Cook</c:v>
                </c:pt>
                <c:pt idx="11">
                  <c:v>Boys</c:v>
                </c:pt>
              </c:strCache>
            </c:strRef>
          </c:cat>
          <c:val>
            <c:numRef>
              <c:f>HAHAHU!$B$291:$B$302</c:f>
              <c:numCache>
                <c:formatCode>0.0%</c:formatCode>
                <c:ptCount val="12"/>
                <c:pt idx="0">
                  <c:v>-4.3758819215133193E-2</c:v>
                </c:pt>
                <c:pt idx="1">
                  <c:v>1.5474665735731226E-2</c:v>
                </c:pt>
                <c:pt idx="2">
                  <c:v>4.7033790030582496E-3</c:v>
                </c:pt>
                <c:pt idx="3">
                  <c:v>-4.7716970128295578E-3</c:v>
                </c:pt>
                <c:pt idx="4">
                  <c:v>-2.4513664540383114E-2</c:v>
                </c:pt>
                <c:pt idx="5">
                  <c:v>2.7440119701378166E-2</c:v>
                </c:pt>
                <c:pt idx="6">
                  <c:v>2.597644425699442E-2</c:v>
                </c:pt>
                <c:pt idx="7">
                  <c:v>-6.8383546842290515E-3</c:v>
                </c:pt>
                <c:pt idx="8">
                  <c:v>-1.4330101264286518E-2</c:v>
                </c:pt>
                <c:pt idx="9">
                  <c:v>2.0489599275108194E-4</c:v>
                </c:pt>
                <c:pt idx="10">
                  <c:v>2.6220732250757387E-2</c:v>
                </c:pt>
                <c:pt idx="11">
                  <c:v>1.1625585616918592E-2</c:v>
                </c:pt>
              </c:numCache>
            </c:numRef>
          </c:val>
          <c:extLst>
            <c:ext xmlns:c16="http://schemas.microsoft.com/office/drawing/2014/chart" uri="{C3380CC4-5D6E-409C-BE32-E72D297353CC}">
              <c16:uniqueId val="{00000000-87F6-437D-8A0D-D91763B0FEF5}"/>
            </c:ext>
          </c:extLst>
        </c:ser>
        <c:ser>
          <c:idx val="1"/>
          <c:order val="1"/>
          <c:tx>
            <c:strRef>
              <c:f>HAHAHU!$C$289</c:f>
              <c:strCache>
                <c:ptCount val="1"/>
                <c:pt idx="0">
                  <c:v>Catalogue Error %</c:v>
                </c:pt>
              </c:strCache>
            </c:strRef>
          </c:tx>
          <c:spPr>
            <a:solidFill>
              <a:srgbClr val="8784C7"/>
            </a:solidFill>
            <a:ln w="12600">
              <a:noFill/>
            </a:ln>
          </c:spPr>
          <c:invertIfNegative val="0"/>
          <c:dLbls>
            <c:spPr>
              <a:noFill/>
              <a:ln>
                <a:noFill/>
              </a:ln>
              <a:effectLst/>
            </c:spPr>
            <c:txPr>
              <a:bodyPr wrap="square"/>
              <a:lstStyle/>
              <a:p>
                <a:pPr>
                  <a:defRPr sz="1200" b="0" u="none" strike="noStrike">
                    <a:solidFill>
                      <a:srgbClr val="000000"/>
                    </a:solidFill>
                    <a:uFillTx/>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HAHAHU!$A$291:$A$302</c:f>
              <c:strCache>
                <c:ptCount val="12"/>
                <c:pt idx="0">
                  <c:v>Mess Room</c:v>
                </c:pt>
                <c:pt idx="1">
                  <c:v>Galley</c:v>
                </c:pt>
                <c:pt idx="2">
                  <c:v>Musholla</c:v>
                </c:pt>
                <c:pt idx="3">
                  <c:v>Library</c:v>
                </c:pt>
                <c:pt idx="4">
                  <c:v>Tally Office</c:v>
                </c:pt>
                <c:pt idx="5">
                  <c:v>Chief Cook</c:v>
                </c:pt>
                <c:pt idx="6">
                  <c:v>Boatswain</c:v>
                </c:pt>
                <c:pt idx="7">
                  <c:v>Oiler</c:v>
                </c:pt>
                <c:pt idx="8">
                  <c:v>Fireman </c:v>
                </c:pt>
                <c:pt idx="9">
                  <c:v>Pumpman</c:v>
                </c:pt>
                <c:pt idx="10">
                  <c:v>Asistant Cook</c:v>
                </c:pt>
                <c:pt idx="11">
                  <c:v>Boys</c:v>
                </c:pt>
              </c:strCache>
            </c:strRef>
          </c:cat>
          <c:val>
            <c:numRef>
              <c:f>HAHAHU!$C$291:$C$302</c:f>
              <c:numCache>
                <c:formatCode>0.0%</c:formatCode>
                <c:ptCount val="12"/>
                <c:pt idx="0">
                  <c:v>-3.9475399729298061E-2</c:v>
                </c:pt>
                <c:pt idx="1">
                  <c:v>-3.1279816120038419E-3</c:v>
                </c:pt>
                <c:pt idx="2">
                  <c:v>7.9050350242645725E-3</c:v>
                </c:pt>
                <c:pt idx="3">
                  <c:v>-1.3784077338270509E-3</c:v>
                </c:pt>
                <c:pt idx="4">
                  <c:v>-2.033973738775997E-2</c:v>
                </c:pt>
                <c:pt idx="5">
                  <c:v>3.1435110315305846E-2</c:v>
                </c:pt>
                <c:pt idx="6">
                  <c:v>3.0840988788181027E-2</c:v>
                </c:pt>
                <c:pt idx="7">
                  <c:v>-6.7994339423050384E-3</c:v>
                </c:pt>
                <c:pt idx="8">
                  <c:v>-1.0838769971728234E-2</c:v>
                </c:pt>
                <c:pt idx="9">
                  <c:v>3.6151532575323347E-3</c:v>
                </c:pt>
                <c:pt idx="10">
                  <c:v>2.2381419110210601E-2</c:v>
                </c:pt>
                <c:pt idx="11">
                  <c:v>1.7526820426635895E-2</c:v>
                </c:pt>
              </c:numCache>
            </c:numRef>
          </c:val>
          <c:extLst>
            <c:ext xmlns:c16="http://schemas.microsoft.com/office/drawing/2014/chart" uri="{C3380CC4-5D6E-409C-BE32-E72D297353CC}">
              <c16:uniqueId val="{00000001-87F6-437D-8A0D-D91763B0FEF5}"/>
            </c:ext>
          </c:extLst>
        </c:ser>
        <c:dLbls>
          <c:showLegendKey val="0"/>
          <c:showVal val="0"/>
          <c:showCatName val="0"/>
          <c:showSerName val="0"/>
          <c:showPercent val="0"/>
          <c:showBubbleSize val="0"/>
        </c:dLbls>
        <c:gapWidth val="150"/>
        <c:shape val="box"/>
        <c:axId val="89598404"/>
        <c:axId val="95401957"/>
        <c:axId val="0"/>
      </c:bar3DChart>
      <c:catAx>
        <c:axId val="89598404"/>
        <c:scaling>
          <c:orientation val="minMax"/>
        </c:scaling>
        <c:delete val="0"/>
        <c:axPos val="b"/>
        <c:numFmt formatCode="General" sourceLinked="0"/>
        <c:majorTickMark val="none"/>
        <c:minorTickMark val="none"/>
        <c:tickLblPos val="nextTo"/>
        <c:spPr>
          <a:ln w="6480">
            <a:noFill/>
          </a:ln>
        </c:spPr>
        <c:txPr>
          <a:bodyPr/>
          <a:lstStyle/>
          <a:p>
            <a:pPr>
              <a:defRPr sz="1200" b="0" u="none" strike="noStrike">
                <a:solidFill>
                  <a:srgbClr val="000000"/>
                </a:solidFill>
                <a:uFillTx/>
                <a:latin typeface="Calibri"/>
              </a:defRPr>
            </a:pPr>
            <a:endParaRPr lang="en-US"/>
          </a:p>
        </c:txPr>
        <c:crossAx val="95401957"/>
        <c:crosses val="autoZero"/>
        <c:auto val="1"/>
        <c:lblAlgn val="ctr"/>
        <c:lblOffset val="100"/>
        <c:noMultiLvlLbl val="0"/>
      </c:catAx>
      <c:valAx>
        <c:axId val="95401957"/>
        <c:scaling>
          <c:orientation val="minMax"/>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6480">
            <a:noFill/>
          </a:ln>
        </c:spPr>
        <c:txPr>
          <a:bodyPr/>
          <a:lstStyle/>
          <a:p>
            <a:pPr>
              <a:defRPr sz="1200" b="0" u="none" strike="noStrike">
                <a:solidFill>
                  <a:srgbClr val="000000"/>
                </a:solidFill>
                <a:uFillTx/>
                <a:latin typeface="Calibri"/>
              </a:defRPr>
            </a:pPr>
            <a:endParaRPr lang="en-US"/>
          </a:p>
        </c:txPr>
        <c:crossAx val="89598404"/>
        <c:crosses val="autoZero"/>
        <c:crossBetween val="between"/>
      </c:valAx>
      <c:dTable>
        <c:showHorzBorder val="1"/>
        <c:showVertBorder val="1"/>
        <c:showOutline val="1"/>
        <c:showKeys val="1"/>
        <c:spPr>
          <a:noFill/>
          <a:ln w="9360">
            <a:solidFill>
              <a:schemeClr val="dk1">
                <a:lumMod val="15000"/>
                <a:lumOff val="85000"/>
              </a:schemeClr>
            </a:solidFill>
            <a:round/>
          </a:ln>
        </c:spPr>
        <c:txPr>
          <a:bodyPr/>
          <a:lstStyle/>
          <a:p>
            <a:pPr>
              <a:defRPr sz="1100" b="0" u="none" strike="noStrike">
                <a:solidFill>
                  <a:srgbClr val="000000"/>
                </a:solidFill>
                <a:uFillTx/>
                <a:latin typeface="Calibri"/>
              </a:defRPr>
            </a:pPr>
            <a:endParaRPr lang="en-US"/>
          </a:p>
        </c:txPr>
      </c:dTable>
    </c:plotArea>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3" Type="http://schemas.microsoft.com/office/2007/relationships/hdphoto" Target="../media/hdphoto1.wdp"/><Relationship Id="rId7" Type="http://schemas.microsoft.com/office/2007/relationships/hdphoto" Target="../media/hdphoto3.wdp"/><Relationship Id="rId2" Type="http://schemas.openxmlformats.org/officeDocument/2006/relationships/image" Target="../media/image3.png"/><Relationship Id="rId1" Type="http://schemas.openxmlformats.org/officeDocument/2006/relationships/image" Target="../media/image2.jpeg"/><Relationship Id="rId6" Type="http://schemas.openxmlformats.org/officeDocument/2006/relationships/image" Target="../media/image5.png"/><Relationship Id="rId5" Type="http://schemas.microsoft.com/office/2007/relationships/hdphoto" Target="../media/hdphoto2.wdp"/><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wmf"/><Relationship Id="rId2" Type="http://schemas.openxmlformats.org/officeDocument/2006/relationships/image" Target="../media/image8.png"/><Relationship Id="rId1" Type="http://schemas.openxmlformats.org/officeDocument/2006/relationships/image" Target="../media/image7.wmf"/><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5.xml.rels><?xml version="1.0" encoding="UTF-8" standalone="yes"?>
<Relationships xmlns="http://schemas.openxmlformats.org/package/2006/relationships"><Relationship Id="rId8" Type="http://schemas.openxmlformats.org/officeDocument/2006/relationships/image" Target="../media/image24.png"/><Relationship Id="rId13" Type="http://schemas.openxmlformats.org/officeDocument/2006/relationships/image" Target="../media/image29.png"/><Relationship Id="rId18" Type="http://schemas.openxmlformats.org/officeDocument/2006/relationships/image" Target="../media/image34.png"/><Relationship Id="rId3" Type="http://schemas.openxmlformats.org/officeDocument/2006/relationships/image" Target="../media/image19.png"/><Relationship Id="rId21" Type="http://schemas.openxmlformats.org/officeDocument/2006/relationships/image" Target="../media/image37.png"/><Relationship Id="rId7" Type="http://schemas.openxmlformats.org/officeDocument/2006/relationships/image" Target="../media/image23.png"/><Relationship Id="rId12" Type="http://schemas.openxmlformats.org/officeDocument/2006/relationships/image" Target="../media/image28.png"/><Relationship Id="rId17" Type="http://schemas.openxmlformats.org/officeDocument/2006/relationships/image" Target="../media/image33.png"/><Relationship Id="rId25" Type="http://schemas.openxmlformats.org/officeDocument/2006/relationships/image" Target="../media/image41.png"/><Relationship Id="rId2" Type="http://schemas.openxmlformats.org/officeDocument/2006/relationships/image" Target="../media/image18.png"/><Relationship Id="rId16" Type="http://schemas.openxmlformats.org/officeDocument/2006/relationships/image" Target="../media/image32.png"/><Relationship Id="rId20" Type="http://schemas.openxmlformats.org/officeDocument/2006/relationships/image" Target="../media/image36.png"/><Relationship Id="rId1" Type="http://schemas.openxmlformats.org/officeDocument/2006/relationships/image" Target="../media/image17.png"/><Relationship Id="rId6" Type="http://schemas.openxmlformats.org/officeDocument/2006/relationships/image" Target="../media/image22.png"/><Relationship Id="rId11" Type="http://schemas.openxmlformats.org/officeDocument/2006/relationships/image" Target="../media/image27.png"/><Relationship Id="rId24" Type="http://schemas.openxmlformats.org/officeDocument/2006/relationships/image" Target="../media/image40.png"/><Relationship Id="rId5" Type="http://schemas.openxmlformats.org/officeDocument/2006/relationships/image" Target="../media/image21.png"/><Relationship Id="rId15" Type="http://schemas.openxmlformats.org/officeDocument/2006/relationships/image" Target="../media/image31.png"/><Relationship Id="rId23" Type="http://schemas.openxmlformats.org/officeDocument/2006/relationships/image" Target="../media/image39.png"/><Relationship Id="rId10" Type="http://schemas.openxmlformats.org/officeDocument/2006/relationships/image" Target="../media/image26.png"/><Relationship Id="rId19" Type="http://schemas.openxmlformats.org/officeDocument/2006/relationships/image" Target="../media/image35.png"/><Relationship Id="rId4" Type="http://schemas.openxmlformats.org/officeDocument/2006/relationships/image" Target="../media/image20.png"/><Relationship Id="rId9" Type="http://schemas.openxmlformats.org/officeDocument/2006/relationships/image" Target="../media/image25.png"/><Relationship Id="rId14" Type="http://schemas.openxmlformats.org/officeDocument/2006/relationships/image" Target="../media/image30.png"/><Relationship Id="rId22" Type="http://schemas.openxmlformats.org/officeDocument/2006/relationships/image" Target="../media/image38.png"/></Relationships>
</file>

<file path=xl/drawings/_rels/drawing6.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37.png"/><Relationship Id="rId1" Type="http://schemas.openxmlformats.org/officeDocument/2006/relationships/image" Target="../media/image36.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9.xml.rels><?xml version="1.0" encoding="UTF-8" standalone="yes"?>
<Relationships xmlns="http://schemas.openxmlformats.org/package/2006/relationships"><Relationship Id="rId8" Type="http://schemas.openxmlformats.org/officeDocument/2006/relationships/image" Target="../media/image49.wmf"/><Relationship Id="rId13" Type="http://schemas.openxmlformats.org/officeDocument/2006/relationships/image" Target="../media/image54.png"/><Relationship Id="rId3" Type="http://schemas.openxmlformats.org/officeDocument/2006/relationships/image" Target="../media/image44.wmf"/><Relationship Id="rId7" Type="http://schemas.openxmlformats.org/officeDocument/2006/relationships/image" Target="../media/image48.png"/><Relationship Id="rId12" Type="http://schemas.openxmlformats.org/officeDocument/2006/relationships/image" Target="../media/image53.png"/><Relationship Id="rId17" Type="http://schemas.openxmlformats.org/officeDocument/2006/relationships/image" Target="../media/image58.png"/><Relationship Id="rId2" Type="http://schemas.openxmlformats.org/officeDocument/2006/relationships/image" Target="../media/image43.wmf"/><Relationship Id="rId16" Type="http://schemas.openxmlformats.org/officeDocument/2006/relationships/image" Target="../media/image57.png"/><Relationship Id="rId1" Type="http://schemas.openxmlformats.org/officeDocument/2006/relationships/image" Target="../media/image42.wmf"/><Relationship Id="rId6" Type="http://schemas.openxmlformats.org/officeDocument/2006/relationships/image" Target="../media/image47.png"/><Relationship Id="rId11" Type="http://schemas.openxmlformats.org/officeDocument/2006/relationships/image" Target="../media/image52.wmf"/><Relationship Id="rId5" Type="http://schemas.openxmlformats.org/officeDocument/2006/relationships/image" Target="../media/image46.wmf"/><Relationship Id="rId15" Type="http://schemas.openxmlformats.org/officeDocument/2006/relationships/image" Target="../media/image56.png"/><Relationship Id="rId10" Type="http://schemas.openxmlformats.org/officeDocument/2006/relationships/image" Target="../media/image51.wmf"/><Relationship Id="rId4" Type="http://schemas.openxmlformats.org/officeDocument/2006/relationships/image" Target="../media/image45.wmf"/><Relationship Id="rId9" Type="http://schemas.openxmlformats.org/officeDocument/2006/relationships/image" Target="../media/image50.wmf"/><Relationship Id="rId14" Type="http://schemas.openxmlformats.org/officeDocument/2006/relationships/image" Target="../media/image55.png"/></Relationships>
</file>

<file path=xl/drawings/_rels/drawing10.xml.rels><?xml version="1.0" encoding="UTF-8" standalone="yes"?>
<Relationships xmlns="http://schemas.openxmlformats.org/package/2006/relationships"><Relationship Id="rId3" Type="http://schemas.openxmlformats.org/officeDocument/2006/relationships/image" Target="../media/image60.png"/><Relationship Id="rId2" Type="http://schemas.microsoft.com/office/2007/relationships/hdphoto" Target="../media/hdphoto4.wdp"/><Relationship Id="rId1" Type="http://schemas.openxmlformats.org/officeDocument/2006/relationships/image" Target="../media/image59.png"/><Relationship Id="rId6" Type="http://schemas.openxmlformats.org/officeDocument/2006/relationships/image" Target="../media/image63.png"/><Relationship Id="rId5" Type="http://schemas.openxmlformats.org/officeDocument/2006/relationships/image" Target="../media/image62.png"/><Relationship Id="rId4" Type="http://schemas.openxmlformats.org/officeDocument/2006/relationships/image" Target="../media/image6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12.xml.rels><?xml version="1.0" encoding="UTF-8" standalone="yes"?>
<Relationships xmlns="http://schemas.openxmlformats.org/package/2006/relationships"><Relationship Id="rId2" Type="http://schemas.openxmlformats.org/officeDocument/2006/relationships/image" Target="../media/image65.jpeg"/><Relationship Id="rId1" Type="http://schemas.openxmlformats.org/officeDocument/2006/relationships/image" Target="../media/image6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68.png"/><Relationship Id="rId7" Type="http://schemas.openxmlformats.org/officeDocument/2006/relationships/image" Target="../media/image72.png"/><Relationship Id="rId2" Type="http://schemas.openxmlformats.org/officeDocument/2006/relationships/image" Target="../media/image67.png"/><Relationship Id="rId1" Type="http://schemas.openxmlformats.org/officeDocument/2006/relationships/image" Target="../media/image66.png"/><Relationship Id="rId6" Type="http://schemas.openxmlformats.org/officeDocument/2006/relationships/image" Target="../media/image71.png"/><Relationship Id="rId5" Type="http://schemas.openxmlformats.org/officeDocument/2006/relationships/image" Target="../media/image70.png"/><Relationship Id="rId4" Type="http://schemas.openxmlformats.org/officeDocument/2006/relationships/image" Target="../media/image69.png"/></Relationships>
</file>

<file path=xl/drawings/_rels/drawing14.xml.rels><?xml version="1.0" encoding="UTF-8" standalone="yes"?>
<Relationships xmlns="http://schemas.openxmlformats.org/package/2006/relationships"><Relationship Id="rId2" Type="http://schemas.openxmlformats.org/officeDocument/2006/relationships/image" Target="../media/image74.png"/><Relationship Id="rId1" Type="http://schemas.openxmlformats.org/officeDocument/2006/relationships/image" Target="../media/image73.png"/></Relationships>
</file>

<file path=xl/drawings/_rels/drawing15.xml.rels><?xml version="1.0" encoding="UTF-8" standalone="yes"?>
<Relationships xmlns="http://schemas.openxmlformats.org/package/2006/relationships"><Relationship Id="rId8" Type="http://schemas.openxmlformats.org/officeDocument/2006/relationships/image" Target="../media/image82.png"/><Relationship Id="rId3" Type="http://schemas.openxmlformats.org/officeDocument/2006/relationships/image" Target="../media/image77.png"/><Relationship Id="rId7" Type="http://schemas.openxmlformats.org/officeDocument/2006/relationships/image" Target="../media/image81.png"/><Relationship Id="rId12" Type="http://schemas.openxmlformats.org/officeDocument/2006/relationships/chart" Target="../charts/chart8.xml"/><Relationship Id="rId2" Type="http://schemas.openxmlformats.org/officeDocument/2006/relationships/image" Target="../media/image76.png"/><Relationship Id="rId1" Type="http://schemas.openxmlformats.org/officeDocument/2006/relationships/image" Target="../media/image75.png"/><Relationship Id="rId6" Type="http://schemas.openxmlformats.org/officeDocument/2006/relationships/image" Target="../media/image80.png"/><Relationship Id="rId11" Type="http://schemas.openxmlformats.org/officeDocument/2006/relationships/chart" Target="../charts/chart7.xml"/><Relationship Id="rId5" Type="http://schemas.openxmlformats.org/officeDocument/2006/relationships/image" Target="../media/image79.png"/><Relationship Id="rId10" Type="http://schemas.openxmlformats.org/officeDocument/2006/relationships/image" Target="../media/image84.png"/><Relationship Id="rId4" Type="http://schemas.openxmlformats.org/officeDocument/2006/relationships/image" Target="../media/image78.png"/><Relationship Id="rId9" Type="http://schemas.openxmlformats.org/officeDocument/2006/relationships/image" Target="../media/image8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7.png"/><Relationship Id="rId2" Type="http://schemas.openxmlformats.org/officeDocument/2006/relationships/image" Target="../media/image86.png"/><Relationship Id="rId1" Type="http://schemas.openxmlformats.org/officeDocument/2006/relationships/image" Target="../media/image85.png"/><Relationship Id="rId4" Type="http://schemas.openxmlformats.org/officeDocument/2006/relationships/image" Target="../media/image88.png"/></Relationships>
</file>

<file path=xl/drawings/_rels/drawing17.xml.rels><?xml version="1.0" encoding="UTF-8" standalone="yes"?>
<Relationships xmlns="http://schemas.openxmlformats.org/package/2006/relationships"><Relationship Id="rId3" Type="http://schemas.openxmlformats.org/officeDocument/2006/relationships/image" Target="../media/image77.png"/><Relationship Id="rId2" Type="http://schemas.openxmlformats.org/officeDocument/2006/relationships/image" Target="../media/image75.png"/><Relationship Id="rId1" Type="http://schemas.openxmlformats.org/officeDocument/2006/relationships/image" Target="../media/image76.png"/><Relationship Id="rId6" Type="http://schemas.openxmlformats.org/officeDocument/2006/relationships/image" Target="../media/image79.png"/><Relationship Id="rId5" Type="http://schemas.openxmlformats.org/officeDocument/2006/relationships/image" Target="../media/image89.png"/><Relationship Id="rId4" Type="http://schemas.openxmlformats.org/officeDocument/2006/relationships/image" Target="../media/image78.png"/></Relationships>
</file>

<file path=xl/drawings/_rels/drawing18.xml.rels><?xml version="1.0" encoding="UTF-8" standalone="yes"?>
<Relationships xmlns="http://schemas.openxmlformats.org/package/2006/relationships"><Relationship Id="rId2" Type="http://schemas.openxmlformats.org/officeDocument/2006/relationships/image" Target="../media/image91.png"/><Relationship Id="rId1" Type="http://schemas.openxmlformats.org/officeDocument/2006/relationships/image" Target="../media/image90.png"/></Relationships>
</file>

<file path=xl/drawings/drawing1.xml><?xml version="1.0" encoding="utf-8"?>
<xdr:wsDr xmlns:xdr="http://schemas.openxmlformats.org/drawingml/2006/spreadsheetDrawing" xmlns:a="http://schemas.openxmlformats.org/drawingml/2006/main">
  <xdr:twoCellAnchor editAs="oneCell">
    <xdr:from>
      <xdr:col>1</xdr:col>
      <xdr:colOff>28080</xdr:colOff>
      <xdr:row>117</xdr:row>
      <xdr:rowOff>122760</xdr:rowOff>
    </xdr:from>
    <xdr:to>
      <xdr:col>7</xdr:col>
      <xdr:colOff>615600</xdr:colOff>
      <xdr:row>124</xdr:row>
      <xdr:rowOff>152640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725400" y="23030280"/>
          <a:ext cx="6978600" cy="12967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82440</xdr:colOff>
      <xdr:row>38</xdr:row>
      <xdr:rowOff>36360</xdr:rowOff>
    </xdr:from>
    <xdr:to>
      <xdr:col>5</xdr:col>
      <xdr:colOff>521640</xdr:colOff>
      <xdr:row>39</xdr:row>
      <xdr:rowOff>76320</xdr:rowOff>
    </xdr:to>
    <xdr:sp macro="" textlink="">
      <xdr:nvSpPr>
        <xdr:cNvPr id="2" name=" ">
          <a:extLst>
            <a:ext uri="{FF2B5EF4-FFF2-40B4-BE49-F238E27FC236}">
              <a16:creationId xmlns:a16="http://schemas.microsoft.com/office/drawing/2014/main" id="{00000000-0008-0000-0100-000002000000}"/>
            </a:ext>
          </a:extLst>
        </xdr:cNvPr>
        <xdr:cNvSpPr/>
      </xdr:nvSpPr>
      <xdr:spPr>
        <a:xfrm>
          <a:off x="2421720" y="7304040"/>
          <a:ext cx="1933920" cy="220680"/>
        </a:xfrm>
        <a:prstGeom prst="rect">
          <a:avLst/>
        </a:prstGeom>
        <a:noFill/>
        <a:ln w="9525">
          <a:solidFill>
            <a:srgbClr val="FFFFFF"/>
          </a:solidFill>
          <a:round/>
        </a:ln>
      </xdr:spPr>
      <xdr:style>
        <a:lnRef idx="2">
          <a:schemeClr val="accent1">
            <a:shade val="50000"/>
          </a:schemeClr>
        </a:lnRef>
        <a:fillRef idx="1">
          <a:schemeClr val="accent1"/>
        </a:fillRef>
        <a:effectRef idx="0">
          <a:schemeClr val="accent1"/>
        </a:effectRef>
        <a:fontRef idx="minor"/>
      </xdr:style>
      <xdr:txBody>
        <a:bodyPr vertOverflow="clip" horzOverflow="clip" lIns="0" tIns="0" rIns="0" bIns="0" anchor="t">
          <a:noAutofit/>
        </a:bodyPr>
        <a:lstStyle/>
        <a:p>
          <a:pPr>
            <a:lnSpc>
              <a:spcPct val="100000"/>
            </a:lnSpc>
          </a:pPr>
          <a:r>
            <a:rPr lang="en-US" sz="1100" b="0" u="none" strike="noStrike">
              <a:solidFill>
                <a:srgbClr val="000000"/>
              </a:solidFill>
              <a:effectLst/>
              <a:uFillTx/>
              <a:latin typeface="Cambria Math"/>
              <a:ea typeface="Cambria Math"/>
            </a:rPr>
            <a:t>𝑉/(√𝑔 𝑥 𝐿𝑤𝑙)</a:t>
          </a:r>
          <a:endParaRPr lang="id-ID" sz="1100" b="0" u="none" strike="noStrike">
            <a:effectLst/>
            <a:uFillTx/>
            <a:latin typeface="Times New Roman"/>
          </a:endParaRPr>
        </a:p>
      </xdr:txBody>
    </xdr:sp>
    <xdr:clientData/>
  </xdr:twoCellAnchor>
  <xdr:twoCellAnchor>
    <xdr:from>
      <xdr:col>5</xdr:col>
      <xdr:colOff>45360</xdr:colOff>
      <xdr:row>51</xdr:row>
      <xdr:rowOff>11880</xdr:rowOff>
    </xdr:from>
    <xdr:to>
      <xdr:col>6</xdr:col>
      <xdr:colOff>975240</xdr:colOff>
      <xdr:row>52</xdr:row>
      <xdr:rowOff>158400</xdr:rowOff>
    </xdr:to>
    <xdr:sp macro="" textlink="">
      <xdr:nvSpPr>
        <xdr:cNvPr id="3" name=" ">
          <a:extLst>
            <a:ext uri="{FF2B5EF4-FFF2-40B4-BE49-F238E27FC236}">
              <a16:creationId xmlns:a16="http://schemas.microsoft.com/office/drawing/2014/main" id="{00000000-0008-0000-0100-000003000000}"/>
            </a:ext>
          </a:extLst>
        </xdr:cNvPr>
        <xdr:cNvSpPr/>
      </xdr:nvSpPr>
      <xdr:spPr>
        <a:xfrm>
          <a:off x="3879360" y="9651240"/>
          <a:ext cx="1898280" cy="327600"/>
        </a:xfrm>
        <a:prstGeom prst="rect">
          <a:avLst/>
        </a:prstGeom>
        <a:noFill/>
        <a:ln w="9525">
          <a:solidFill>
            <a:srgbClr val="FFFFFF"/>
          </a:solidFill>
          <a:round/>
        </a:ln>
      </xdr:spPr>
      <xdr:style>
        <a:lnRef idx="2">
          <a:schemeClr val="accent1">
            <a:shade val="50000"/>
          </a:schemeClr>
        </a:lnRef>
        <a:fillRef idx="1">
          <a:schemeClr val="accent1"/>
        </a:fillRef>
        <a:effectRef idx="0">
          <a:schemeClr val="accent1"/>
        </a:effectRef>
        <a:fontRef idx="minor"/>
      </xdr:style>
      <xdr:txBody>
        <a:bodyPr vertOverflow="clip" horzOverflow="clip" lIns="0" tIns="0" rIns="0" bIns="0" anchor="t">
          <a:noAutofit/>
        </a:bodyPr>
        <a:lstStyle/>
        <a:p>
          <a:pPr>
            <a:lnSpc>
              <a:spcPct val="100000"/>
            </a:lnSpc>
          </a:pPr>
          <a:r>
            <a:rPr lang="en-US" sz="1100" b="0" u="none" strike="noStrike">
              <a:solidFill>
                <a:srgbClr val="000000"/>
              </a:solidFill>
              <a:effectLst/>
              <a:uFillTx/>
              <a:latin typeface="Calibri"/>
              <a:ea typeface="Calibri"/>
            </a:rPr>
            <a:t>0.075/((𝐿𝑜𝑔 𝑅𝑛 −2)²)</a:t>
          </a:r>
          <a:endParaRPr lang="id-ID" sz="1100" b="0" u="none" strike="noStrike">
            <a:effectLst/>
            <a:uFillTx/>
            <a:latin typeface="Times New Roman"/>
          </a:endParaRPr>
        </a:p>
      </xdr:txBody>
    </xdr:sp>
    <xdr:clientData/>
  </xdr:twoCellAnchor>
  <xdr:twoCellAnchor>
    <xdr:from>
      <xdr:col>13</xdr:col>
      <xdr:colOff>222480</xdr:colOff>
      <xdr:row>139</xdr:row>
      <xdr:rowOff>71640</xdr:rowOff>
    </xdr:from>
    <xdr:to>
      <xdr:col>15</xdr:col>
      <xdr:colOff>50040</xdr:colOff>
      <xdr:row>144</xdr:row>
      <xdr:rowOff>178920</xdr:rowOff>
    </xdr:to>
    <xdr:pic>
      <xdr:nvPicPr>
        <xdr:cNvPr id="4" name="Picture 3" descr=" ">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a:stretch/>
      </xdr:blipFill>
      <xdr:spPr>
        <a:xfrm>
          <a:off x="9921600" y="25732080"/>
          <a:ext cx="1446840" cy="1011960"/>
        </a:xfrm>
        <a:prstGeom prst="rect">
          <a:avLst/>
        </a:prstGeom>
        <a:noFill/>
        <a:ln w="0">
          <a:noFill/>
        </a:ln>
      </xdr:spPr>
    </xdr:pic>
    <xdr:clientData/>
  </xdr:twoCellAnchor>
  <xdr:twoCellAnchor editAs="oneCell">
    <xdr:from>
      <xdr:col>2</xdr:col>
      <xdr:colOff>407880</xdr:colOff>
      <xdr:row>62</xdr:row>
      <xdr:rowOff>171720</xdr:rowOff>
    </xdr:from>
    <xdr:to>
      <xdr:col>8</xdr:col>
      <xdr:colOff>489600</xdr:colOff>
      <xdr:row>76</xdr:row>
      <xdr:rowOff>43200</xdr:rowOff>
    </xdr:to>
    <xdr:pic>
      <xdr:nvPicPr>
        <xdr:cNvPr id="5" name="Picture 9">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extLst>
            <a:ext uri="{BEBA8EAE-BF5A-486C-A8C5-ECC9F3942E4B}">
              <a14:imgProps xmlns:a14="http://schemas.microsoft.com/office/drawing/2010/main">
                <a14:imgLayer r:embed="rId3">
                  <a14:imgEffect>
                    <a14:brightnessContrast contrast="10000"/>
                  </a14:imgEffect>
                </a14:imgLayer>
              </a14:imgProps>
            </a:ext>
          </a:extLst>
        </a:blip>
        <a:srcRect l="3543" t="8329" b="8072"/>
        <a:stretch/>
      </xdr:blipFill>
      <xdr:spPr>
        <a:xfrm>
          <a:off x="2298240" y="11811240"/>
          <a:ext cx="4768200" cy="2405160"/>
        </a:xfrm>
        <a:prstGeom prst="rect">
          <a:avLst/>
        </a:prstGeom>
        <a:noFill/>
        <a:ln w="0">
          <a:noFill/>
        </a:ln>
      </xdr:spPr>
    </xdr:pic>
    <xdr:clientData/>
  </xdr:twoCellAnchor>
  <xdr:twoCellAnchor editAs="oneCell">
    <xdr:from>
      <xdr:col>10</xdr:col>
      <xdr:colOff>163800</xdr:colOff>
      <xdr:row>95</xdr:row>
      <xdr:rowOff>149040</xdr:rowOff>
    </xdr:from>
    <xdr:to>
      <xdr:col>13</xdr:col>
      <xdr:colOff>945720</xdr:colOff>
      <xdr:row>106</xdr:row>
      <xdr:rowOff>75240</xdr:rowOff>
    </xdr:to>
    <xdr:pic>
      <xdr:nvPicPr>
        <xdr:cNvPr id="6" name="Picture 11">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4">
          <a:extLst>
            <a:ext uri="{BEBA8EAE-BF5A-486C-A8C5-ECC9F3942E4B}">
              <a14:imgProps xmlns:a14="http://schemas.microsoft.com/office/drawing/2010/main">
                <a14:imgLayer r:embed="rId5">
                  <a14:imgEffect>
                    <a14:sharpenSoften amount="52000"/>
                  </a14:imgEffect>
                </a14:imgLayer>
              </a14:imgProps>
            </a:ext>
          </a:extLst>
        </a:blip>
        <a:stretch/>
      </xdr:blipFill>
      <xdr:spPr>
        <a:xfrm>
          <a:off x="8243640" y="17770320"/>
          <a:ext cx="2401200" cy="1936080"/>
        </a:xfrm>
        <a:prstGeom prst="rect">
          <a:avLst/>
        </a:prstGeom>
        <a:noFill/>
        <a:ln w="0">
          <a:noFill/>
        </a:ln>
      </xdr:spPr>
    </xdr:pic>
    <xdr:clientData/>
  </xdr:twoCellAnchor>
  <xdr:twoCellAnchor editAs="oneCell">
    <xdr:from>
      <xdr:col>10</xdr:col>
      <xdr:colOff>223200</xdr:colOff>
      <xdr:row>110</xdr:row>
      <xdr:rowOff>8280</xdr:rowOff>
    </xdr:from>
    <xdr:to>
      <xdr:col>13</xdr:col>
      <xdr:colOff>959760</xdr:colOff>
      <xdr:row>120</xdr:row>
      <xdr:rowOff>44280</xdr:rowOff>
    </xdr:to>
    <xdr:pic>
      <xdr:nvPicPr>
        <xdr:cNvPr id="7" name="Picture 13">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a:extLst>
            <a:ext uri="{BEBA8EAE-BF5A-486C-A8C5-ECC9F3942E4B}">
              <a14:imgProps xmlns:a14="http://schemas.microsoft.com/office/drawing/2010/main">
                <a14:imgLayer r:embed="rId7">
                  <a14:imgEffect>
                    <a14:sharpenSoften amount="43000"/>
                  </a14:imgEffect>
                </a14:imgLayer>
              </a14:imgProps>
            </a:ext>
          </a:extLst>
        </a:blip>
        <a:stretch/>
      </xdr:blipFill>
      <xdr:spPr>
        <a:xfrm>
          <a:off x="8303040" y="20372760"/>
          <a:ext cx="2355840" cy="1864800"/>
        </a:xfrm>
        <a:prstGeom prst="rect">
          <a:avLst/>
        </a:prstGeom>
        <a:noFill/>
        <a:ln w="0">
          <a:noFill/>
        </a:ln>
      </xdr:spPr>
    </xdr:pic>
    <xdr:clientData/>
  </xdr:twoCellAnchor>
  <xdr:twoCellAnchor editAs="oneCell">
    <xdr:from>
      <xdr:col>16</xdr:col>
      <xdr:colOff>271800</xdr:colOff>
      <xdr:row>22</xdr:row>
      <xdr:rowOff>55800</xdr:rowOff>
    </xdr:from>
    <xdr:to>
      <xdr:col>20</xdr:col>
      <xdr:colOff>61560</xdr:colOff>
      <xdr:row>25</xdr:row>
      <xdr:rowOff>26640</xdr:rowOff>
    </xdr:to>
    <xdr:pic>
      <xdr:nvPicPr>
        <xdr:cNvPr id="8" name="Picture 1">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8"/>
        <a:stretch/>
      </xdr:blipFill>
      <xdr:spPr>
        <a:xfrm>
          <a:off x="12209760" y="4208760"/>
          <a:ext cx="2268720" cy="5709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105840</xdr:colOff>
      <xdr:row>60</xdr:row>
      <xdr:rowOff>127800</xdr:rowOff>
    </xdr:from>
    <xdr:to>
      <xdr:col>4</xdr:col>
      <xdr:colOff>855000</xdr:colOff>
      <xdr:row>74</xdr:row>
      <xdr:rowOff>102960</xdr:rowOff>
    </xdr:to>
    <xdr:grpSp>
      <xdr:nvGrpSpPr>
        <xdr:cNvPr id="9" name="Group 1">
          <a:extLst>
            <a:ext uri="{FF2B5EF4-FFF2-40B4-BE49-F238E27FC236}">
              <a16:creationId xmlns:a16="http://schemas.microsoft.com/office/drawing/2014/main" id="{00000000-0008-0000-0200-000009000000}"/>
            </a:ext>
          </a:extLst>
        </xdr:cNvPr>
        <xdr:cNvGrpSpPr/>
      </xdr:nvGrpSpPr>
      <xdr:grpSpPr>
        <a:xfrm>
          <a:off x="679581" y="11997071"/>
          <a:ext cx="2568995" cy="2736289"/>
          <a:chOff x="694440" y="11643480"/>
          <a:chExt cx="2600280" cy="2642040"/>
        </a:xfrm>
      </xdr:grpSpPr>
      <xdr:pic>
        <xdr:nvPicPr>
          <xdr:cNvPr id="10" name="Picture 2" descr=" ">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1"/>
          <a:stretch/>
        </xdr:blipFill>
        <xdr:spPr>
          <a:xfrm>
            <a:off x="694440" y="12965400"/>
            <a:ext cx="1298520" cy="1247040"/>
          </a:xfrm>
          <a:prstGeom prst="rect">
            <a:avLst/>
          </a:prstGeom>
          <a:noFill/>
          <a:ln w="9525">
            <a:noFill/>
          </a:ln>
        </xdr:spPr>
      </xdr:pic>
      <xdr:pic>
        <xdr:nvPicPr>
          <xdr:cNvPr id="11" name="Picture 3" descr=" ">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2"/>
          <a:stretch/>
        </xdr:blipFill>
        <xdr:spPr>
          <a:xfrm>
            <a:off x="723600" y="11643480"/>
            <a:ext cx="1319760" cy="1269360"/>
          </a:xfrm>
          <a:prstGeom prst="rect">
            <a:avLst/>
          </a:prstGeom>
          <a:noFill/>
          <a:ln w="9525">
            <a:noFill/>
          </a:ln>
        </xdr:spPr>
      </xdr:pic>
      <xdr:pic>
        <xdr:nvPicPr>
          <xdr:cNvPr id="12" name="Picture 4" descr=" ">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3"/>
          <a:stretch/>
        </xdr:blipFill>
        <xdr:spPr>
          <a:xfrm>
            <a:off x="2215080" y="11647080"/>
            <a:ext cx="1079640" cy="1281600"/>
          </a:xfrm>
          <a:prstGeom prst="rect">
            <a:avLst/>
          </a:prstGeom>
          <a:noFill/>
          <a:ln w="9525">
            <a:noFill/>
          </a:ln>
        </xdr:spPr>
      </xdr:pic>
      <xdr:pic>
        <xdr:nvPicPr>
          <xdr:cNvPr id="13" name="Picture 5" descr=" ">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4"/>
          <a:stretch/>
        </xdr:blipFill>
        <xdr:spPr>
          <a:xfrm>
            <a:off x="2090520" y="12986640"/>
            <a:ext cx="1166040" cy="1298880"/>
          </a:xfrm>
          <a:prstGeom prst="rect">
            <a:avLst/>
          </a:prstGeom>
          <a:noFill/>
          <a:ln w="9525">
            <a:noFill/>
          </a:ln>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54360</xdr:colOff>
      <xdr:row>67</xdr:row>
      <xdr:rowOff>140040</xdr:rowOff>
    </xdr:from>
    <xdr:to>
      <xdr:col>15</xdr:col>
      <xdr:colOff>370080</xdr:colOff>
      <xdr:row>94</xdr:row>
      <xdr:rowOff>46080</xdr:rowOff>
    </xdr:to>
    <xdr:pic>
      <xdr:nvPicPr>
        <xdr:cNvPr id="14" name="Picture 8">
          <a:extLst>
            <a:ext uri="{FF2B5EF4-FFF2-40B4-BE49-F238E27FC236}">
              <a16:creationId xmlns:a16="http://schemas.microsoft.com/office/drawing/2014/main" id="{00000000-0008-0000-0300-00000E000000}"/>
            </a:ext>
          </a:extLst>
        </xdr:cNvPr>
        <xdr:cNvPicPr/>
      </xdr:nvPicPr>
      <xdr:blipFill>
        <a:blip xmlns:r="http://schemas.openxmlformats.org/officeDocument/2006/relationships" r:embed="rId1"/>
        <a:stretch/>
      </xdr:blipFill>
      <xdr:spPr>
        <a:xfrm>
          <a:off x="5244840" y="10874880"/>
          <a:ext cx="4166280" cy="4020840"/>
        </a:xfrm>
        <a:prstGeom prst="rect">
          <a:avLst/>
        </a:prstGeom>
        <a:noFill/>
        <a:ln w="38100" cap="sq">
          <a:solidFill>
            <a:srgbClr val="000000"/>
          </a:solidFill>
          <a:miter/>
        </a:ln>
        <a:effectLst>
          <a:outerShdw blurRad="50760" dist="37674" dir="2700000" algn="tl" rotWithShape="0">
            <a:srgbClr val="000000">
              <a:alpha val="43000"/>
            </a:srgbClr>
          </a:outerShdw>
        </a:effectLst>
      </xdr:spPr>
    </xdr:pic>
    <xdr:clientData/>
  </xdr:twoCellAnchor>
  <xdr:twoCellAnchor editAs="oneCell">
    <xdr:from>
      <xdr:col>1</xdr:col>
      <xdr:colOff>32400</xdr:colOff>
      <xdr:row>67</xdr:row>
      <xdr:rowOff>130680</xdr:rowOff>
    </xdr:from>
    <xdr:to>
      <xdr:col>6</xdr:col>
      <xdr:colOff>573120</xdr:colOff>
      <xdr:row>94</xdr:row>
      <xdr:rowOff>42840</xdr:rowOff>
    </xdr:to>
    <xdr:pic>
      <xdr:nvPicPr>
        <xdr:cNvPr id="15" name="Picture 9">
          <a:extLst>
            <a:ext uri="{FF2B5EF4-FFF2-40B4-BE49-F238E27FC236}">
              <a16:creationId xmlns:a16="http://schemas.microsoft.com/office/drawing/2014/main" id="{00000000-0008-0000-0300-00000F000000}"/>
            </a:ext>
          </a:extLst>
        </xdr:cNvPr>
        <xdr:cNvPicPr/>
      </xdr:nvPicPr>
      <xdr:blipFill>
        <a:blip xmlns:r="http://schemas.openxmlformats.org/officeDocument/2006/relationships" r:embed="rId2"/>
        <a:stretch/>
      </xdr:blipFill>
      <xdr:spPr>
        <a:xfrm>
          <a:off x="318960" y="10865520"/>
          <a:ext cx="4824720" cy="4026960"/>
        </a:xfrm>
        <a:prstGeom prst="rect">
          <a:avLst/>
        </a:prstGeom>
        <a:noFill/>
        <a:ln w="38100" cap="sq">
          <a:solidFill>
            <a:srgbClr val="000000"/>
          </a:solidFill>
          <a:miter/>
        </a:ln>
        <a:effectLst>
          <a:outerShdw blurRad="50760" dist="37674" dir="2700000" algn="tl" rotWithShape="0">
            <a:srgbClr val="000000">
              <a:alpha val="43000"/>
            </a:srgbClr>
          </a:outerShdw>
        </a:effectLst>
      </xdr:spPr>
    </xdr:pic>
    <xdr:clientData/>
  </xdr:twoCellAnchor>
  <xdr:twoCellAnchor>
    <xdr:from>
      <xdr:col>13</xdr:col>
      <xdr:colOff>549000</xdr:colOff>
      <xdr:row>55</xdr:row>
      <xdr:rowOff>56880</xdr:rowOff>
    </xdr:from>
    <xdr:to>
      <xdr:col>28</xdr:col>
      <xdr:colOff>271440</xdr:colOff>
      <xdr:row>105</xdr:row>
      <xdr:rowOff>120240</xdr:rowOff>
    </xdr:to>
    <xdr:grpSp>
      <xdr:nvGrpSpPr>
        <xdr:cNvPr id="16" name="Group 6">
          <a:extLst>
            <a:ext uri="{FF2B5EF4-FFF2-40B4-BE49-F238E27FC236}">
              <a16:creationId xmlns:a16="http://schemas.microsoft.com/office/drawing/2014/main" id="{00000000-0008-0000-0300-000010000000}"/>
            </a:ext>
          </a:extLst>
        </xdr:cNvPr>
        <xdr:cNvGrpSpPr/>
      </xdr:nvGrpSpPr>
      <xdr:grpSpPr>
        <a:xfrm>
          <a:off x="8248513" y="9048480"/>
          <a:ext cx="8767049" cy="7683360"/>
          <a:chOff x="8365680" y="8962920"/>
          <a:chExt cx="8904600" cy="7683120"/>
        </a:xfrm>
      </xdr:grpSpPr>
      <xdr:pic>
        <xdr:nvPicPr>
          <xdr:cNvPr id="17" name="Picture 4">
            <a:extLst>
              <a:ext uri="{FF2B5EF4-FFF2-40B4-BE49-F238E27FC236}">
                <a16:creationId xmlns:a16="http://schemas.microsoft.com/office/drawing/2014/main" id="{00000000-0008-0000-0300-000011000000}"/>
              </a:ext>
            </a:extLst>
          </xdr:cNvPr>
          <xdr:cNvPicPr/>
        </xdr:nvPicPr>
        <xdr:blipFill>
          <a:blip xmlns:r="http://schemas.openxmlformats.org/officeDocument/2006/relationships" r:embed="rId3"/>
          <a:stretch/>
        </xdr:blipFill>
        <xdr:spPr>
          <a:xfrm>
            <a:off x="8365680" y="8962920"/>
            <a:ext cx="8875440" cy="3635640"/>
          </a:xfrm>
          <a:prstGeom prst="rect">
            <a:avLst/>
          </a:prstGeom>
          <a:noFill/>
          <a:ln w="0">
            <a:noFill/>
          </a:ln>
        </xdr:spPr>
      </xdr:pic>
      <xdr:pic>
        <xdr:nvPicPr>
          <xdr:cNvPr id="18" name="Picture 5">
            <a:extLst>
              <a:ext uri="{FF2B5EF4-FFF2-40B4-BE49-F238E27FC236}">
                <a16:creationId xmlns:a16="http://schemas.microsoft.com/office/drawing/2014/main" id="{00000000-0008-0000-0300-000012000000}"/>
              </a:ext>
            </a:extLst>
          </xdr:cNvPr>
          <xdr:cNvPicPr/>
        </xdr:nvPicPr>
        <xdr:blipFill>
          <a:blip xmlns:r="http://schemas.openxmlformats.org/officeDocument/2006/relationships" r:embed="rId4"/>
          <a:stretch/>
        </xdr:blipFill>
        <xdr:spPr>
          <a:xfrm>
            <a:off x="8395920" y="12513600"/>
            <a:ext cx="8874360" cy="4132440"/>
          </a:xfrm>
          <a:prstGeom prst="rect">
            <a:avLst/>
          </a:prstGeom>
          <a:noFill/>
          <a:ln w="0">
            <a:noFill/>
          </a:ln>
        </xdr:spPr>
      </xdr:pic>
    </xdr:grpSp>
    <xdr:clientData/>
  </xdr:twoCellAnchor>
  <xdr:twoCellAnchor editAs="oneCell">
    <xdr:from>
      <xdr:col>3</xdr:col>
      <xdr:colOff>108720</xdr:colOff>
      <xdr:row>98</xdr:row>
      <xdr:rowOff>54360</xdr:rowOff>
    </xdr:from>
    <xdr:to>
      <xdr:col>15</xdr:col>
      <xdr:colOff>453960</xdr:colOff>
      <xdr:row>135</xdr:row>
      <xdr:rowOff>68400</xdr:rowOff>
    </xdr:to>
    <xdr:pic>
      <xdr:nvPicPr>
        <xdr:cNvPr id="19" name="Picture 7">
          <a:extLst>
            <a:ext uri="{FF2B5EF4-FFF2-40B4-BE49-F238E27FC236}">
              <a16:creationId xmlns:a16="http://schemas.microsoft.com/office/drawing/2014/main" id="{00000000-0008-0000-0300-000013000000}"/>
            </a:ext>
          </a:extLst>
        </xdr:cNvPr>
        <xdr:cNvPicPr/>
      </xdr:nvPicPr>
      <xdr:blipFill>
        <a:blip xmlns:r="http://schemas.openxmlformats.org/officeDocument/2006/relationships" r:embed="rId5"/>
        <a:stretch/>
      </xdr:blipFill>
      <xdr:spPr>
        <a:xfrm>
          <a:off x="2842920" y="15513480"/>
          <a:ext cx="6652080" cy="5652720"/>
        </a:xfrm>
        <a:prstGeom prst="rect">
          <a:avLst/>
        </a:prstGeom>
        <a:noFill/>
        <a:ln w="0">
          <a:noFill/>
        </a:ln>
      </xdr:spPr>
    </xdr:pic>
    <xdr:clientData/>
  </xdr:twoCellAnchor>
  <xdr:twoCellAnchor editAs="oneCell">
    <xdr:from>
      <xdr:col>2</xdr:col>
      <xdr:colOff>380880</xdr:colOff>
      <xdr:row>143</xdr:row>
      <xdr:rowOff>136080</xdr:rowOff>
    </xdr:from>
    <xdr:to>
      <xdr:col>14</xdr:col>
      <xdr:colOff>490680</xdr:colOff>
      <xdr:row>176</xdr:row>
      <xdr:rowOff>5760</xdr:rowOff>
    </xdr:to>
    <xdr:pic>
      <xdr:nvPicPr>
        <xdr:cNvPr id="20" name="Picture 10">
          <a:extLst>
            <a:ext uri="{FF2B5EF4-FFF2-40B4-BE49-F238E27FC236}">
              <a16:creationId xmlns:a16="http://schemas.microsoft.com/office/drawing/2014/main" id="{00000000-0008-0000-0300-000014000000}"/>
            </a:ext>
          </a:extLst>
        </xdr:cNvPr>
        <xdr:cNvPicPr/>
      </xdr:nvPicPr>
      <xdr:blipFill>
        <a:blip xmlns:r="http://schemas.openxmlformats.org/officeDocument/2006/relationships" r:embed="rId6"/>
        <a:stretch/>
      </xdr:blipFill>
      <xdr:spPr>
        <a:xfrm>
          <a:off x="2255400" y="22453200"/>
          <a:ext cx="6664320" cy="489888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88920</xdr:colOff>
      <xdr:row>108</xdr:row>
      <xdr:rowOff>150840</xdr:rowOff>
    </xdr:from>
    <xdr:to>
      <xdr:col>3</xdr:col>
      <xdr:colOff>418680</xdr:colOff>
      <xdr:row>110</xdr:row>
      <xdr:rowOff>116280</xdr:rowOff>
    </xdr:to>
    <xdr:pic>
      <xdr:nvPicPr>
        <xdr:cNvPr id="21" name="Picture 30" descr=" ">
          <a:extLst>
            <a:ext uri="{FF2B5EF4-FFF2-40B4-BE49-F238E27FC236}">
              <a16:creationId xmlns:a16="http://schemas.microsoft.com/office/drawing/2014/main" id="{00000000-0008-0000-0400-000015000000}"/>
            </a:ext>
          </a:extLst>
        </xdr:cNvPr>
        <xdr:cNvPicPr/>
      </xdr:nvPicPr>
      <xdr:blipFill>
        <a:blip xmlns:r="http://schemas.openxmlformats.org/officeDocument/2006/relationships" r:embed="rId1"/>
        <a:stretch/>
      </xdr:blipFill>
      <xdr:spPr>
        <a:xfrm>
          <a:off x="677520" y="17257680"/>
          <a:ext cx="1112040" cy="270360"/>
        </a:xfrm>
        <a:prstGeom prst="rect">
          <a:avLst/>
        </a:prstGeom>
        <a:noFill/>
        <a:ln w="9525">
          <a:noFill/>
        </a:ln>
      </xdr:spPr>
    </xdr:pic>
    <xdr:clientData/>
  </xdr:twoCellAnchor>
  <xdr:twoCellAnchor editAs="oneCell">
    <xdr:from>
      <xdr:col>33</xdr:col>
      <xdr:colOff>190440</xdr:colOff>
      <xdr:row>34</xdr:row>
      <xdr:rowOff>95400</xdr:rowOff>
    </xdr:from>
    <xdr:to>
      <xdr:col>55</xdr:col>
      <xdr:colOff>173520</xdr:colOff>
      <xdr:row>86</xdr:row>
      <xdr:rowOff>70200</xdr:rowOff>
    </xdr:to>
    <xdr:pic>
      <xdr:nvPicPr>
        <xdr:cNvPr id="22" name="Picture 1">
          <a:extLst>
            <a:ext uri="{FF2B5EF4-FFF2-40B4-BE49-F238E27FC236}">
              <a16:creationId xmlns:a16="http://schemas.microsoft.com/office/drawing/2014/main" id="{00000000-0008-0000-0400-000016000000}"/>
            </a:ext>
          </a:extLst>
        </xdr:cNvPr>
        <xdr:cNvPicPr/>
      </xdr:nvPicPr>
      <xdr:blipFill>
        <a:blip xmlns:r="http://schemas.openxmlformats.org/officeDocument/2006/relationships" r:embed="rId2"/>
        <a:stretch/>
      </xdr:blipFill>
      <xdr:spPr>
        <a:xfrm>
          <a:off x="22858200" y="5838840"/>
          <a:ext cx="13617720" cy="7985520"/>
        </a:xfrm>
        <a:prstGeom prst="rect">
          <a:avLst/>
        </a:prstGeom>
        <a:noFill/>
        <a:ln w="0">
          <a:noFill/>
        </a:ln>
      </xdr:spPr>
    </xdr:pic>
    <xdr:clientData/>
  </xdr:twoCellAnchor>
  <xdr:twoCellAnchor editAs="oneCell">
    <xdr:from>
      <xdr:col>55</xdr:col>
      <xdr:colOff>152280</xdr:colOff>
      <xdr:row>32</xdr:row>
      <xdr:rowOff>150840</xdr:rowOff>
    </xdr:from>
    <xdr:to>
      <xdr:col>78</xdr:col>
      <xdr:colOff>331200</xdr:colOff>
      <xdr:row>87</xdr:row>
      <xdr:rowOff>152640</xdr:rowOff>
    </xdr:to>
    <xdr:pic>
      <xdr:nvPicPr>
        <xdr:cNvPr id="23" name="Picture 2">
          <a:extLst>
            <a:ext uri="{FF2B5EF4-FFF2-40B4-BE49-F238E27FC236}">
              <a16:creationId xmlns:a16="http://schemas.microsoft.com/office/drawing/2014/main" id="{00000000-0008-0000-0400-000017000000}"/>
            </a:ext>
          </a:extLst>
        </xdr:cNvPr>
        <xdr:cNvPicPr/>
      </xdr:nvPicPr>
      <xdr:blipFill>
        <a:blip xmlns:r="http://schemas.openxmlformats.org/officeDocument/2006/relationships" r:embed="rId3"/>
        <a:stretch/>
      </xdr:blipFill>
      <xdr:spPr>
        <a:xfrm>
          <a:off x="36454680" y="5589720"/>
          <a:ext cx="14433480" cy="8469360"/>
        </a:xfrm>
        <a:prstGeom prst="rect">
          <a:avLst/>
        </a:prstGeom>
        <a:noFill/>
        <a:ln w="0">
          <a:noFill/>
        </a:ln>
      </xdr:spPr>
    </xdr:pic>
    <xdr:clientData/>
  </xdr:twoCellAnchor>
  <xdr:twoCellAnchor editAs="oneCell">
    <xdr:from>
      <xdr:col>78</xdr:col>
      <xdr:colOff>361800</xdr:colOff>
      <xdr:row>33</xdr:row>
      <xdr:rowOff>76320</xdr:rowOff>
    </xdr:from>
    <xdr:to>
      <xdr:col>101</xdr:col>
      <xdr:colOff>302760</xdr:colOff>
      <xdr:row>88</xdr:row>
      <xdr:rowOff>50760</xdr:rowOff>
    </xdr:to>
    <xdr:pic>
      <xdr:nvPicPr>
        <xdr:cNvPr id="24" name="Picture 3">
          <a:extLst>
            <a:ext uri="{FF2B5EF4-FFF2-40B4-BE49-F238E27FC236}">
              <a16:creationId xmlns:a16="http://schemas.microsoft.com/office/drawing/2014/main" id="{00000000-0008-0000-0400-000018000000}"/>
            </a:ext>
          </a:extLst>
        </xdr:cNvPr>
        <xdr:cNvPicPr/>
      </xdr:nvPicPr>
      <xdr:blipFill>
        <a:blip xmlns:r="http://schemas.openxmlformats.org/officeDocument/2006/relationships" r:embed="rId4"/>
        <a:stretch/>
      </xdr:blipFill>
      <xdr:spPr>
        <a:xfrm>
          <a:off x="50918760" y="5667480"/>
          <a:ext cx="14195160" cy="8442360"/>
        </a:xfrm>
        <a:prstGeom prst="rect">
          <a:avLst/>
        </a:prstGeom>
        <a:noFill/>
        <a:ln w="0">
          <a:noFill/>
        </a:ln>
      </xdr:spPr>
    </xdr:pic>
    <xdr:clientData/>
  </xdr:twoCellAnchor>
  <xdr:twoCellAnchor editAs="oneCell">
    <xdr:from>
      <xdr:col>101</xdr:col>
      <xdr:colOff>209520</xdr:colOff>
      <xdr:row>35</xdr:row>
      <xdr:rowOff>0</xdr:rowOff>
    </xdr:from>
    <xdr:to>
      <xdr:col>124</xdr:col>
      <xdr:colOff>140760</xdr:colOff>
      <xdr:row>88</xdr:row>
      <xdr:rowOff>134280</xdr:rowOff>
    </xdr:to>
    <xdr:pic>
      <xdr:nvPicPr>
        <xdr:cNvPr id="25" name="Picture 4">
          <a:extLst>
            <a:ext uri="{FF2B5EF4-FFF2-40B4-BE49-F238E27FC236}">
              <a16:creationId xmlns:a16="http://schemas.microsoft.com/office/drawing/2014/main" id="{00000000-0008-0000-0400-000019000000}"/>
            </a:ext>
          </a:extLst>
        </xdr:cNvPr>
        <xdr:cNvPicPr/>
      </xdr:nvPicPr>
      <xdr:blipFill>
        <a:blip xmlns:r="http://schemas.openxmlformats.org/officeDocument/2006/relationships" r:embed="rId5"/>
        <a:stretch/>
      </xdr:blipFill>
      <xdr:spPr>
        <a:xfrm>
          <a:off x="65020680" y="5896080"/>
          <a:ext cx="14185800" cy="8297280"/>
        </a:xfrm>
        <a:prstGeom prst="rect">
          <a:avLst/>
        </a:prstGeom>
        <a:noFill/>
        <a:ln w="0">
          <a:noFill/>
        </a:ln>
      </xdr:spPr>
    </xdr:pic>
    <xdr:clientData/>
  </xdr:twoCellAnchor>
  <xdr:twoCellAnchor editAs="oneCell">
    <xdr:from>
      <xdr:col>33</xdr:col>
      <xdr:colOff>285840</xdr:colOff>
      <xdr:row>75</xdr:row>
      <xdr:rowOff>151200</xdr:rowOff>
    </xdr:from>
    <xdr:to>
      <xdr:col>56</xdr:col>
      <xdr:colOff>122040</xdr:colOff>
      <xdr:row>130</xdr:row>
      <xdr:rowOff>1800</xdr:rowOff>
    </xdr:to>
    <xdr:pic>
      <xdr:nvPicPr>
        <xdr:cNvPr id="26" name="Picture 5">
          <a:extLst>
            <a:ext uri="{FF2B5EF4-FFF2-40B4-BE49-F238E27FC236}">
              <a16:creationId xmlns:a16="http://schemas.microsoft.com/office/drawing/2014/main" id="{00000000-0008-0000-0400-00001A000000}"/>
            </a:ext>
          </a:extLst>
        </xdr:cNvPr>
        <xdr:cNvPicPr/>
      </xdr:nvPicPr>
      <xdr:blipFill>
        <a:blip xmlns:r="http://schemas.openxmlformats.org/officeDocument/2006/relationships" r:embed="rId6"/>
        <a:stretch/>
      </xdr:blipFill>
      <xdr:spPr>
        <a:xfrm>
          <a:off x="22953600" y="12190680"/>
          <a:ext cx="14090400" cy="8410680"/>
        </a:xfrm>
        <a:prstGeom prst="rect">
          <a:avLst/>
        </a:prstGeom>
        <a:noFill/>
        <a:ln w="0">
          <a:noFill/>
        </a:ln>
      </xdr:spPr>
    </xdr:pic>
    <xdr:clientData/>
  </xdr:twoCellAnchor>
  <xdr:twoCellAnchor editAs="oneCell">
    <xdr:from>
      <xdr:col>56</xdr:col>
      <xdr:colOff>0</xdr:colOff>
      <xdr:row>75</xdr:row>
      <xdr:rowOff>114480</xdr:rowOff>
    </xdr:from>
    <xdr:to>
      <xdr:col>78</xdr:col>
      <xdr:colOff>340920</xdr:colOff>
      <xdr:row>129</xdr:row>
      <xdr:rowOff>122760</xdr:rowOff>
    </xdr:to>
    <xdr:pic>
      <xdr:nvPicPr>
        <xdr:cNvPr id="27" name="Picture 6">
          <a:extLst>
            <a:ext uri="{FF2B5EF4-FFF2-40B4-BE49-F238E27FC236}">
              <a16:creationId xmlns:a16="http://schemas.microsoft.com/office/drawing/2014/main" id="{00000000-0008-0000-0400-00001B000000}"/>
            </a:ext>
          </a:extLst>
        </xdr:cNvPr>
        <xdr:cNvPicPr/>
      </xdr:nvPicPr>
      <xdr:blipFill>
        <a:blip xmlns:r="http://schemas.openxmlformats.org/officeDocument/2006/relationships" r:embed="rId7"/>
        <a:stretch/>
      </xdr:blipFill>
      <xdr:spPr>
        <a:xfrm>
          <a:off x="36921960" y="12153960"/>
          <a:ext cx="13975920" cy="8415720"/>
        </a:xfrm>
        <a:prstGeom prst="rect">
          <a:avLst/>
        </a:prstGeom>
        <a:noFill/>
        <a:ln w="0">
          <a:noFill/>
        </a:ln>
      </xdr:spPr>
    </xdr:pic>
    <xdr:clientData/>
  </xdr:twoCellAnchor>
  <xdr:twoCellAnchor editAs="oneCell">
    <xdr:from>
      <xdr:col>78</xdr:col>
      <xdr:colOff>419040</xdr:colOff>
      <xdr:row>75</xdr:row>
      <xdr:rowOff>114480</xdr:rowOff>
    </xdr:from>
    <xdr:to>
      <xdr:col>100</xdr:col>
      <xdr:colOff>483840</xdr:colOff>
      <xdr:row>128</xdr:row>
      <xdr:rowOff>111600</xdr:rowOff>
    </xdr:to>
    <xdr:pic>
      <xdr:nvPicPr>
        <xdr:cNvPr id="28" name="Picture 9">
          <a:extLst>
            <a:ext uri="{FF2B5EF4-FFF2-40B4-BE49-F238E27FC236}">
              <a16:creationId xmlns:a16="http://schemas.microsoft.com/office/drawing/2014/main" id="{00000000-0008-0000-0400-00001C000000}"/>
            </a:ext>
          </a:extLst>
        </xdr:cNvPr>
        <xdr:cNvPicPr/>
      </xdr:nvPicPr>
      <xdr:blipFill>
        <a:blip xmlns:r="http://schemas.openxmlformats.org/officeDocument/2006/relationships" r:embed="rId8"/>
        <a:stretch/>
      </xdr:blipFill>
      <xdr:spPr>
        <a:xfrm>
          <a:off x="50976000" y="12153960"/>
          <a:ext cx="13699440" cy="8252280"/>
        </a:xfrm>
        <a:prstGeom prst="rect">
          <a:avLst/>
        </a:prstGeom>
        <a:noFill/>
        <a:ln w="0">
          <a:noFill/>
        </a:ln>
      </xdr:spPr>
    </xdr:pic>
    <xdr:clientData/>
  </xdr:twoCellAnchor>
  <xdr:twoCellAnchor editAs="oneCell">
    <xdr:from>
      <xdr:col>100</xdr:col>
      <xdr:colOff>571680</xdr:colOff>
      <xdr:row>75</xdr:row>
      <xdr:rowOff>114480</xdr:rowOff>
    </xdr:from>
    <xdr:to>
      <xdr:col>123</xdr:col>
      <xdr:colOff>64800</xdr:colOff>
      <xdr:row>128</xdr:row>
      <xdr:rowOff>136440</xdr:rowOff>
    </xdr:to>
    <xdr:pic>
      <xdr:nvPicPr>
        <xdr:cNvPr id="29" name="Picture 10">
          <a:extLst>
            <a:ext uri="{FF2B5EF4-FFF2-40B4-BE49-F238E27FC236}">
              <a16:creationId xmlns:a16="http://schemas.microsoft.com/office/drawing/2014/main" id="{00000000-0008-0000-0400-00001D000000}"/>
            </a:ext>
          </a:extLst>
        </xdr:cNvPr>
        <xdr:cNvPicPr/>
      </xdr:nvPicPr>
      <xdr:blipFill>
        <a:blip xmlns:r="http://schemas.openxmlformats.org/officeDocument/2006/relationships" r:embed="rId9"/>
        <a:stretch/>
      </xdr:blipFill>
      <xdr:spPr>
        <a:xfrm>
          <a:off x="64763280" y="12153960"/>
          <a:ext cx="13747680" cy="8277120"/>
        </a:xfrm>
        <a:prstGeom prst="rect">
          <a:avLst/>
        </a:prstGeom>
        <a:noFill/>
        <a:ln w="0">
          <a:noFill/>
        </a:ln>
      </xdr:spPr>
    </xdr:pic>
    <xdr:clientData/>
  </xdr:twoCellAnchor>
  <xdr:twoCellAnchor editAs="oneCell">
    <xdr:from>
      <xdr:col>123</xdr:col>
      <xdr:colOff>38160</xdr:colOff>
      <xdr:row>76</xdr:row>
      <xdr:rowOff>0</xdr:rowOff>
    </xdr:from>
    <xdr:to>
      <xdr:col>144</xdr:col>
      <xdr:colOff>312480</xdr:colOff>
      <xdr:row>128</xdr:row>
      <xdr:rowOff>33840</xdr:rowOff>
    </xdr:to>
    <xdr:pic>
      <xdr:nvPicPr>
        <xdr:cNvPr id="30" name="Picture 11">
          <a:extLst>
            <a:ext uri="{FF2B5EF4-FFF2-40B4-BE49-F238E27FC236}">
              <a16:creationId xmlns:a16="http://schemas.microsoft.com/office/drawing/2014/main" id="{00000000-0008-0000-0400-00001E000000}"/>
            </a:ext>
          </a:extLst>
        </xdr:cNvPr>
        <xdr:cNvPicPr/>
      </xdr:nvPicPr>
      <xdr:blipFill>
        <a:blip xmlns:r="http://schemas.openxmlformats.org/officeDocument/2006/relationships" r:embed="rId10"/>
        <a:stretch/>
      </xdr:blipFill>
      <xdr:spPr>
        <a:xfrm>
          <a:off x="78484320" y="12192120"/>
          <a:ext cx="13289040" cy="8136360"/>
        </a:xfrm>
        <a:prstGeom prst="rect">
          <a:avLst/>
        </a:prstGeom>
        <a:noFill/>
        <a:ln w="0">
          <a:noFill/>
        </a:ln>
      </xdr:spPr>
    </xdr:pic>
    <xdr:clientData/>
  </xdr:twoCellAnchor>
  <xdr:twoCellAnchor editAs="oneCell">
    <xdr:from>
      <xdr:col>33</xdr:col>
      <xdr:colOff>419040</xdr:colOff>
      <xdr:row>118</xdr:row>
      <xdr:rowOff>152280</xdr:rowOff>
    </xdr:from>
    <xdr:to>
      <xdr:col>55</xdr:col>
      <xdr:colOff>360000</xdr:colOff>
      <xdr:row>172</xdr:row>
      <xdr:rowOff>69840</xdr:rowOff>
    </xdr:to>
    <xdr:pic>
      <xdr:nvPicPr>
        <xdr:cNvPr id="31" name="Picture 12">
          <a:extLst>
            <a:ext uri="{FF2B5EF4-FFF2-40B4-BE49-F238E27FC236}">
              <a16:creationId xmlns:a16="http://schemas.microsoft.com/office/drawing/2014/main" id="{00000000-0008-0000-0400-00001F000000}"/>
            </a:ext>
          </a:extLst>
        </xdr:cNvPr>
        <xdr:cNvPicPr/>
      </xdr:nvPicPr>
      <xdr:blipFill>
        <a:blip xmlns:r="http://schemas.openxmlformats.org/officeDocument/2006/relationships" r:embed="rId11"/>
        <a:stretch/>
      </xdr:blipFill>
      <xdr:spPr>
        <a:xfrm>
          <a:off x="23086800" y="18875160"/>
          <a:ext cx="13575600" cy="8242560"/>
        </a:xfrm>
        <a:prstGeom prst="rect">
          <a:avLst/>
        </a:prstGeom>
        <a:noFill/>
        <a:ln w="0">
          <a:noFill/>
        </a:ln>
      </xdr:spPr>
    </xdr:pic>
    <xdr:clientData/>
  </xdr:twoCellAnchor>
  <xdr:twoCellAnchor editAs="oneCell">
    <xdr:from>
      <xdr:col>55</xdr:col>
      <xdr:colOff>304920</xdr:colOff>
      <xdr:row>119</xdr:row>
      <xdr:rowOff>0</xdr:rowOff>
    </xdr:from>
    <xdr:to>
      <xdr:col>76</xdr:col>
      <xdr:colOff>379080</xdr:colOff>
      <xdr:row>170</xdr:row>
      <xdr:rowOff>83520</xdr:rowOff>
    </xdr:to>
    <xdr:pic>
      <xdr:nvPicPr>
        <xdr:cNvPr id="32" name="Picture 13">
          <a:extLst>
            <a:ext uri="{FF2B5EF4-FFF2-40B4-BE49-F238E27FC236}">
              <a16:creationId xmlns:a16="http://schemas.microsoft.com/office/drawing/2014/main" id="{00000000-0008-0000-0400-000020000000}"/>
            </a:ext>
          </a:extLst>
        </xdr:cNvPr>
        <xdr:cNvPicPr/>
      </xdr:nvPicPr>
      <xdr:blipFill>
        <a:blip xmlns:r="http://schemas.openxmlformats.org/officeDocument/2006/relationships" r:embed="rId12"/>
        <a:stretch/>
      </xdr:blipFill>
      <xdr:spPr>
        <a:xfrm>
          <a:off x="36607320" y="18923040"/>
          <a:ext cx="13088880" cy="7903440"/>
        </a:xfrm>
        <a:prstGeom prst="rect">
          <a:avLst/>
        </a:prstGeom>
        <a:noFill/>
        <a:ln w="0">
          <a:noFill/>
        </a:ln>
      </xdr:spPr>
    </xdr:pic>
    <xdr:clientData/>
  </xdr:twoCellAnchor>
  <xdr:twoCellAnchor editAs="oneCell">
    <xdr:from>
      <xdr:col>76</xdr:col>
      <xdr:colOff>457200</xdr:colOff>
      <xdr:row>119</xdr:row>
      <xdr:rowOff>76320</xdr:rowOff>
    </xdr:from>
    <xdr:to>
      <xdr:col>97</xdr:col>
      <xdr:colOff>198360</xdr:colOff>
      <xdr:row>170</xdr:row>
      <xdr:rowOff>57600</xdr:rowOff>
    </xdr:to>
    <xdr:pic>
      <xdr:nvPicPr>
        <xdr:cNvPr id="33" name="Picture 14">
          <a:extLst>
            <a:ext uri="{FF2B5EF4-FFF2-40B4-BE49-F238E27FC236}">
              <a16:creationId xmlns:a16="http://schemas.microsoft.com/office/drawing/2014/main" id="{00000000-0008-0000-0400-000021000000}"/>
            </a:ext>
          </a:extLst>
        </xdr:cNvPr>
        <xdr:cNvPicPr/>
      </xdr:nvPicPr>
      <xdr:blipFill>
        <a:blip xmlns:r="http://schemas.openxmlformats.org/officeDocument/2006/relationships" r:embed="rId13"/>
        <a:stretch/>
      </xdr:blipFill>
      <xdr:spPr>
        <a:xfrm>
          <a:off x="49774320" y="18999360"/>
          <a:ext cx="12756240" cy="7801200"/>
        </a:xfrm>
        <a:prstGeom prst="rect">
          <a:avLst/>
        </a:prstGeom>
        <a:noFill/>
        <a:ln w="0">
          <a:noFill/>
        </a:ln>
      </xdr:spPr>
    </xdr:pic>
    <xdr:clientData/>
  </xdr:twoCellAnchor>
  <xdr:twoCellAnchor editAs="oneCell">
    <xdr:from>
      <xdr:col>97</xdr:col>
      <xdr:colOff>152280</xdr:colOff>
      <xdr:row>119</xdr:row>
      <xdr:rowOff>151200</xdr:rowOff>
    </xdr:from>
    <xdr:to>
      <xdr:col>118</xdr:col>
      <xdr:colOff>169560</xdr:colOff>
      <xdr:row>171</xdr:row>
      <xdr:rowOff>55080</xdr:rowOff>
    </xdr:to>
    <xdr:pic>
      <xdr:nvPicPr>
        <xdr:cNvPr id="34" name="Picture 15">
          <a:extLst>
            <a:ext uri="{FF2B5EF4-FFF2-40B4-BE49-F238E27FC236}">
              <a16:creationId xmlns:a16="http://schemas.microsoft.com/office/drawing/2014/main" id="{00000000-0008-0000-0400-000022000000}"/>
            </a:ext>
          </a:extLst>
        </xdr:cNvPr>
        <xdr:cNvPicPr/>
      </xdr:nvPicPr>
      <xdr:blipFill>
        <a:blip xmlns:r="http://schemas.openxmlformats.org/officeDocument/2006/relationships" r:embed="rId14"/>
        <a:stretch/>
      </xdr:blipFill>
      <xdr:spPr>
        <a:xfrm>
          <a:off x="62484480" y="19074240"/>
          <a:ext cx="13032360" cy="7876440"/>
        </a:xfrm>
        <a:prstGeom prst="rect">
          <a:avLst/>
        </a:prstGeom>
        <a:noFill/>
        <a:ln w="0">
          <a:noFill/>
        </a:ln>
      </xdr:spPr>
    </xdr:pic>
    <xdr:clientData/>
  </xdr:twoCellAnchor>
  <xdr:twoCellAnchor editAs="oneCell">
    <xdr:from>
      <xdr:col>118</xdr:col>
      <xdr:colOff>114480</xdr:colOff>
      <xdr:row>119</xdr:row>
      <xdr:rowOff>151200</xdr:rowOff>
    </xdr:from>
    <xdr:to>
      <xdr:col>139</xdr:col>
      <xdr:colOff>169920</xdr:colOff>
      <xdr:row>171</xdr:row>
      <xdr:rowOff>45720</xdr:rowOff>
    </xdr:to>
    <xdr:pic>
      <xdr:nvPicPr>
        <xdr:cNvPr id="35" name="Picture 16">
          <a:extLst>
            <a:ext uri="{FF2B5EF4-FFF2-40B4-BE49-F238E27FC236}">
              <a16:creationId xmlns:a16="http://schemas.microsoft.com/office/drawing/2014/main" id="{00000000-0008-0000-0400-000023000000}"/>
            </a:ext>
          </a:extLst>
        </xdr:cNvPr>
        <xdr:cNvPicPr/>
      </xdr:nvPicPr>
      <xdr:blipFill>
        <a:blip xmlns:r="http://schemas.openxmlformats.org/officeDocument/2006/relationships" r:embed="rId15"/>
        <a:stretch/>
      </xdr:blipFill>
      <xdr:spPr>
        <a:xfrm>
          <a:off x="75461760" y="19074240"/>
          <a:ext cx="13070160" cy="7867080"/>
        </a:xfrm>
        <a:prstGeom prst="rect">
          <a:avLst/>
        </a:prstGeom>
        <a:noFill/>
        <a:ln w="0">
          <a:noFill/>
        </a:ln>
      </xdr:spPr>
    </xdr:pic>
    <xdr:clientData/>
  </xdr:twoCellAnchor>
  <xdr:twoCellAnchor editAs="oneCell">
    <xdr:from>
      <xdr:col>33</xdr:col>
      <xdr:colOff>228600</xdr:colOff>
      <xdr:row>162</xdr:row>
      <xdr:rowOff>76320</xdr:rowOff>
    </xdr:from>
    <xdr:to>
      <xdr:col>54</xdr:col>
      <xdr:colOff>169560</xdr:colOff>
      <xdr:row>208</xdr:row>
      <xdr:rowOff>34920</xdr:rowOff>
    </xdr:to>
    <xdr:pic>
      <xdr:nvPicPr>
        <xdr:cNvPr id="36" name="Picture 17">
          <a:extLst>
            <a:ext uri="{FF2B5EF4-FFF2-40B4-BE49-F238E27FC236}">
              <a16:creationId xmlns:a16="http://schemas.microsoft.com/office/drawing/2014/main" id="{00000000-0008-0000-0400-000024000000}"/>
            </a:ext>
          </a:extLst>
        </xdr:cNvPr>
        <xdr:cNvPicPr/>
      </xdr:nvPicPr>
      <xdr:blipFill>
        <a:blip xmlns:r="http://schemas.openxmlformats.org/officeDocument/2006/relationships" r:embed="rId16"/>
        <a:stretch/>
      </xdr:blipFill>
      <xdr:spPr>
        <a:xfrm>
          <a:off x="22896360" y="25552440"/>
          <a:ext cx="12955680" cy="7931160"/>
        </a:xfrm>
        <a:prstGeom prst="rect">
          <a:avLst/>
        </a:prstGeom>
        <a:noFill/>
        <a:ln w="0">
          <a:noFill/>
        </a:ln>
      </xdr:spPr>
    </xdr:pic>
    <xdr:clientData/>
  </xdr:twoCellAnchor>
  <xdr:twoCellAnchor editAs="oneCell">
    <xdr:from>
      <xdr:col>54</xdr:col>
      <xdr:colOff>228600</xdr:colOff>
      <xdr:row>162</xdr:row>
      <xdr:rowOff>76320</xdr:rowOff>
    </xdr:from>
    <xdr:to>
      <xdr:col>75</xdr:col>
      <xdr:colOff>17280</xdr:colOff>
      <xdr:row>208</xdr:row>
      <xdr:rowOff>54000</xdr:rowOff>
    </xdr:to>
    <xdr:pic>
      <xdr:nvPicPr>
        <xdr:cNvPr id="37" name="Picture 18">
          <a:extLst>
            <a:ext uri="{FF2B5EF4-FFF2-40B4-BE49-F238E27FC236}">
              <a16:creationId xmlns:a16="http://schemas.microsoft.com/office/drawing/2014/main" id="{00000000-0008-0000-0400-000025000000}"/>
            </a:ext>
          </a:extLst>
        </xdr:cNvPr>
        <xdr:cNvPicPr/>
      </xdr:nvPicPr>
      <xdr:blipFill>
        <a:blip xmlns:r="http://schemas.openxmlformats.org/officeDocument/2006/relationships" r:embed="rId17"/>
        <a:stretch/>
      </xdr:blipFill>
      <xdr:spPr>
        <a:xfrm>
          <a:off x="35911080" y="25552440"/>
          <a:ext cx="12803760" cy="7950240"/>
        </a:xfrm>
        <a:prstGeom prst="rect">
          <a:avLst/>
        </a:prstGeom>
        <a:noFill/>
        <a:ln w="0">
          <a:noFill/>
        </a:ln>
      </xdr:spPr>
    </xdr:pic>
    <xdr:clientData/>
  </xdr:twoCellAnchor>
  <xdr:twoCellAnchor editAs="oneCell">
    <xdr:from>
      <xdr:col>75</xdr:col>
      <xdr:colOff>38160</xdr:colOff>
      <xdr:row>162</xdr:row>
      <xdr:rowOff>114480</xdr:rowOff>
    </xdr:from>
    <xdr:to>
      <xdr:col>96</xdr:col>
      <xdr:colOff>369720</xdr:colOff>
      <xdr:row>210</xdr:row>
      <xdr:rowOff>68760</xdr:rowOff>
    </xdr:to>
    <xdr:pic>
      <xdr:nvPicPr>
        <xdr:cNvPr id="38" name="Picture 19">
          <a:extLst>
            <a:ext uri="{FF2B5EF4-FFF2-40B4-BE49-F238E27FC236}">
              <a16:creationId xmlns:a16="http://schemas.microsoft.com/office/drawing/2014/main" id="{00000000-0008-0000-0400-000026000000}"/>
            </a:ext>
          </a:extLst>
        </xdr:cNvPr>
        <xdr:cNvPicPr/>
      </xdr:nvPicPr>
      <xdr:blipFill>
        <a:blip xmlns:r="http://schemas.openxmlformats.org/officeDocument/2006/relationships" r:embed="rId18"/>
        <a:stretch/>
      </xdr:blipFill>
      <xdr:spPr>
        <a:xfrm>
          <a:off x="48735720" y="25590600"/>
          <a:ext cx="13346640" cy="8231760"/>
        </a:xfrm>
        <a:prstGeom prst="rect">
          <a:avLst/>
        </a:prstGeom>
        <a:noFill/>
        <a:ln w="0">
          <a:noFill/>
        </a:ln>
      </xdr:spPr>
    </xdr:pic>
    <xdr:clientData/>
  </xdr:twoCellAnchor>
  <xdr:twoCellAnchor editAs="oneCell">
    <xdr:from>
      <xdr:col>96</xdr:col>
      <xdr:colOff>380880</xdr:colOff>
      <xdr:row>162</xdr:row>
      <xdr:rowOff>19080</xdr:rowOff>
    </xdr:from>
    <xdr:to>
      <xdr:col>118</xdr:col>
      <xdr:colOff>2520</xdr:colOff>
      <xdr:row>209</xdr:row>
      <xdr:rowOff>127800</xdr:rowOff>
    </xdr:to>
    <xdr:pic>
      <xdr:nvPicPr>
        <xdr:cNvPr id="39" name="Picture 20">
          <a:extLst>
            <a:ext uri="{FF2B5EF4-FFF2-40B4-BE49-F238E27FC236}">
              <a16:creationId xmlns:a16="http://schemas.microsoft.com/office/drawing/2014/main" id="{00000000-0008-0000-0400-000027000000}"/>
            </a:ext>
          </a:extLst>
        </xdr:cNvPr>
        <xdr:cNvPicPr/>
      </xdr:nvPicPr>
      <xdr:blipFill>
        <a:blip xmlns:r="http://schemas.openxmlformats.org/officeDocument/2006/relationships" r:embed="rId19"/>
        <a:stretch/>
      </xdr:blipFill>
      <xdr:spPr>
        <a:xfrm>
          <a:off x="62093520" y="25495200"/>
          <a:ext cx="13256280" cy="8233560"/>
        </a:xfrm>
        <a:prstGeom prst="rect">
          <a:avLst/>
        </a:prstGeom>
        <a:noFill/>
        <a:ln w="0">
          <a:noFill/>
        </a:ln>
      </xdr:spPr>
    </xdr:pic>
    <xdr:clientData/>
  </xdr:twoCellAnchor>
  <xdr:twoCellAnchor>
    <xdr:from>
      <xdr:col>3</xdr:col>
      <xdr:colOff>598320</xdr:colOff>
      <xdr:row>237</xdr:row>
      <xdr:rowOff>50760</xdr:rowOff>
    </xdr:from>
    <xdr:to>
      <xdr:col>5</xdr:col>
      <xdr:colOff>837360</xdr:colOff>
      <xdr:row>239</xdr:row>
      <xdr:rowOff>150840</xdr:rowOff>
    </xdr:to>
    <xdr:sp macro="" textlink="">
      <xdr:nvSpPr>
        <xdr:cNvPr id="40" name="_x005F_x0000_s5121" descr=" ">
          <a:extLst>
            <a:ext uri="{FF2B5EF4-FFF2-40B4-BE49-F238E27FC236}">
              <a16:creationId xmlns:a16="http://schemas.microsoft.com/office/drawing/2014/main" id="{00000000-0008-0000-0400-000028000000}"/>
            </a:ext>
          </a:extLst>
        </xdr:cNvPr>
        <xdr:cNvSpPr/>
      </xdr:nvSpPr>
      <xdr:spPr>
        <a:xfrm>
          <a:off x="1969200" y="37919160"/>
          <a:ext cx="2268720" cy="404640"/>
        </a:xfrm>
        <a:prstGeom prst="rect">
          <a:avLst/>
        </a:prstGeom>
        <a:noFill/>
        <a:ln w="12700">
          <a:noFill/>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2</xdr:col>
      <xdr:colOff>474120</xdr:colOff>
      <xdr:row>282</xdr:row>
      <xdr:rowOff>127440</xdr:rowOff>
    </xdr:from>
    <xdr:to>
      <xdr:col>8</xdr:col>
      <xdr:colOff>312480</xdr:colOff>
      <xdr:row>287</xdr:row>
      <xdr:rowOff>111600</xdr:rowOff>
    </xdr:to>
    <xdr:pic>
      <xdr:nvPicPr>
        <xdr:cNvPr id="41" name="Picture 23">
          <a:extLst>
            <a:ext uri="{FF2B5EF4-FFF2-40B4-BE49-F238E27FC236}">
              <a16:creationId xmlns:a16="http://schemas.microsoft.com/office/drawing/2014/main" id="{00000000-0008-0000-0400-000029000000}"/>
            </a:ext>
          </a:extLst>
        </xdr:cNvPr>
        <xdr:cNvPicPr/>
      </xdr:nvPicPr>
      <xdr:blipFill>
        <a:blip xmlns:r="http://schemas.openxmlformats.org/officeDocument/2006/relationships" r:embed="rId20"/>
        <a:stretch/>
      </xdr:blipFill>
      <xdr:spPr>
        <a:xfrm>
          <a:off x="1062720" y="44891640"/>
          <a:ext cx="5780160" cy="746280"/>
        </a:xfrm>
        <a:prstGeom prst="rect">
          <a:avLst/>
        </a:prstGeom>
        <a:noFill/>
        <a:ln w="0">
          <a:noFill/>
        </a:ln>
      </xdr:spPr>
    </xdr:pic>
    <xdr:clientData/>
  </xdr:twoCellAnchor>
  <xdr:twoCellAnchor editAs="oneCell">
    <xdr:from>
      <xdr:col>2</xdr:col>
      <xdr:colOff>671040</xdr:colOff>
      <xdr:row>277</xdr:row>
      <xdr:rowOff>137880</xdr:rowOff>
    </xdr:from>
    <xdr:to>
      <xdr:col>8</xdr:col>
      <xdr:colOff>128520</xdr:colOff>
      <xdr:row>282</xdr:row>
      <xdr:rowOff>131760</xdr:rowOff>
    </xdr:to>
    <xdr:pic>
      <xdr:nvPicPr>
        <xdr:cNvPr id="42" name="Picture 25">
          <a:extLst>
            <a:ext uri="{FF2B5EF4-FFF2-40B4-BE49-F238E27FC236}">
              <a16:creationId xmlns:a16="http://schemas.microsoft.com/office/drawing/2014/main" id="{00000000-0008-0000-0400-00002A000000}"/>
            </a:ext>
          </a:extLst>
        </xdr:cNvPr>
        <xdr:cNvPicPr/>
      </xdr:nvPicPr>
      <xdr:blipFill>
        <a:blip xmlns:r="http://schemas.openxmlformats.org/officeDocument/2006/relationships" r:embed="rId21"/>
        <a:stretch/>
      </xdr:blipFill>
      <xdr:spPr>
        <a:xfrm>
          <a:off x="1259640" y="44140320"/>
          <a:ext cx="5399280" cy="755640"/>
        </a:xfrm>
        <a:prstGeom prst="rect">
          <a:avLst/>
        </a:prstGeom>
        <a:noFill/>
        <a:ln w="0">
          <a:noFill/>
        </a:ln>
      </xdr:spPr>
    </xdr:pic>
    <xdr:clientData/>
  </xdr:twoCellAnchor>
  <xdr:twoCellAnchor editAs="oneCell">
    <xdr:from>
      <xdr:col>36</xdr:col>
      <xdr:colOff>95400</xdr:colOff>
      <xdr:row>253</xdr:row>
      <xdr:rowOff>122760</xdr:rowOff>
    </xdr:from>
    <xdr:to>
      <xdr:col>56</xdr:col>
      <xdr:colOff>103320</xdr:colOff>
      <xdr:row>301</xdr:row>
      <xdr:rowOff>148320</xdr:rowOff>
    </xdr:to>
    <xdr:pic>
      <xdr:nvPicPr>
        <xdr:cNvPr id="43" name="Picture 22">
          <a:extLst>
            <a:ext uri="{FF2B5EF4-FFF2-40B4-BE49-F238E27FC236}">
              <a16:creationId xmlns:a16="http://schemas.microsoft.com/office/drawing/2014/main" id="{00000000-0008-0000-0400-00002B000000}"/>
            </a:ext>
          </a:extLst>
        </xdr:cNvPr>
        <xdr:cNvPicPr/>
      </xdr:nvPicPr>
      <xdr:blipFill>
        <a:blip xmlns:r="http://schemas.openxmlformats.org/officeDocument/2006/relationships" r:embed="rId22"/>
        <a:stretch/>
      </xdr:blipFill>
      <xdr:spPr>
        <a:xfrm>
          <a:off x="24622200" y="40429440"/>
          <a:ext cx="12403080" cy="7378920"/>
        </a:xfrm>
        <a:prstGeom prst="rect">
          <a:avLst/>
        </a:prstGeom>
        <a:noFill/>
        <a:ln w="0">
          <a:noFill/>
        </a:ln>
      </xdr:spPr>
    </xdr:pic>
    <xdr:clientData/>
  </xdr:twoCellAnchor>
  <xdr:twoCellAnchor editAs="oneCell">
    <xdr:from>
      <xdr:col>55</xdr:col>
      <xdr:colOff>285840</xdr:colOff>
      <xdr:row>250</xdr:row>
      <xdr:rowOff>62280</xdr:rowOff>
    </xdr:from>
    <xdr:to>
      <xdr:col>74</xdr:col>
      <xdr:colOff>169920</xdr:colOff>
      <xdr:row>296</xdr:row>
      <xdr:rowOff>54360</xdr:rowOff>
    </xdr:to>
    <xdr:pic>
      <xdr:nvPicPr>
        <xdr:cNvPr id="44" name="Picture 24">
          <a:extLst>
            <a:ext uri="{FF2B5EF4-FFF2-40B4-BE49-F238E27FC236}">
              <a16:creationId xmlns:a16="http://schemas.microsoft.com/office/drawing/2014/main" id="{00000000-0008-0000-0400-00002C000000}"/>
            </a:ext>
          </a:extLst>
        </xdr:cNvPr>
        <xdr:cNvPicPr/>
      </xdr:nvPicPr>
      <xdr:blipFill>
        <a:blip xmlns:r="http://schemas.openxmlformats.org/officeDocument/2006/relationships" r:embed="rId23"/>
        <a:stretch/>
      </xdr:blipFill>
      <xdr:spPr>
        <a:xfrm>
          <a:off x="36588240" y="39911760"/>
          <a:ext cx="11659320" cy="7040520"/>
        </a:xfrm>
        <a:prstGeom prst="rect">
          <a:avLst/>
        </a:prstGeom>
        <a:noFill/>
        <a:ln w="0">
          <a:noFill/>
        </a:ln>
      </xdr:spPr>
    </xdr:pic>
    <xdr:clientData/>
  </xdr:twoCellAnchor>
  <xdr:twoCellAnchor editAs="oneCell">
    <xdr:from>
      <xdr:col>77</xdr:col>
      <xdr:colOff>95400</xdr:colOff>
      <xdr:row>253</xdr:row>
      <xdr:rowOff>0</xdr:rowOff>
    </xdr:from>
    <xdr:to>
      <xdr:col>92</xdr:col>
      <xdr:colOff>570240</xdr:colOff>
      <xdr:row>292</xdr:row>
      <xdr:rowOff>92520</xdr:rowOff>
    </xdr:to>
    <xdr:pic>
      <xdr:nvPicPr>
        <xdr:cNvPr id="45" name="Picture 26">
          <a:extLst>
            <a:ext uri="{FF2B5EF4-FFF2-40B4-BE49-F238E27FC236}">
              <a16:creationId xmlns:a16="http://schemas.microsoft.com/office/drawing/2014/main" id="{00000000-0008-0000-0400-00002D000000}"/>
            </a:ext>
          </a:extLst>
        </xdr:cNvPr>
        <xdr:cNvPicPr/>
      </xdr:nvPicPr>
      <xdr:blipFill>
        <a:blip xmlns:r="http://schemas.openxmlformats.org/officeDocument/2006/relationships" r:embed="rId24"/>
        <a:stretch/>
      </xdr:blipFill>
      <xdr:spPr>
        <a:xfrm>
          <a:off x="50032440" y="40306680"/>
          <a:ext cx="9771120" cy="6074280"/>
        </a:xfrm>
        <a:prstGeom prst="rect">
          <a:avLst/>
        </a:prstGeom>
        <a:noFill/>
        <a:ln w="0">
          <a:noFill/>
        </a:ln>
      </xdr:spPr>
    </xdr:pic>
    <xdr:clientData/>
  </xdr:twoCellAnchor>
  <xdr:twoCellAnchor editAs="oneCell">
    <xdr:from>
      <xdr:col>100</xdr:col>
      <xdr:colOff>0</xdr:colOff>
      <xdr:row>277</xdr:row>
      <xdr:rowOff>0</xdr:rowOff>
    </xdr:from>
    <xdr:to>
      <xdr:col>116</xdr:col>
      <xdr:colOff>74520</xdr:colOff>
      <xdr:row>317</xdr:row>
      <xdr:rowOff>58320</xdr:rowOff>
    </xdr:to>
    <xdr:pic>
      <xdr:nvPicPr>
        <xdr:cNvPr id="46" name="Picture 27">
          <a:extLst>
            <a:ext uri="{FF2B5EF4-FFF2-40B4-BE49-F238E27FC236}">
              <a16:creationId xmlns:a16="http://schemas.microsoft.com/office/drawing/2014/main" id="{00000000-0008-0000-0400-00002E000000}"/>
            </a:ext>
          </a:extLst>
        </xdr:cNvPr>
        <xdr:cNvPicPr/>
      </xdr:nvPicPr>
      <xdr:blipFill>
        <a:blip xmlns:r="http://schemas.openxmlformats.org/officeDocument/2006/relationships" r:embed="rId25"/>
        <a:stretch/>
      </xdr:blipFill>
      <xdr:spPr>
        <a:xfrm>
          <a:off x="64191600" y="44002440"/>
          <a:ext cx="9990720" cy="615420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28440</xdr:colOff>
      <xdr:row>300</xdr:row>
      <xdr:rowOff>57240</xdr:rowOff>
    </xdr:from>
    <xdr:to>
      <xdr:col>6</xdr:col>
      <xdr:colOff>819360</xdr:colOff>
      <xdr:row>305</xdr:row>
      <xdr:rowOff>41760</xdr:rowOff>
    </xdr:to>
    <xdr:pic>
      <xdr:nvPicPr>
        <xdr:cNvPr id="47" name="Picture 1">
          <a:extLst>
            <a:ext uri="{FF2B5EF4-FFF2-40B4-BE49-F238E27FC236}">
              <a16:creationId xmlns:a16="http://schemas.microsoft.com/office/drawing/2014/main" id="{00000000-0008-0000-0600-00002F000000}"/>
            </a:ext>
          </a:extLst>
        </xdr:cNvPr>
        <xdr:cNvPicPr/>
      </xdr:nvPicPr>
      <xdr:blipFill>
        <a:blip xmlns:r="http://schemas.openxmlformats.org/officeDocument/2006/relationships" r:embed="rId1"/>
        <a:stretch/>
      </xdr:blipFill>
      <xdr:spPr>
        <a:xfrm>
          <a:off x="617040" y="47891880"/>
          <a:ext cx="4602240" cy="746280"/>
        </a:xfrm>
        <a:prstGeom prst="rect">
          <a:avLst/>
        </a:prstGeom>
        <a:noFill/>
        <a:ln w="0">
          <a:noFill/>
        </a:ln>
      </xdr:spPr>
    </xdr:pic>
    <xdr:clientData/>
  </xdr:twoCellAnchor>
  <xdr:twoCellAnchor editAs="oneCell">
    <xdr:from>
      <xdr:col>2</xdr:col>
      <xdr:colOff>38160</xdr:colOff>
      <xdr:row>295</xdr:row>
      <xdr:rowOff>38160</xdr:rowOff>
    </xdr:from>
    <xdr:to>
      <xdr:col>6</xdr:col>
      <xdr:colOff>524160</xdr:colOff>
      <xdr:row>300</xdr:row>
      <xdr:rowOff>31680</xdr:rowOff>
    </xdr:to>
    <xdr:pic>
      <xdr:nvPicPr>
        <xdr:cNvPr id="48" name="Picture 2">
          <a:extLst>
            <a:ext uri="{FF2B5EF4-FFF2-40B4-BE49-F238E27FC236}">
              <a16:creationId xmlns:a16="http://schemas.microsoft.com/office/drawing/2014/main" id="{00000000-0008-0000-0600-000030000000}"/>
            </a:ext>
          </a:extLst>
        </xdr:cNvPr>
        <xdr:cNvPicPr/>
      </xdr:nvPicPr>
      <xdr:blipFill>
        <a:blip xmlns:r="http://schemas.openxmlformats.org/officeDocument/2006/relationships" r:embed="rId2"/>
        <a:stretch/>
      </xdr:blipFill>
      <xdr:spPr>
        <a:xfrm>
          <a:off x="626760" y="47110680"/>
          <a:ext cx="4297320" cy="755640"/>
        </a:xfrm>
        <a:prstGeom prst="rect">
          <a:avLst/>
        </a:prstGeom>
        <a:noFill/>
        <a:ln w="0">
          <a:noFill/>
        </a:ln>
      </xdr:spPr>
    </xdr:pic>
    <xdr:clientData/>
  </xdr:twoCellAnchor>
  <xdr:twoCellAnchor editAs="oneCell">
    <xdr:from>
      <xdr:col>2</xdr:col>
      <xdr:colOff>219240</xdr:colOff>
      <xdr:row>69</xdr:row>
      <xdr:rowOff>123840</xdr:rowOff>
    </xdr:from>
    <xdr:to>
      <xdr:col>8</xdr:col>
      <xdr:colOff>180720</xdr:colOff>
      <xdr:row>85</xdr:row>
      <xdr:rowOff>95040</xdr:rowOff>
    </xdr:to>
    <xdr:graphicFrame macro="">
      <xdr:nvGraphicFramePr>
        <xdr:cNvPr id="49" name="Chart 3">
          <a:extLst>
            <a:ext uri="{FF2B5EF4-FFF2-40B4-BE49-F238E27FC236}">
              <a16:creationId xmlns:a16="http://schemas.microsoft.com/office/drawing/2014/main" id="{00000000-0008-0000-0600-00003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201960</xdr:colOff>
      <xdr:row>100</xdr:row>
      <xdr:rowOff>47880</xdr:rowOff>
    </xdr:from>
    <xdr:to>
      <xdr:col>8</xdr:col>
      <xdr:colOff>155520</xdr:colOff>
      <xdr:row>115</xdr:row>
      <xdr:rowOff>150480</xdr:rowOff>
    </xdr:to>
    <xdr:graphicFrame macro="">
      <xdr:nvGraphicFramePr>
        <xdr:cNvPr id="50" name="Chart 15">
          <a:extLst>
            <a:ext uri="{FF2B5EF4-FFF2-40B4-BE49-F238E27FC236}">
              <a16:creationId xmlns:a16="http://schemas.microsoft.com/office/drawing/2014/main" id="{00000000-0008-0000-06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166680</xdr:colOff>
      <xdr:row>130</xdr:row>
      <xdr:rowOff>119160</xdr:rowOff>
    </xdr:from>
    <xdr:to>
      <xdr:col>26</xdr:col>
      <xdr:colOff>570960</xdr:colOff>
      <xdr:row>154</xdr:row>
      <xdr:rowOff>118800</xdr:rowOff>
    </xdr:to>
    <xdr:graphicFrame macro="">
      <xdr:nvGraphicFramePr>
        <xdr:cNvPr id="51" name="Chart 15">
          <a:extLst>
            <a:ext uri="{FF2B5EF4-FFF2-40B4-BE49-F238E27FC236}">
              <a16:creationId xmlns:a16="http://schemas.microsoft.com/office/drawing/2014/main" id="{00000000-0008-0000-0600-00003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476280</xdr:colOff>
      <xdr:row>195</xdr:row>
      <xdr:rowOff>119160</xdr:rowOff>
    </xdr:from>
    <xdr:to>
      <xdr:col>27</xdr:col>
      <xdr:colOff>475920</xdr:colOff>
      <xdr:row>216</xdr:row>
      <xdr:rowOff>166320</xdr:rowOff>
    </xdr:to>
    <xdr:graphicFrame macro="">
      <xdr:nvGraphicFramePr>
        <xdr:cNvPr id="52" name="Chart 15">
          <a:extLst>
            <a:ext uri="{FF2B5EF4-FFF2-40B4-BE49-F238E27FC236}">
              <a16:creationId xmlns:a16="http://schemas.microsoft.com/office/drawing/2014/main" id="{00000000-0008-0000-0600-00003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281880</xdr:colOff>
      <xdr:row>251</xdr:row>
      <xdr:rowOff>111960</xdr:rowOff>
    </xdr:from>
    <xdr:to>
      <xdr:col>8</xdr:col>
      <xdr:colOff>795240</xdr:colOff>
      <xdr:row>269</xdr:row>
      <xdr:rowOff>86760</xdr:rowOff>
    </xdr:to>
    <xdr:graphicFrame macro="">
      <xdr:nvGraphicFramePr>
        <xdr:cNvPr id="53" name="Chart 7">
          <a:extLst>
            <a:ext uri="{FF2B5EF4-FFF2-40B4-BE49-F238E27FC236}">
              <a16:creationId xmlns:a16="http://schemas.microsoft.com/office/drawing/2014/main" id="{00000000-0008-0000-06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89640</xdr:colOff>
      <xdr:row>256</xdr:row>
      <xdr:rowOff>56160</xdr:rowOff>
    </xdr:from>
    <xdr:to>
      <xdr:col>20</xdr:col>
      <xdr:colOff>537480</xdr:colOff>
      <xdr:row>272</xdr:row>
      <xdr:rowOff>142920</xdr:rowOff>
    </xdr:to>
    <xdr:graphicFrame macro="">
      <xdr:nvGraphicFramePr>
        <xdr:cNvPr id="57" name="Chart 8">
          <a:extLst>
            <a:ext uri="{FF2B5EF4-FFF2-40B4-BE49-F238E27FC236}">
              <a16:creationId xmlns:a16="http://schemas.microsoft.com/office/drawing/2014/main" id="{00000000-0008-0000-0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0.26385</cdr:x>
      <cdr:y>0.05721</cdr:y>
    </cdr:from>
    <cdr:to>
      <cdr:x>0.7221</cdr:x>
      <cdr:y>0.14912</cdr:y>
    </cdr:to>
    <cdr:sp macro="" textlink="">
      <cdr:nvSpPr>
        <cdr:cNvPr id="54" name="TextBox 2"/>
        <cdr:cNvSpPr/>
      </cdr:nvSpPr>
      <cdr:spPr>
        <a:xfrm xmlns:a="http://schemas.openxmlformats.org/drawingml/2006/main">
          <a:off x="1697040" y="155520"/>
          <a:ext cx="2947320" cy="249840"/>
        </a:xfrm>
        <a:prstGeom xmlns:a="http://schemas.openxmlformats.org/drawingml/2006/main" prst="rect">
          <a:avLst/>
        </a:prstGeom>
        <a:noFill xmlns:a="http://schemas.openxmlformats.org/drawingml/2006/main"/>
        <a:ln xmlns:a="http://schemas.openxmlformats.org/drawingml/2006/main" w="0">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cdr:style>
      <cdr:txBody>
        <a:bodyPr xmlns:a="http://schemas.openxmlformats.org/drawingml/2006/main" lIns="90000" tIns="45000" rIns="90000" bIns="45000" anchor="t">
          <a:noAutofit/>
        </a:bodyPr>
        <a:lstStyle xmlns:a="http://schemas.openxmlformats.org/drawingml/2006/main"/>
        <a:p xmlns:a="http://schemas.openxmlformats.org/drawingml/2006/main">
          <a:pPr algn="ctr">
            <a:lnSpc>
              <a:spcPct val="100000"/>
            </a:lnSpc>
          </a:pPr>
          <a:r>
            <a:rPr lang="en-US" sz="1600" b="0" u="none" strike="noStrike">
              <a:effectLst/>
              <a:uFillTx/>
              <a:latin typeface="Times New Roman"/>
            </a:rPr>
            <a:t>RPM PROPELLER</a:t>
          </a:r>
          <a:endParaRPr sz="1600" b="0" u="none" strike="noStrike">
            <a:effectLst/>
            <a:uFillTx/>
            <a:latin typeface="Times New Roman"/>
          </a:endParaRPr>
        </a:p>
      </cdr:txBody>
    </cdr:sp>
  </cdr:relSizeAnchor>
  <cdr:relSizeAnchor xmlns:cdr="http://schemas.openxmlformats.org/drawingml/2006/chartDrawing">
    <cdr:from>
      <cdr:x>0.0253</cdr:x>
      <cdr:y>0.4218</cdr:y>
    </cdr:from>
    <cdr:to>
      <cdr:x>0.08597</cdr:x>
      <cdr:y>0.68468</cdr:y>
    </cdr:to>
    <cdr:sp macro="" textlink="">
      <cdr:nvSpPr>
        <cdr:cNvPr id="55" name="TextBox 4"/>
        <cdr:cNvSpPr/>
      </cdr:nvSpPr>
      <cdr:spPr>
        <a:xfrm xmlns:a="http://schemas.openxmlformats.org/drawingml/2006/main" rot="5400000">
          <a:off x="360" y="1308600"/>
          <a:ext cx="714600" cy="390240"/>
        </a:xfrm>
        <a:prstGeom xmlns:a="http://schemas.openxmlformats.org/drawingml/2006/main" prst="rect">
          <a:avLst/>
        </a:prstGeom>
        <a:noFill xmlns:a="http://schemas.openxmlformats.org/drawingml/2006/main"/>
        <a:ln xmlns:a="http://schemas.openxmlformats.org/drawingml/2006/main" w="0">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cdr:style>
      <cdr:txBody>
        <a:bodyPr xmlns:a="http://schemas.openxmlformats.org/drawingml/2006/main" lIns="90000" tIns="45000" rIns="90000" bIns="45000" anchor="t">
          <a:noAutofit/>
        </a:bodyPr>
        <a:lstStyle xmlns:a="http://schemas.openxmlformats.org/drawingml/2006/main"/>
        <a:p xmlns:a="http://schemas.openxmlformats.org/drawingml/2006/main">
          <a:pPr>
            <a:lnSpc>
              <a:spcPct val="100000"/>
            </a:lnSpc>
          </a:pPr>
          <a:r>
            <a:rPr lang="en-US" sz="1100" b="0" u="none" strike="noStrike">
              <a:effectLst/>
              <a:uFillTx/>
              <a:latin typeface="Times New Roman"/>
            </a:rPr>
            <a:t>BHP (KW)</a:t>
          </a:r>
          <a:endParaRPr sz="1100" b="0" u="none" strike="noStrike">
            <a:effectLst/>
            <a:uFillTx/>
            <a:latin typeface="Times New Roman"/>
          </a:endParaRPr>
        </a:p>
      </cdr:txBody>
    </cdr:sp>
  </cdr:relSizeAnchor>
  <cdr:relSizeAnchor xmlns:cdr="http://schemas.openxmlformats.org/drawingml/2006/chartDrawing">
    <cdr:from>
      <cdr:x>0.40278</cdr:x>
      <cdr:y>0.90505</cdr:y>
    </cdr:from>
    <cdr:to>
      <cdr:x>0.58502</cdr:x>
      <cdr:y>0.96411</cdr:y>
    </cdr:to>
    <cdr:sp macro="" textlink="">
      <cdr:nvSpPr>
        <cdr:cNvPr id="56" name="TextBox 5"/>
        <cdr:cNvSpPr/>
      </cdr:nvSpPr>
      <cdr:spPr>
        <a:xfrm xmlns:a="http://schemas.openxmlformats.org/drawingml/2006/main">
          <a:off x="2590560" y="2460240"/>
          <a:ext cx="1172160" cy="160560"/>
        </a:xfrm>
        <a:prstGeom xmlns:a="http://schemas.openxmlformats.org/drawingml/2006/main" prst="rect">
          <a:avLst/>
        </a:prstGeom>
        <a:noFill xmlns:a="http://schemas.openxmlformats.org/drawingml/2006/main"/>
        <a:ln xmlns:a="http://schemas.openxmlformats.org/drawingml/2006/main" w="0">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cdr:style>
      <cdr:txBody>
        <a:bodyPr xmlns:a="http://schemas.openxmlformats.org/drawingml/2006/main" lIns="90000" tIns="45000" rIns="90000" bIns="45000" anchor="t">
          <a:noAutofit/>
        </a:bodyPr>
        <a:lstStyle xmlns:a="http://schemas.openxmlformats.org/drawingml/2006/main"/>
        <a:p xmlns:a="http://schemas.openxmlformats.org/drawingml/2006/main">
          <a:pPr>
            <a:lnSpc>
              <a:spcPct val="100000"/>
            </a:lnSpc>
          </a:pPr>
          <a:r>
            <a:rPr lang="en-US" sz="1100" b="0" u="none" strike="noStrike">
              <a:effectLst/>
              <a:uFillTx/>
              <a:latin typeface="Times New Roman"/>
            </a:rPr>
            <a:t>RPM</a:t>
          </a:r>
          <a:endParaRPr sz="1100" b="0" u="none" strike="noStrike">
            <a:effectLst/>
            <a:uFillTx/>
            <a:latin typeface="Times New Roman"/>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0.26387</cdr:x>
      <cdr:y>0.05716</cdr:y>
    </cdr:from>
    <cdr:to>
      <cdr:x>0.72215</cdr:x>
      <cdr:y>0.14909</cdr:y>
    </cdr:to>
    <cdr:sp macro="" textlink="">
      <cdr:nvSpPr>
        <cdr:cNvPr id="58" name="TextBox 2"/>
        <cdr:cNvSpPr/>
      </cdr:nvSpPr>
      <cdr:spPr>
        <a:xfrm xmlns:a="http://schemas.openxmlformats.org/drawingml/2006/main">
          <a:off x="1590120" y="144360"/>
          <a:ext cx="2761560" cy="232200"/>
        </a:xfrm>
        <a:prstGeom xmlns:a="http://schemas.openxmlformats.org/drawingml/2006/main" prst="rect">
          <a:avLst/>
        </a:prstGeom>
        <a:noFill xmlns:a="http://schemas.openxmlformats.org/drawingml/2006/main"/>
        <a:ln xmlns:a="http://schemas.openxmlformats.org/drawingml/2006/main" w="0">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cdr:style>
      <cdr:txBody>
        <a:bodyPr xmlns:a="http://schemas.openxmlformats.org/drawingml/2006/main" lIns="90000" tIns="45000" rIns="90000" bIns="45000" anchor="t">
          <a:noAutofit/>
        </a:bodyPr>
        <a:lstStyle xmlns:a="http://schemas.openxmlformats.org/drawingml/2006/main"/>
        <a:p xmlns:a="http://schemas.openxmlformats.org/drawingml/2006/main">
          <a:pPr algn="ctr">
            <a:lnSpc>
              <a:spcPct val="100000"/>
            </a:lnSpc>
          </a:pPr>
          <a:r>
            <a:rPr lang="en-US" sz="1600" b="0" u="none" strike="noStrike">
              <a:effectLst/>
              <a:uFillTx/>
              <a:latin typeface="Times New Roman"/>
            </a:rPr>
            <a:t>RPM %</a:t>
          </a:r>
          <a:endParaRPr sz="1600" b="0" u="none" strike="noStrike">
            <a:effectLst/>
            <a:uFillTx/>
            <a:latin typeface="Times New Roman"/>
          </a:endParaRPr>
        </a:p>
      </cdr:txBody>
    </cdr:sp>
  </cdr:relSizeAnchor>
  <cdr:relSizeAnchor xmlns:cdr="http://schemas.openxmlformats.org/drawingml/2006/chartDrawing">
    <cdr:from>
      <cdr:x>0.02479</cdr:x>
      <cdr:y>0.42175</cdr:y>
    </cdr:from>
    <cdr:to>
      <cdr:x>0.08549</cdr:x>
      <cdr:y>0.68458</cdr:y>
    </cdr:to>
    <cdr:sp macro="" textlink="">
      <cdr:nvSpPr>
        <cdr:cNvPr id="59" name="TextBox 4"/>
        <cdr:cNvSpPr/>
      </cdr:nvSpPr>
      <cdr:spPr>
        <a:xfrm xmlns:a="http://schemas.openxmlformats.org/drawingml/2006/main" rot="5400000">
          <a:off x="0" y="1214280"/>
          <a:ext cx="663840" cy="365760"/>
        </a:xfrm>
        <a:prstGeom xmlns:a="http://schemas.openxmlformats.org/drawingml/2006/main" prst="rect">
          <a:avLst/>
        </a:prstGeom>
        <a:noFill xmlns:a="http://schemas.openxmlformats.org/drawingml/2006/main"/>
        <a:ln xmlns:a="http://schemas.openxmlformats.org/drawingml/2006/main" w="0">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cdr:style>
      <cdr:txBody>
        <a:bodyPr xmlns:a="http://schemas.openxmlformats.org/drawingml/2006/main" lIns="90000" tIns="45000" rIns="90000" bIns="45000" anchor="t">
          <a:noAutofit/>
        </a:bodyPr>
        <a:lstStyle xmlns:a="http://schemas.openxmlformats.org/drawingml/2006/main"/>
        <a:p xmlns:a="http://schemas.openxmlformats.org/drawingml/2006/main">
          <a:pPr>
            <a:lnSpc>
              <a:spcPct val="100000"/>
            </a:lnSpc>
          </a:pPr>
          <a:r>
            <a:rPr lang="en-US" sz="1100" b="0" u="none" strike="noStrike">
              <a:effectLst/>
              <a:uFillTx/>
              <a:latin typeface="Times New Roman"/>
            </a:rPr>
            <a:t>BHP (KW)</a:t>
          </a:r>
          <a:endParaRPr sz="1100" b="0" u="none" strike="noStrike">
            <a:effectLst/>
            <a:uFillTx/>
            <a:latin typeface="Times New Roman"/>
          </a:endParaRPr>
        </a:p>
      </cdr:txBody>
    </cdr:sp>
  </cdr:relSizeAnchor>
  <cdr:relSizeAnchor xmlns:cdr="http://schemas.openxmlformats.org/drawingml/2006/chartDrawing">
    <cdr:from>
      <cdr:x>0.40277</cdr:x>
      <cdr:y>0.90507</cdr:y>
    </cdr:from>
    <cdr:to>
      <cdr:x>0.58498</cdr:x>
      <cdr:y>0.96422</cdr:y>
    </cdr:to>
    <cdr:sp macro="" textlink="">
      <cdr:nvSpPr>
        <cdr:cNvPr id="60" name="TextBox 5"/>
        <cdr:cNvSpPr/>
      </cdr:nvSpPr>
      <cdr:spPr>
        <a:xfrm xmlns:a="http://schemas.openxmlformats.org/drawingml/2006/main">
          <a:off x="2427120" y="2286000"/>
          <a:ext cx="1098000" cy="149400"/>
        </a:xfrm>
        <a:prstGeom xmlns:a="http://schemas.openxmlformats.org/drawingml/2006/main" prst="rect">
          <a:avLst/>
        </a:prstGeom>
        <a:noFill xmlns:a="http://schemas.openxmlformats.org/drawingml/2006/main"/>
        <a:ln xmlns:a="http://schemas.openxmlformats.org/drawingml/2006/main" w="0">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cdr:style>
      <cdr:txBody>
        <a:bodyPr xmlns:a="http://schemas.openxmlformats.org/drawingml/2006/main" lIns="90000" tIns="45000" rIns="90000" bIns="45000" anchor="t">
          <a:noAutofit/>
        </a:bodyPr>
        <a:lstStyle xmlns:a="http://schemas.openxmlformats.org/drawingml/2006/main"/>
        <a:p xmlns:a="http://schemas.openxmlformats.org/drawingml/2006/main">
          <a:pPr>
            <a:lnSpc>
              <a:spcPct val="100000"/>
            </a:lnSpc>
          </a:pPr>
          <a:r>
            <a:rPr lang="en-US" sz="1100" b="0" u="none" strike="noStrike">
              <a:effectLst/>
              <a:uFillTx/>
              <a:latin typeface="Times New Roman"/>
            </a:rPr>
            <a:t>RPM</a:t>
          </a:r>
          <a:endParaRPr sz="1100" b="0" u="none" strike="noStrike">
            <a:effectLst/>
            <a:uFillTx/>
            <a:latin typeface="Times New Roman"/>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1</xdr:col>
      <xdr:colOff>606960</xdr:colOff>
      <xdr:row>279</xdr:row>
      <xdr:rowOff>11160</xdr:rowOff>
    </xdr:from>
    <xdr:to>
      <xdr:col>4</xdr:col>
      <xdr:colOff>14400</xdr:colOff>
      <xdr:row>281</xdr:row>
      <xdr:rowOff>77400</xdr:rowOff>
    </xdr:to>
    <xdr:pic>
      <xdr:nvPicPr>
        <xdr:cNvPr id="61" name="Picture 2">
          <a:extLst>
            <a:ext uri="{FF2B5EF4-FFF2-40B4-BE49-F238E27FC236}">
              <a16:creationId xmlns:a16="http://schemas.microsoft.com/office/drawing/2014/main" id="{00000000-0008-0000-0700-00003D000000}"/>
            </a:ext>
          </a:extLst>
        </xdr:cNvPr>
        <xdr:cNvPicPr/>
      </xdr:nvPicPr>
      <xdr:blipFill>
        <a:blip xmlns:r="http://schemas.openxmlformats.org/officeDocument/2006/relationships" r:embed="rId1"/>
        <a:stretch/>
      </xdr:blipFill>
      <xdr:spPr>
        <a:xfrm>
          <a:off x="1319400" y="42553800"/>
          <a:ext cx="1994400" cy="370800"/>
        </a:xfrm>
        <a:prstGeom prst="rect">
          <a:avLst/>
        </a:prstGeom>
        <a:noFill/>
        <a:ln w="0">
          <a:noFill/>
        </a:ln>
      </xdr:spPr>
    </xdr:pic>
    <xdr:clientData/>
  </xdr:twoCellAnchor>
  <xdr:twoCellAnchor>
    <xdr:from>
      <xdr:col>5</xdr:col>
      <xdr:colOff>427680</xdr:colOff>
      <xdr:row>355</xdr:row>
      <xdr:rowOff>105840</xdr:rowOff>
    </xdr:from>
    <xdr:to>
      <xdr:col>9</xdr:col>
      <xdr:colOff>136080</xdr:colOff>
      <xdr:row>367</xdr:row>
      <xdr:rowOff>29160</xdr:rowOff>
    </xdr:to>
    <xdr:pic>
      <xdr:nvPicPr>
        <xdr:cNvPr id="62" name="Picture 1048">
          <a:extLst>
            <a:ext uri="{FF2B5EF4-FFF2-40B4-BE49-F238E27FC236}">
              <a16:creationId xmlns:a16="http://schemas.microsoft.com/office/drawing/2014/main" id="{00000000-0008-0000-0700-00003E000000}"/>
            </a:ext>
          </a:extLst>
        </xdr:cNvPr>
        <xdr:cNvPicPr/>
      </xdr:nvPicPr>
      <xdr:blipFill>
        <a:blip xmlns:r="http://schemas.openxmlformats.org/officeDocument/2006/relationships" r:embed="rId2"/>
        <a:stretch/>
      </xdr:blipFill>
      <xdr:spPr>
        <a:xfrm>
          <a:off x="4439520" y="54230760"/>
          <a:ext cx="2830320" cy="1752120"/>
        </a:xfrm>
        <a:prstGeom prst="rect">
          <a:avLst/>
        </a:prstGeom>
        <a:noFill/>
        <a:ln w="9525">
          <a:noFill/>
        </a:ln>
      </xdr:spPr>
    </xdr:pic>
    <xdr:clientData/>
  </xdr:twoCellAnchor>
  <xdr:twoCellAnchor>
    <xdr:from>
      <xdr:col>5</xdr:col>
      <xdr:colOff>7920</xdr:colOff>
      <xdr:row>377</xdr:row>
      <xdr:rowOff>151200</xdr:rowOff>
    </xdr:from>
    <xdr:to>
      <xdr:col>9</xdr:col>
      <xdr:colOff>122040</xdr:colOff>
      <xdr:row>387</xdr:row>
      <xdr:rowOff>150480</xdr:rowOff>
    </xdr:to>
    <xdr:pic>
      <xdr:nvPicPr>
        <xdr:cNvPr id="63" name="Picture 1050">
          <a:extLst>
            <a:ext uri="{FF2B5EF4-FFF2-40B4-BE49-F238E27FC236}">
              <a16:creationId xmlns:a16="http://schemas.microsoft.com/office/drawing/2014/main" id="{00000000-0008-0000-0700-00003F000000}"/>
            </a:ext>
          </a:extLst>
        </xdr:cNvPr>
        <xdr:cNvPicPr/>
      </xdr:nvPicPr>
      <xdr:blipFill>
        <a:blip xmlns:r="http://schemas.openxmlformats.org/officeDocument/2006/relationships" r:embed="rId3"/>
        <a:stretch/>
      </xdr:blipFill>
      <xdr:spPr>
        <a:xfrm>
          <a:off x="4019760" y="57628800"/>
          <a:ext cx="3236040" cy="1523520"/>
        </a:xfrm>
        <a:prstGeom prst="rect">
          <a:avLst/>
        </a:prstGeom>
        <a:noFill/>
        <a:ln w="9525">
          <a:noFill/>
        </a:ln>
      </xdr:spPr>
    </xdr:pic>
    <xdr:clientData/>
  </xdr:twoCellAnchor>
  <xdr:twoCellAnchor editAs="oneCell">
    <xdr:from>
      <xdr:col>5</xdr:col>
      <xdr:colOff>596520</xdr:colOff>
      <xdr:row>619</xdr:row>
      <xdr:rowOff>99000</xdr:rowOff>
    </xdr:from>
    <xdr:to>
      <xdr:col>9</xdr:col>
      <xdr:colOff>178200</xdr:colOff>
      <xdr:row>630</xdr:row>
      <xdr:rowOff>97920</xdr:rowOff>
    </xdr:to>
    <xdr:pic>
      <xdr:nvPicPr>
        <xdr:cNvPr id="64" name="Picture 77">
          <a:extLst>
            <a:ext uri="{FF2B5EF4-FFF2-40B4-BE49-F238E27FC236}">
              <a16:creationId xmlns:a16="http://schemas.microsoft.com/office/drawing/2014/main" id="{00000000-0008-0000-0700-000040000000}"/>
            </a:ext>
          </a:extLst>
        </xdr:cNvPr>
        <xdr:cNvPicPr/>
      </xdr:nvPicPr>
      <xdr:blipFill>
        <a:blip xmlns:r="http://schemas.openxmlformats.org/officeDocument/2006/relationships" r:embed="rId4"/>
        <a:stretch/>
      </xdr:blipFill>
      <xdr:spPr>
        <a:xfrm>
          <a:off x="4608360" y="94514760"/>
          <a:ext cx="2703600" cy="1675080"/>
        </a:xfrm>
        <a:prstGeom prst="rect">
          <a:avLst/>
        </a:prstGeom>
        <a:noFill/>
        <a:ln w="0">
          <a:noFill/>
        </a:ln>
      </xdr:spPr>
    </xdr:pic>
    <xdr:clientData/>
  </xdr:twoCellAnchor>
  <xdr:twoCellAnchor editAs="oneCell">
    <xdr:from>
      <xdr:col>7</xdr:col>
      <xdr:colOff>613800</xdr:colOff>
      <xdr:row>634</xdr:row>
      <xdr:rowOff>78840</xdr:rowOff>
    </xdr:from>
    <xdr:to>
      <xdr:col>11</xdr:col>
      <xdr:colOff>11880</xdr:colOff>
      <xdr:row>645</xdr:row>
      <xdr:rowOff>80280</xdr:rowOff>
    </xdr:to>
    <xdr:pic>
      <xdr:nvPicPr>
        <xdr:cNvPr id="65" name="Picture 78">
          <a:extLst>
            <a:ext uri="{FF2B5EF4-FFF2-40B4-BE49-F238E27FC236}">
              <a16:creationId xmlns:a16="http://schemas.microsoft.com/office/drawing/2014/main" id="{00000000-0008-0000-0700-000041000000}"/>
            </a:ext>
          </a:extLst>
        </xdr:cNvPr>
        <xdr:cNvPicPr/>
      </xdr:nvPicPr>
      <xdr:blipFill>
        <a:blip xmlns:r="http://schemas.openxmlformats.org/officeDocument/2006/relationships" r:embed="rId5"/>
        <a:stretch/>
      </xdr:blipFill>
      <xdr:spPr>
        <a:xfrm>
          <a:off x="6322320" y="96780600"/>
          <a:ext cx="2248200" cy="1677600"/>
        </a:xfrm>
        <a:prstGeom prst="rect">
          <a:avLst/>
        </a:prstGeom>
        <a:noFill/>
        <a:ln w="0">
          <a:noFill/>
        </a:ln>
      </xdr:spPr>
    </xdr:pic>
    <xdr:clientData/>
  </xdr:twoCellAnchor>
  <xdr:twoCellAnchor editAs="oneCell">
    <xdr:from>
      <xdr:col>11</xdr:col>
      <xdr:colOff>588960</xdr:colOff>
      <xdr:row>38</xdr:row>
      <xdr:rowOff>15120</xdr:rowOff>
    </xdr:from>
    <xdr:to>
      <xdr:col>15</xdr:col>
      <xdr:colOff>459360</xdr:colOff>
      <xdr:row>41</xdr:row>
      <xdr:rowOff>140760</xdr:rowOff>
    </xdr:to>
    <xdr:pic>
      <xdr:nvPicPr>
        <xdr:cNvPr id="66" name="Picture 10">
          <a:extLst>
            <a:ext uri="{FF2B5EF4-FFF2-40B4-BE49-F238E27FC236}">
              <a16:creationId xmlns:a16="http://schemas.microsoft.com/office/drawing/2014/main" id="{00000000-0008-0000-0700-000042000000}"/>
            </a:ext>
          </a:extLst>
        </xdr:cNvPr>
        <xdr:cNvPicPr/>
      </xdr:nvPicPr>
      <xdr:blipFill>
        <a:blip xmlns:r="http://schemas.openxmlformats.org/officeDocument/2006/relationships" r:embed="rId6"/>
        <a:stretch/>
      </xdr:blipFill>
      <xdr:spPr>
        <a:xfrm>
          <a:off x="9147600" y="5806440"/>
          <a:ext cx="2659320" cy="582840"/>
        </a:xfrm>
        <a:prstGeom prst="rect">
          <a:avLst/>
        </a:prstGeom>
        <a:noFill/>
        <a:ln w="0">
          <a:noFill/>
        </a:ln>
      </xdr:spPr>
    </xdr:pic>
    <xdr:clientData/>
  </xdr:twoCellAnchor>
  <xdr:twoCellAnchor editAs="oneCell">
    <xdr:from>
      <xdr:col>16</xdr:col>
      <xdr:colOff>60840</xdr:colOff>
      <xdr:row>5</xdr:row>
      <xdr:rowOff>30600</xdr:rowOff>
    </xdr:from>
    <xdr:to>
      <xdr:col>25</xdr:col>
      <xdr:colOff>15120</xdr:colOff>
      <xdr:row>29</xdr:row>
      <xdr:rowOff>73080</xdr:rowOff>
    </xdr:to>
    <xdr:pic>
      <xdr:nvPicPr>
        <xdr:cNvPr id="67" name="Picture 11">
          <a:extLst>
            <a:ext uri="{FF2B5EF4-FFF2-40B4-BE49-F238E27FC236}">
              <a16:creationId xmlns:a16="http://schemas.microsoft.com/office/drawing/2014/main" id="{00000000-0008-0000-0700-000043000000}"/>
            </a:ext>
          </a:extLst>
        </xdr:cNvPr>
        <xdr:cNvPicPr/>
      </xdr:nvPicPr>
      <xdr:blipFill>
        <a:blip xmlns:r="http://schemas.openxmlformats.org/officeDocument/2006/relationships" r:embed="rId7"/>
        <a:stretch/>
      </xdr:blipFill>
      <xdr:spPr>
        <a:xfrm>
          <a:off x="12105360" y="792720"/>
          <a:ext cx="6229440" cy="3700080"/>
        </a:xfrm>
        <a:prstGeom prst="rect">
          <a:avLst/>
        </a:prstGeom>
        <a:noFill/>
        <a:ln w="0">
          <a:noFill/>
        </a:ln>
      </xdr:spPr>
    </xdr:pic>
    <xdr:clientData/>
  </xdr:twoCellAnchor>
  <xdr:twoCellAnchor>
    <xdr:from>
      <xdr:col>4</xdr:col>
      <xdr:colOff>508320</xdr:colOff>
      <xdr:row>261</xdr:row>
      <xdr:rowOff>14040</xdr:rowOff>
    </xdr:from>
    <xdr:to>
      <xdr:col>8</xdr:col>
      <xdr:colOff>648720</xdr:colOff>
      <xdr:row>268</xdr:row>
      <xdr:rowOff>94320</xdr:rowOff>
    </xdr:to>
    <xdr:pic>
      <xdr:nvPicPr>
        <xdr:cNvPr id="68" name="Picture 1047">
          <a:extLst>
            <a:ext uri="{FF2B5EF4-FFF2-40B4-BE49-F238E27FC236}">
              <a16:creationId xmlns:a16="http://schemas.microsoft.com/office/drawing/2014/main" id="{00000000-0008-0000-0700-000044000000}"/>
            </a:ext>
          </a:extLst>
        </xdr:cNvPr>
        <xdr:cNvPicPr/>
      </xdr:nvPicPr>
      <xdr:blipFill>
        <a:blip xmlns:r="http://schemas.openxmlformats.org/officeDocument/2006/relationships" r:embed="rId8"/>
        <a:stretch/>
      </xdr:blipFill>
      <xdr:spPr>
        <a:xfrm>
          <a:off x="3807720" y="39813480"/>
          <a:ext cx="3261960" cy="1146960"/>
        </a:xfrm>
        <a:prstGeom prst="rect">
          <a:avLst/>
        </a:prstGeom>
        <a:noFill/>
        <a:ln w="9525">
          <a:noFill/>
        </a:ln>
      </xdr:spPr>
    </xdr:pic>
    <xdr:clientData/>
  </xdr:twoCellAnchor>
  <xdr:twoCellAnchor editAs="oneCell">
    <xdr:from>
      <xdr:col>1</xdr:col>
      <xdr:colOff>370440</xdr:colOff>
      <xdr:row>636</xdr:row>
      <xdr:rowOff>114480</xdr:rowOff>
    </xdr:from>
    <xdr:to>
      <xdr:col>6</xdr:col>
      <xdr:colOff>271440</xdr:colOff>
      <xdr:row>660</xdr:row>
      <xdr:rowOff>39240</xdr:rowOff>
    </xdr:to>
    <xdr:pic>
      <xdr:nvPicPr>
        <xdr:cNvPr id="69" name="Picture 79">
          <a:extLst>
            <a:ext uri="{FF2B5EF4-FFF2-40B4-BE49-F238E27FC236}">
              <a16:creationId xmlns:a16="http://schemas.microsoft.com/office/drawing/2014/main" id="{00000000-0008-0000-0700-000045000000}"/>
            </a:ext>
          </a:extLst>
        </xdr:cNvPr>
        <xdr:cNvPicPr/>
      </xdr:nvPicPr>
      <xdr:blipFill>
        <a:blip xmlns:r="http://schemas.openxmlformats.org/officeDocument/2006/relationships" r:embed="rId9"/>
        <a:stretch/>
      </xdr:blipFill>
      <xdr:spPr>
        <a:xfrm>
          <a:off x="1082880" y="97120800"/>
          <a:ext cx="4083840" cy="3582360"/>
        </a:xfrm>
        <a:prstGeom prst="rect">
          <a:avLst/>
        </a:prstGeom>
        <a:noFill/>
        <a:ln w="0">
          <a:noFill/>
        </a:ln>
      </xdr:spPr>
    </xdr:pic>
    <xdr:clientData/>
  </xdr:twoCellAnchor>
  <xdr:twoCellAnchor>
    <xdr:from>
      <xdr:col>1</xdr:col>
      <xdr:colOff>126360</xdr:colOff>
      <xdr:row>102</xdr:row>
      <xdr:rowOff>95400</xdr:rowOff>
    </xdr:from>
    <xdr:to>
      <xdr:col>4</xdr:col>
      <xdr:colOff>625320</xdr:colOff>
      <xdr:row>117</xdr:row>
      <xdr:rowOff>108000</xdr:rowOff>
    </xdr:to>
    <xdr:pic>
      <xdr:nvPicPr>
        <xdr:cNvPr id="70" name="Picture 1046">
          <a:extLst>
            <a:ext uri="{FF2B5EF4-FFF2-40B4-BE49-F238E27FC236}">
              <a16:creationId xmlns:a16="http://schemas.microsoft.com/office/drawing/2014/main" id="{00000000-0008-0000-0700-000046000000}"/>
            </a:ext>
          </a:extLst>
        </xdr:cNvPr>
        <xdr:cNvPicPr/>
      </xdr:nvPicPr>
      <xdr:blipFill>
        <a:blip xmlns:r="http://schemas.openxmlformats.org/officeDocument/2006/relationships" r:embed="rId10"/>
        <a:stretch/>
      </xdr:blipFill>
      <xdr:spPr>
        <a:xfrm>
          <a:off x="838800" y="15640200"/>
          <a:ext cx="3085920" cy="2298600"/>
        </a:xfrm>
        <a:prstGeom prst="rect">
          <a:avLst/>
        </a:prstGeom>
        <a:noFill/>
        <a:ln w="9525">
          <a:noFill/>
        </a:ln>
      </xdr:spPr>
    </xdr:pic>
    <xdr:clientData/>
  </xdr:twoCellAnchor>
  <xdr:twoCellAnchor>
    <xdr:from>
      <xdr:col>8</xdr:col>
      <xdr:colOff>166320</xdr:colOff>
      <xdr:row>219</xdr:row>
      <xdr:rowOff>95400</xdr:rowOff>
    </xdr:from>
    <xdr:to>
      <xdr:col>13</xdr:col>
      <xdr:colOff>517680</xdr:colOff>
      <xdr:row>233</xdr:row>
      <xdr:rowOff>28080</xdr:rowOff>
    </xdr:to>
    <xdr:pic>
      <xdr:nvPicPr>
        <xdr:cNvPr id="71" name="Picture 1049">
          <a:extLst>
            <a:ext uri="{FF2B5EF4-FFF2-40B4-BE49-F238E27FC236}">
              <a16:creationId xmlns:a16="http://schemas.microsoft.com/office/drawing/2014/main" id="{00000000-0008-0000-0700-000047000000}"/>
            </a:ext>
          </a:extLst>
        </xdr:cNvPr>
        <xdr:cNvPicPr/>
      </xdr:nvPicPr>
      <xdr:blipFill>
        <a:blip xmlns:r="http://schemas.openxmlformats.org/officeDocument/2006/relationships" r:embed="rId11"/>
        <a:stretch/>
      </xdr:blipFill>
      <xdr:spPr>
        <a:xfrm>
          <a:off x="6587280" y="33494040"/>
          <a:ext cx="3883320" cy="2066040"/>
        </a:xfrm>
        <a:prstGeom prst="rect">
          <a:avLst/>
        </a:prstGeom>
        <a:noFill/>
        <a:ln w="9525">
          <a:noFill/>
        </a:ln>
      </xdr:spPr>
    </xdr:pic>
    <xdr:clientData/>
  </xdr:twoCellAnchor>
  <xdr:twoCellAnchor editAs="oneCell">
    <xdr:from>
      <xdr:col>1</xdr:col>
      <xdr:colOff>57960</xdr:colOff>
      <xdr:row>70</xdr:row>
      <xdr:rowOff>20880</xdr:rowOff>
    </xdr:from>
    <xdr:to>
      <xdr:col>3</xdr:col>
      <xdr:colOff>267120</xdr:colOff>
      <xdr:row>74</xdr:row>
      <xdr:rowOff>53280</xdr:rowOff>
    </xdr:to>
    <xdr:pic>
      <xdr:nvPicPr>
        <xdr:cNvPr id="72" name="Picture 1">
          <a:extLst>
            <a:ext uri="{FF2B5EF4-FFF2-40B4-BE49-F238E27FC236}">
              <a16:creationId xmlns:a16="http://schemas.microsoft.com/office/drawing/2014/main" id="{00000000-0008-0000-0700-000048000000}"/>
            </a:ext>
          </a:extLst>
        </xdr:cNvPr>
        <xdr:cNvPicPr/>
      </xdr:nvPicPr>
      <xdr:blipFill>
        <a:blip xmlns:r="http://schemas.openxmlformats.org/officeDocument/2006/relationships" r:embed="rId12"/>
        <a:stretch/>
      </xdr:blipFill>
      <xdr:spPr>
        <a:xfrm>
          <a:off x="770400" y="10688760"/>
          <a:ext cx="1982880" cy="642240"/>
        </a:xfrm>
        <a:prstGeom prst="rect">
          <a:avLst/>
        </a:prstGeom>
        <a:noFill/>
        <a:ln w="0">
          <a:noFill/>
        </a:ln>
      </xdr:spPr>
    </xdr:pic>
    <xdr:clientData/>
  </xdr:twoCellAnchor>
  <xdr:twoCellAnchor editAs="oneCell">
    <xdr:from>
      <xdr:col>1</xdr:col>
      <xdr:colOff>38160</xdr:colOff>
      <xdr:row>236</xdr:row>
      <xdr:rowOff>85680</xdr:rowOff>
    </xdr:from>
    <xdr:to>
      <xdr:col>2</xdr:col>
      <xdr:colOff>866160</xdr:colOff>
      <xdr:row>240</xdr:row>
      <xdr:rowOff>123480</xdr:rowOff>
    </xdr:to>
    <xdr:pic>
      <xdr:nvPicPr>
        <xdr:cNvPr id="73" name="Picture 12">
          <a:extLst>
            <a:ext uri="{FF2B5EF4-FFF2-40B4-BE49-F238E27FC236}">
              <a16:creationId xmlns:a16="http://schemas.microsoft.com/office/drawing/2014/main" id="{00000000-0008-0000-0700-000049000000}"/>
            </a:ext>
          </a:extLst>
        </xdr:cNvPr>
        <xdr:cNvPicPr/>
      </xdr:nvPicPr>
      <xdr:blipFill>
        <a:blip xmlns:r="http://schemas.openxmlformats.org/officeDocument/2006/relationships" r:embed="rId13"/>
        <a:stretch/>
      </xdr:blipFill>
      <xdr:spPr>
        <a:xfrm>
          <a:off x="750600" y="36074880"/>
          <a:ext cx="1656720" cy="647640"/>
        </a:xfrm>
        <a:prstGeom prst="rect">
          <a:avLst/>
        </a:prstGeom>
        <a:noFill/>
        <a:ln w="0">
          <a:noFill/>
        </a:ln>
      </xdr:spPr>
    </xdr:pic>
    <xdr:clientData/>
  </xdr:twoCellAnchor>
  <xdr:twoCellAnchor editAs="oneCell">
    <xdr:from>
      <xdr:col>2</xdr:col>
      <xdr:colOff>107640</xdr:colOff>
      <xdr:row>367</xdr:row>
      <xdr:rowOff>5400</xdr:rowOff>
    </xdr:from>
    <xdr:to>
      <xdr:col>3</xdr:col>
      <xdr:colOff>206640</xdr:colOff>
      <xdr:row>369</xdr:row>
      <xdr:rowOff>129240</xdr:rowOff>
    </xdr:to>
    <xdr:pic>
      <xdr:nvPicPr>
        <xdr:cNvPr id="74" name="Picture 14">
          <a:extLst>
            <a:ext uri="{FF2B5EF4-FFF2-40B4-BE49-F238E27FC236}">
              <a16:creationId xmlns:a16="http://schemas.microsoft.com/office/drawing/2014/main" id="{00000000-0008-0000-0700-00004A000000}"/>
            </a:ext>
          </a:extLst>
        </xdr:cNvPr>
        <xdr:cNvPicPr/>
      </xdr:nvPicPr>
      <xdr:blipFill>
        <a:blip xmlns:r="http://schemas.openxmlformats.org/officeDocument/2006/relationships" r:embed="rId14"/>
        <a:stretch/>
      </xdr:blipFill>
      <xdr:spPr>
        <a:xfrm>
          <a:off x="1648800" y="55959120"/>
          <a:ext cx="1044000" cy="428760"/>
        </a:xfrm>
        <a:prstGeom prst="rect">
          <a:avLst/>
        </a:prstGeom>
        <a:noFill/>
        <a:ln w="0">
          <a:noFill/>
        </a:ln>
      </xdr:spPr>
    </xdr:pic>
    <xdr:clientData/>
  </xdr:twoCellAnchor>
  <xdr:twoCellAnchor editAs="oneCell">
    <xdr:from>
      <xdr:col>2</xdr:col>
      <xdr:colOff>95400</xdr:colOff>
      <xdr:row>378</xdr:row>
      <xdr:rowOff>29160</xdr:rowOff>
    </xdr:from>
    <xdr:to>
      <xdr:col>3</xdr:col>
      <xdr:colOff>202680</xdr:colOff>
      <xdr:row>381</xdr:row>
      <xdr:rowOff>110160</xdr:rowOff>
    </xdr:to>
    <xdr:pic>
      <xdr:nvPicPr>
        <xdr:cNvPr id="75" name="Picture 15">
          <a:extLst>
            <a:ext uri="{FF2B5EF4-FFF2-40B4-BE49-F238E27FC236}">
              <a16:creationId xmlns:a16="http://schemas.microsoft.com/office/drawing/2014/main" id="{00000000-0008-0000-0700-00004B000000}"/>
            </a:ext>
          </a:extLst>
        </xdr:cNvPr>
        <xdr:cNvPicPr/>
      </xdr:nvPicPr>
      <xdr:blipFill>
        <a:blip xmlns:r="http://schemas.openxmlformats.org/officeDocument/2006/relationships" r:embed="rId15"/>
        <a:stretch/>
      </xdr:blipFill>
      <xdr:spPr>
        <a:xfrm>
          <a:off x="1636560" y="57659400"/>
          <a:ext cx="1052280" cy="538200"/>
        </a:xfrm>
        <a:prstGeom prst="rect">
          <a:avLst/>
        </a:prstGeom>
        <a:noFill/>
        <a:ln w="0">
          <a:noFill/>
        </a:ln>
      </xdr:spPr>
    </xdr:pic>
    <xdr:clientData/>
  </xdr:twoCellAnchor>
  <xdr:twoCellAnchor editAs="oneCell">
    <xdr:from>
      <xdr:col>2</xdr:col>
      <xdr:colOff>107640</xdr:colOff>
      <xdr:row>414</xdr:row>
      <xdr:rowOff>5400</xdr:rowOff>
    </xdr:from>
    <xdr:to>
      <xdr:col>3</xdr:col>
      <xdr:colOff>192240</xdr:colOff>
      <xdr:row>416</xdr:row>
      <xdr:rowOff>132480</xdr:rowOff>
    </xdr:to>
    <xdr:pic>
      <xdr:nvPicPr>
        <xdr:cNvPr id="76" name="Picture 22">
          <a:extLst>
            <a:ext uri="{FF2B5EF4-FFF2-40B4-BE49-F238E27FC236}">
              <a16:creationId xmlns:a16="http://schemas.microsoft.com/office/drawing/2014/main" id="{00000000-0008-0000-0700-00004C000000}"/>
            </a:ext>
          </a:extLst>
        </xdr:cNvPr>
        <xdr:cNvPicPr/>
      </xdr:nvPicPr>
      <xdr:blipFill>
        <a:blip xmlns:r="http://schemas.openxmlformats.org/officeDocument/2006/relationships" r:embed="rId14"/>
        <a:stretch/>
      </xdr:blipFill>
      <xdr:spPr>
        <a:xfrm>
          <a:off x="1648800" y="63122040"/>
          <a:ext cx="1029600" cy="431640"/>
        </a:xfrm>
        <a:prstGeom prst="rect">
          <a:avLst/>
        </a:prstGeom>
        <a:noFill/>
        <a:ln w="0">
          <a:noFill/>
        </a:ln>
      </xdr:spPr>
    </xdr:pic>
    <xdr:clientData/>
  </xdr:twoCellAnchor>
  <xdr:twoCellAnchor editAs="oneCell">
    <xdr:from>
      <xdr:col>3</xdr:col>
      <xdr:colOff>544320</xdr:colOff>
      <xdr:row>422</xdr:row>
      <xdr:rowOff>1800</xdr:rowOff>
    </xdr:from>
    <xdr:to>
      <xdr:col>5</xdr:col>
      <xdr:colOff>450000</xdr:colOff>
      <xdr:row>436</xdr:row>
      <xdr:rowOff>95760</xdr:rowOff>
    </xdr:to>
    <xdr:pic>
      <xdr:nvPicPr>
        <xdr:cNvPr id="77" name="Picture 25">
          <a:extLst>
            <a:ext uri="{FF2B5EF4-FFF2-40B4-BE49-F238E27FC236}">
              <a16:creationId xmlns:a16="http://schemas.microsoft.com/office/drawing/2014/main" id="{00000000-0008-0000-0700-00004D000000}"/>
            </a:ext>
          </a:extLst>
        </xdr:cNvPr>
        <xdr:cNvPicPr/>
      </xdr:nvPicPr>
      <xdr:blipFill>
        <a:blip xmlns:r="http://schemas.openxmlformats.org/officeDocument/2006/relationships" r:embed="rId16"/>
        <a:stretch/>
      </xdr:blipFill>
      <xdr:spPr>
        <a:xfrm>
          <a:off x="3030480" y="64337400"/>
          <a:ext cx="1431360" cy="2227680"/>
        </a:xfrm>
        <a:prstGeom prst="rect">
          <a:avLst/>
        </a:prstGeom>
        <a:noFill/>
        <a:ln w="0">
          <a:noFill/>
        </a:ln>
      </xdr:spPr>
    </xdr:pic>
    <xdr:clientData/>
  </xdr:twoCellAnchor>
  <xdr:twoCellAnchor editAs="oneCell">
    <xdr:from>
      <xdr:col>9</xdr:col>
      <xdr:colOff>574560</xdr:colOff>
      <xdr:row>584</xdr:row>
      <xdr:rowOff>124200</xdr:rowOff>
    </xdr:from>
    <xdr:to>
      <xdr:col>20</xdr:col>
      <xdr:colOff>489240</xdr:colOff>
      <xdr:row>627</xdr:row>
      <xdr:rowOff>110160</xdr:rowOff>
    </xdr:to>
    <xdr:pic>
      <xdr:nvPicPr>
        <xdr:cNvPr id="78" name="Picture 27">
          <a:extLst>
            <a:ext uri="{FF2B5EF4-FFF2-40B4-BE49-F238E27FC236}">
              <a16:creationId xmlns:a16="http://schemas.microsoft.com/office/drawing/2014/main" id="{00000000-0008-0000-0700-00004E000000}"/>
            </a:ext>
          </a:extLst>
        </xdr:cNvPr>
        <xdr:cNvPicPr/>
      </xdr:nvPicPr>
      <xdr:blipFill>
        <a:blip xmlns:r="http://schemas.openxmlformats.org/officeDocument/2006/relationships" r:embed="rId17"/>
        <a:stretch/>
      </xdr:blipFill>
      <xdr:spPr>
        <a:xfrm>
          <a:off x="7708320" y="89177400"/>
          <a:ext cx="7614360" cy="6567480"/>
        </a:xfrm>
        <a:prstGeom prst="rect">
          <a:avLst/>
        </a:prstGeom>
        <a:noFill/>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234720</xdr:colOff>
      <xdr:row>19</xdr:row>
      <xdr:rowOff>59040</xdr:rowOff>
    </xdr:from>
    <xdr:to>
      <xdr:col>4</xdr:col>
      <xdr:colOff>520560</xdr:colOff>
      <xdr:row>33</xdr:row>
      <xdr:rowOff>56160</xdr:rowOff>
    </xdr:to>
    <xdr:pic>
      <xdr:nvPicPr>
        <xdr:cNvPr id="79" name="Picture 10">
          <a:extLst>
            <a:ext uri="{FF2B5EF4-FFF2-40B4-BE49-F238E27FC236}">
              <a16:creationId xmlns:a16="http://schemas.microsoft.com/office/drawing/2014/main" id="{00000000-0008-0000-0800-00004F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Lst>
        </a:blip>
        <a:srcRect l="17384" t="33335" r="15723" b="29042"/>
        <a:stretch/>
      </xdr:blipFill>
      <xdr:spPr>
        <a:xfrm>
          <a:off x="234720" y="3046680"/>
          <a:ext cx="2997360" cy="2130840"/>
        </a:xfrm>
        <a:prstGeom prst="rect">
          <a:avLst/>
        </a:prstGeom>
        <a:noFill/>
        <a:ln w="9525">
          <a:solidFill>
            <a:srgbClr val="000000"/>
          </a:solidFill>
          <a:miter/>
        </a:ln>
      </xdr:spPr>
    </xdr:pic>
    <xdr:clientData/>
  </xdr:twoCellAnchor>
  <xdr:twoCellAnchor editAs="oneCell">
    <xdr:from>
      <xdr:col>5</xdr:col>
      <xdr:colOff>285840</xdr:colOff>
      <xdr:row>20</xdr:row>
      <xdr:rowOff>10440</xdr:rowOff>
    </xdr:from>
    <xdr:to>
      <xdr:col>13</xdr:col>
      <xdr:colOff>359280</xdr:colOff>
      <xdr:row>34</xdr:row>
      <xdr:rowOff>20160</xdr:rowOff>
    </xdr:to>
    <xdr:pic>
      <xdr:nvPicPr>
        <xdr:cNvPr id="80" name="Picture 11">
          <a:extLst>
            <a:ext uri="{FF2B5EF4-FFF2-40B4-BE49-F238E27FC236}">
              <a16:creationId xmlns:a16="http://schemas.microsoft.com/office/drawing/2014/main" id="{00000000-0008-0000-0800-000050000000}"/>
            </a:ext>
          </a:extLst>
        </xdr:cNvPr>
        <xdr:cNvPicPr/>
      </xdr:nvPicPr>
      <xdr:blipFill>
        <a:blip xmlns:r="http://schemas.openxmlformats.org/officeDocument/2006/relationships" r:embed="rId3"/>
        <a:stretch/>
      </xdr:blipFill>
      <xdr:spPr>
        <a:xfrm>
          <a:off x="3694680" y="3150360"/>
          <a:ext cx="5906880" cy="2143440"/>
        </a:xfrm>
        <a:prstGeom prst="rect">
          <a:avLst/>
        </a:prstGeom>
        <a:noFill/>
        <a:ln w="0">
          <a:solidFill>
            <a:srgbClr val="000000"/>
          </a:solidFill>
        </a:ln>
      </xdr:spPr>
    </xdr:pic>
    <xdr:clientData/>
  </xdr:twoCellAnchor>
  <xdr:twoCellAnchor editAs="oneCell">
    <xdr:from>
      <xdr:col>18</xdr:col>
      <xdr:colOff>853200</xdr:colOff>
      <xdr:row>37</xdr:row>
      <xdr:rowOff>18000</xdr:rowOff>
    </xdr:from>
    <xdr:to>
      <xdr:col>23</xdr:col>
      <xdr:colOff>76680</xdr:colOff>
      <xdr:row>50</xdr:row>
      <xdr:rowOff>123120</xdr:rowOff>
    </xdr:to>
    <xdr:pic>
      <xdr:nvPicPr>
        <xdr:cNvPr id="81" name="Picture 12">
          <a:extLst>
            <a:ext uri="{FF2B5EF4-FFF2-40B4-BE49-F238E27FC236}">
              <a16:creationId xmlns:a16="http://schemas.microsoft.com/office/drawing/2014/main" id="{00000000-0008-0000-0800-000051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Lst>
        </a:blip>
        <a:srcRect l="17384" t="33335" r="15723" b="29042"/>
        <a:stretch/>
      </xdr:blipFill>
      <xdr:spPr>
        <a:xfrm>
          <a:off x="13736880" y="5748840"/>
          <a:ext cx="2988360" cy="2086200"/>
        </a:xfrm>
        <a:prstGeom prst="rect">
          <a:avLst/>
        </a:prstGeom>
        <a:noFill/>
        <a:ln w="9525">
          <a:solidFill>
            <a:srgbClr val="000000"/>
          </a:solidFill>
          <a:miter/>
        </a:ln>
      </xdr:spPr>
    </xdr:pic>
    <xdr:clientData/>
  </xdr:twoCellAnchor>
  <xdr:twoCellAnchor editAs="oneCell">
    <xdr:from>
      <xdr:col>13</xdr:col>
      <xdr:colOff>57240</xdr:colOff>
      <xdr:row>61</xdr:row>
      <xdr:rowOff>75240</xdr:rowOff>
    </xdr:from>
    <xdr:to>
      <xdr:col>16</xdr:col>
      <xdr:colOff>230400</xdr:colOff>
      <xdr:row>68</xdr:row>
      <xdr:rowOff>100440</xdr:rowOff>
    </xdr:to>
    <xdr:pic>
      <xdr:nvPicPr>
        <xdr:cNvPr id="82" name="Picture 13">
          <a:extLst>
            <a:ext uri="{FF2B5EF4-FFF2-40B4-BE49-F238E27FC236}">
              <a16:creationId xmlns:a16="http://schemas.microsoft.com/office/drawing/2014/main" id="{00000000-0008-0000-0800-000052000000}"/>
            </a:ext>
          </a:extLst>
        </xdr:cNvPr>
        <xdr:cNvPicPr/>
      </xdr:nvPicPr>
      <xdr:blipFill>
        <a:blip xmlns:r="http://schemas.openxmlformats.org/officeDocument/2006/relationships" r:embed="rId4"/>
        <a:stretch/>
      </xdr:blipFill>
      <xdr:spPr>
        <a:xfrm>
          <a:off x="9299520" y="9463680"/>
          <a:ext cx="2342520" cy="1091880"/>
        </a:xfrm>
        <a:prstGeom prst="rect">
          <a:avLst/>
        </a:prstGeom>
        <a:noFill/>
        <a:ln w="0">
          <a:solidFill>
            <a:srgbClr val="000000"/>
          </a:solidFill>
        </a:ln>
      </xdr:spPr>
    </xdr:pic>
    <xdr:clientData/>
  </xdr:twoCellAnchor>
  <xdr:twoCellAnchor editAs="oneCell">
    <xdr:from>
      <xdr:col>18</xdr:col>
      <xdr:colOff>152280</xdr:colOff>
      <xdr:row>61</xdr:row>
      <xdr:rowOff>0</xdr:rowOff>
    </xdr:from>
    <xdr:to>
      <xdr:col>22</xdr:col>
      <xdr:colOff>142920</xdr:colOff>
      <xdr:row>75</xdr:row>
      <xdr:rowOff>139680</xdr:rowOff>
    </xdr:to>
    <xdr:pic>
      <xdr:nvPicPr>
        <xdr:cNvPr id="83" name="Picture 14">
          <a:extLst>
            <a:ext uri="{FF2B5EF4-FFF2-40B4-BE49-F238E27FC236}">
              <a16:creationId xmlns:a16="http://schemas.microsoft.com/office/drawing/2014/main" id="{00000000-0008-0000-0800-000053000000}"/>
            </a:ext>
          </a:extLst>
        </xdr:cNvPr>
        <xdr:cNvPicPr/>
      </xdr:nvPicPr>
      <xdr:blipFill>
        <a:blip xmlns:r="http://schemas.openxmlformats.org/officeDocument/2006/relationships" r:embed="rId5"/>
        <a:stretch/>
      </xdr:blipFill>
      <xdr:spPr>
        <a:xfrm>
          <a:off x="13035960" y="9388440"/>
          <a:ext cx="3019320" cy="2273400"/>
        </a:xfrm>
        <a:prstGeom prst="rect">
          <a:avLst/>
        </a:prstGeom>
        <a:noFill/>
        <a:ln w="0">
          <a:solidFill>
            <a:srgbClr val="000000"/>
          </a:solidFill>
        </a:ln>
      </xdr:spPr>
    </xdr:pic>
    <xdr:clientData/>
  </xdr:twoCellAnchor>
  <xdr:twoCellAnchor editAs="oneCell">
    <xdr:from>
      <xdr:col>15</xdr:col>
      <xdr:colOff>435600</xdr:colOff>
      <xdr:row>59</xdr:row>
      <xdr:rowOff>107280</xdr:rowOff>
    </xdr:from>
    <xdr:to>
      <xdr:col>18</xdr:col>
      <xdr:colOff>672840</xdr:colOff>
      <xdr:row>71</xdr:row>
      <xdr:rowOff>28440</xdr:rowOff>
    </xdr:to>
    <xdr:pic>
      <xdr:nvPicPr>
        <xdr:cNvPr id="84" name="Picture 15">
          <a:extLst>
            <a:ext uri="{FF2B5EF4-FFF2-40B4-BE49-F238E27FC236}">
              <a16:creationId xmlns:a16="http://schemas.microsoft.com/office/drawing/2014/main" id="{00000000-0008-0000-0800-000054000000}"/>
            </a:ext>
          </a:extLst>
        </xdr:cNvPr>
        <xdr:cNvPicPr/>
      </xdr:nvPicPr>
      <xdr:blipFill>
        <a:blip xmlns:r="http://schemas.openxmlformats.org/officeDocument/2006/relationships" r:embed="rId6"/>
        <a:stretch/>
      </xdr:blipFill>
      <xdr:spPr>
        <a:xfrm>
          <a:off x="11111400" y="9190800"/>
          <a:ext cx="2445120" cy="1749960"/>
        </a:xfrm>
        <a:prstGeom prst="rect">
          <a:avLst/>
        </a:prstGeom>
        <a:noFill/>
        <a:ln w="0">
          <a:solidFill>
            <a:srgbClr val="000000"/>
          </a:solidFill>
        </a:ln>
      </xdr:spPr>
    </xdr:pic>
    <xdr:clientData/>
  </xdr:twoCellAnchor>
  <xdr:twoCellAnchor>
    <xdr:from>
      <xdr:col>18</xdr:col>
      <xdr:colOff>0</xdr:colOff>
      <xdr:row>73</xdr:row>
      <xdr:rowOff>0</xdr:rowOff>
    </xdr:from>
    <xdr:to>
      <xdr:col>21</xdr:col>
      <xdr:colOff>132840</xdr:colOff>
      <xdr:row>77</xdr:row>
      <xdr:rowOff>39240</xdr:rowOff>
    </xdr:to>
    <xdr:sp macro="" textlink="">
      <xdr:nvSpPr>
        <xdr:cNvPr id="85" name="TextBox 66">
          <a:extLst>
            <a:ext uri="{FF2B5EF4-FFF2-40B4-BE49-F238E27FC236}">
              <a16:creationId xmlns:a16="http://schemas.microsoft.com/office/drawing/2014/main" id="{00000000-0008-0000-0800-000055000000}"/>
            </a:ext>
          </a:extLst>
        </xdr:cNvPr>
        <xdr:cNvSpPr/>
      </xdr:nvSpPr>
      <xdr:spPr>
        <a:xfrm>
          <a:off x="12883680" y="11217240"/>
          <a:ext cx="2425680" cy="6487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nSpc>
              <a:spcPct val="100000"/>
            </a:lnSpc>
          </a:pPr>
          <a:r>
            <a:rPr lang="en-US" sz="1200" b="0" u="none" strike="noStrike">
              <a:solidFill>
                <a:schemeClr val="dk1"/>
              </a:solidFill>
              <a:effectLst/>
              <a:uFillTx/>
              <a:latin typeface="Arial"/>
              <a:ea typeface="ＭＳ Ｐゴシック"/>
            </a:rPr>
            <a:t>For P &gt; 0</a:t>
          </a:r>
          <a:endParaRPr lang="id-ID" sz="1200" b="0" u="none" strike="noStrike">
            <a:effectLst/>
            <a:uFillTx/>
            <a:latin typeface="Times New Roman"/>
          </a:endParaRPr>
        </a:p>
        <a:p>
          <a:pPr>
            <a:lnSpc>
              <a:spcPct val="100000"/>
            </a:lnSpc>
          </a:pPr>
          <a:r>
            <a:rPr lang="en-US" sz="1200" b="0" u="none" strike="noStrike">
              <a:solidFill>
                <a:schemeClr val="dk1"/>
              </a:solidFill>
              <a:effectLst/>
              <a:uFillTx/>
              <a:latin typeface="Arial"/>
              <a:ea typeface="ＭＳ Ｐゴシック"/>
            </a:rPr>
            <a:t>Y</a:t>
          </a:r>
          <a:r>
            <a:rPr lang="en-US" sz="1200" b="0" u="none" strike="noStrike" baseline="-25000">
              <a:solidFill>
                <a:schemeClr val="dk1"/>
              </a:solidFill>
              <a:effectLst/>
              <a:uFillTx/>
              <a:latin typeface="Arial"/>
              <a:ea typeface="ＭＳ Ｐゴシック"/>
            </a:rPr>
            <a:t>face</a:t>
          </a:r>
          <a:r>
            <a:rPr lang="en-US" sz="1200" b="0" u="none" strike="noStrike">
              <a:solidFill>
                <a:schemeClr val="dk1"/>
              </a:solidFill>
              <a:effectLst/>
              <a:uFillTx/>
              <a:latin typeface="Arial"/>
              <a:ea typeface="ＭＳ Ｐゴシック"/>
            </a:rPr>
            <a:t>= V1(t</a:t>
          </a:r>
          <a:r>
            <a:rPr lang="en-US" sz="1200" b="0" u="none" strike="noStrike" baseline="-25000">
              <a:solidFill>
                <a:schemeClr val="dk1"/>
              </a:solidFill>
              <a:effectLst/>
              <a:uFillTx/>
              <a:latin typeface="Arial"/>
              <a:ea typeface="ＭＳ Ｐゴシック"/>
            </a:rPr>
            <a:t>max</a:t>
          </a:r>
          <a:r>
            <a:rPr lang="en-US" sz="1200" b="0" u="none" strike="noStrike">
              <a:solidFill>
                <a:schemeClr val="dk1"/>
              </a:solidFill>
              <a:effectLst/>
              <a:uFillTx/>
              <a:latin typeface="Arial"/>
              <a:ea typeface="ＭＳ Ｐゴシック"/>
            </a:rPr>
            <a:t> – t</a:t>
          </a:r>
          <a:r>
            <a:rPr lang="en-US" sz="1200" b="0" u="none" strike="noStrike" baseline="-25000">
              <a:solidFill>
                <a:schemeClr val="dk1"/>
              </a:solidFill>
              <a:effectLst/>
              <a:uFillTx/>
              <a:latin typeface="Arial"/>
              <a:ea typeface="ＭＳ Ｐゴシック"/>
            </a:rPr>
            <a:t>le</a:t>
          </a:r>
          <a:r>
            <a:rPr lang="en-US" sz="1200" b="0" u="none" strike="noStrike">
              <a:solidFill>
                <a:schemeClr val="dk1"/>
              </a:solidFill>
              <a:effectLst/>
              <a:uFillTx/>
              <a:latin typeface="Arial"/>
              <a:ea typeface="ＭＳ Ｐゴシック"/>
            </a:rPr>
            <a:t>)</a:t>
          </a:r>
          <a:endParaRPr lang="id-ID" sz="1200" b="0" u="none" strike="noStrike">
            <a:effectLst/>
            <a:uFillTx/>
            <a:latin typeface="Times New Roman"/>
          </a:endParaRPr>
        </a:p>
        <a:p>
          <a:pPr>
            <a:lnSpc>
              <a:spcPct val="100000"/>
            </a:lnSpc>
          </a:pPr>
          <a:r>
            <a:rPr lang="en-US" sz="1200" b="0" u="none" strike="noStrike">
              <a:solidFill>
                <a:schemeClr val="dk1"/>
              </a:solidFill>
              <a:effectLst/>
              <a:uFillTx/>
              <a:latin typeface="Arial"/>
              <a:ea typeface="ＭＳ Ｐゴシック"/>
            </a:rPr>
            <a:t>Y</a:t>
          </a:r>
          <a:r>
            <a:rPr lang="en-US" sz="1200" b="0" u="none" strike="noStrike" baseline="-25000">
              <a:solidFill>
                <a:schemeClr val="dk1"/>
              </a:solidFill>
              <a:effectLst/>
              <a:uFillTx/>
              <a:latin typeface="Arial"/>
              <a:ea typeface="ＭＳ Ｐゴシック"/>
            </a:rPr>
            <a:t>back</a:t>
          </a:r>
          <a:r>
            <a:rPr lang="en-US" sz="1200" b="0" u="none" strike="noStrike">
              <a:solidFill>
                <a:schemeClr val="dk1"/>
              </a:solidFill>
              <a:effectLst/>
              <a:uFillTx/>
              <a:latin typeface="Arial"/>
              <a:ea typeface="ＭＳ Ｐゴシック"/>
            </a:rPr>
            <a:t> = (V1 + V2) (t</a:t>
          </a:r>
          <a:r>
            <a:rPr lang="en-US" sz="1200" b="0" u="none" strike="noStrike" baseline="-25000">
              <a:solidFill>
                <a:schemeClr val="dk1"/>
              </a:solidFill>
              <a:effectLst/>
              <a:uFillTx/>
              <a:latin typeface="Arial"/>
              <a:ea typeface="ＭＳ Ｐゴシック"/>
            </a:rPr>
            <a:t>max</a:t>
          </a:r>
          <a:r>
            <a:rPr lang="en-US" sz="1200" b="0" u="none" strike="noStrike">
              <a:solidFill>
                <a:schemeClr val="dk1"/>
              </a:solidFill>
              <a:effectLst/>
              <a:uFillTx/>
              <a:latin typeface="Arial"/>
              <a:ea typeface="ＭＳ Ｐゴシック"/>
            </a:rPr>
            <a:t> – t</a:t>
          </a:r>
          <a:r>
            <a:rPr lang="en-US" sz="1200" b="0" u="none" strike="noStrike" baseline="-25000">
              <a:solidFill>
                <a:schemeClr val="dk1"/>
              </a:solidFill>
              <a:effectLst/>
              <a:uFillTx/>
              <a:latin typeface="Arial"/>
              <a:ea typeface="ＭＳ Ｐゴシック"/>
            </a:rPr>
            <a:t>le</a:t>
          </a:r>
          <a:r>
            <a:rPr lang="en-US" sz="1200" b="0" u="none" strike="noStrike">
              <a:solidFill>
                <a:schemeClr val="dk1"/>
              </a:solidFill>
              <a:effectLst/>
              <a:uFillTx/>
              <a:latin typeface="Arial"/>
              <a:ea typeface="ＭＳ Ｐゴシック"/>
            </a:rPr>
            <a:t>)</a:t>
          </a:r>
          <a:endParaRPr lang="id-ID" sz="1200" b="0" u="none" strike="noStrike">
            <a:effectLst/>
            <a:uFillTx/>
            <a:latin typeface="Times New Roman"/>
          </a:endParaRPr>
        </a:p>
      </xdr:txBody>
    </xdr:sp>
    <xdr:clientData/>
  </xdr:twoCellAnchor>
  <xdr:twoCellAnchor>
    <xdr:from>
      <xdr:col>21</xdr:col>
      <xdr:colOff>568080</xdr:colOff>
      <xdr:row>73</xdr:row>
      <xdr:rowOff>18000</xdr:rowOff>
    </xdr:from>
    <xdr:to>
      <xdr:col>25</xdr:col>
      <xdr:colOff>205920</xdr:colOff>
      <xdr:row>77</xdr:row>
      <xdr:rowOff>57240</xdr:rowOff>
    </xdr:to>
    <xdr:sp macro="" textlink="">
      <xdr:nvSpPr>
        <xdr:cNvPr id="86" name="TextBox 68">
          <a:extLst>
            <a:ext uri="{FF2B5EF4-FFF2-40B4-BE49-F238E27FC236}">
              <a16:creationId xmlns:a16="http://schemas.microsoft.com/office/drawing/2014/main" id="{00000000-0008-0000-0800-000056000000}"/>
            </a:ext>
          </a:extLst>
        </xdr:cNvPr>
        <xdr:cNvSpPr/>
      </xdr:nvSpPr>
      <xdr:spPr>
        <a:xfrm>
          <a:off x="15744600" y="11235240"/>
          <a:ext cx="2535480" cy="6487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nSpc>
              <a:spcPct val="100000"/>
            </a:lnSpc>
          </a:pPr>
          <a:r>
            <a:rPr lang="en-US" sz="1200" b="0" u="none" strike="noStrike">
              <a:solidFill>
                <a:schemeClr val="dk1"/>
              </a:solidFill>
              <a:effectLst/>
              <a:uFillTx/>
              <a:latin typeface="Arial"/>
              <a:ea typeface="ＭＳ Ｐゴシック"/>
            </a:rPr>
            <a:t>For P </a:t>
          </a:r>
          <a:r>
            <a:rPr lang="en-US" sz="1200" b="0" u="sng" strike="noStrike">
              <a:solidFill>
                <a:schemeClr val="dk1"/>
              </a:solidFill>
              <a:effectLst/>
              <a:uFillTx/>
              <a:latin typeface="Arial"/>
              <a:ea typeface="ＭＳ Ｐゴシック"/>
            </a:rPr>
            <a:t>&lt;</a:t>
          </a:r>
          <a:r>
            <a:rPr lang="en-US" sz="1200" b="0" u="none" strike="noStrike">
              <a:solidFill>
                <a:schemeClr val="dk1"/>
              </a:solidFill>
              <a:effectLst/>
              <a:uFillTx/>
              <a:latin typeface="Arial"/>
              <a:ea typeface="ＭＳ Ｐゴシック"/>
            </a:rPr>
            <a:t> 0</a:t>
          </a:r>
          <a:endParaRPr lang="id-ID" sz="1200" b="0" u="none" strike="noStrike">
            <a:effectLst/>
            <a:uFillTx/>
            <a:latin typeface="Times New Roman"/>
          </a:endParaRPr>
        </a:p>
        <a:p>
          <a:pPr>
            <a:lnSpc>
              <a:spcPct val="100000"/>
            </a:lnSpc>
          </a:pPr>
          <a:r>
            <a:rPr lang="en-US" sz="1200" b="0" u="none" strike="noStrike">
              <a:solidFill>
                <a:schemeClr val="dk1"/>
              </a:solidFill>
              <a:effectLst/>
              <a:uFillTx/>
              <a:latin typeface="Arial"/>
              <a:ea typeface="ＭＳ Ｐゴシック"/>
            </a:rPr>
            <a:t>Y</a:t>
          </a:r>
          <a:r>
            <a:rPr lang="en-US" sz="1200" b="0" u="none" strike="noStrike" baseline="-25000">
              <a:solidFill>
                <a:schemeClr val="dk1"/>
              </a:solidFill>
              <a:effectLst/>
              <a:uFillTx/>
              <a:latin typeface="Arial"/>
              <a:ea typeface="ＭＳ Ｐゴシック"/>
            </a:rPr>
            <a:t>face</a:t>
          </a:r>
          <a:r>
            <a:rPr lang="en-US" sz="1200" b="0" u="none" strike="noStrike">
              <a:solidFill>
                <a:schemeClr val="dk1"/>
              </a:solidFill>
              <a:effectLst/>
              <a:uFillTx/>
              <a:latin typeface="Arial"/>
              <a:ea typeface="ＭＳ Ｐゴシック"/>
            </a:rPr>
            <a:t>= V1(t</a:t>
          </a:r>
          <a:r>
            <a:rPr lang="en-US" sz="1200" b="0" u="none" strike="noStrike" baseline="-25000">
              <a:solidFill>
                <a:schemeClr val="dk1"/>
              </a:solidFill>
              <a:effectLst/>
              <a:uFillTx/>
              <a:latin typeface="Arial"/>
              <a:ea typeface="ＭＳ Ｐゴシック"/>
            </a:rPr>
            <a:t>max</a:t>
          </a:r>
          <a:r>
            <a:rPr lang="en-US" sz="1200" b="0" u="none" strike="noStrike">
              <a:solidFill>
                <a:schemeClr val="dk1"/>
              </a:solidFill>
              <a:effectLst/>
              <a:uFillTx/>
              <a:latin typeface="Arial"/>
              <a:ea typeface="ＭＳ Ｐゴシック"/>
            </a:rPr>
            <a:t> – t</a:t>
          </a:r>
          <a:r>
            <a:rPr lang="en-US" sz="1200" b="0" u="none" strike="noStrike" baseline="-25000">
              <a:solidFill>
                <a:schemeClr val="dk1"/>
              </a:solidFill>
              <a:effectLst/>
              <a:uFillTx/>
              <a:latin typeface="Arial"/>
              <a:ea typeface="ＭＳ Ｐゴシック"/>
            </a:rPr>
            <a:t>te</a:t>
          </a:r>
          <a:r>
            <a:rPr lang="en-US" sz="1200" b="0" u="none" strike="noStrike">
              <a:solidFill>
                <a:schemeClr val="dk1"/>
              </a:solidFill>
              <a:effectLst/>
              <a:uFillTx/>
              <a:latin typeface="Arial"/>
              <a:ea typeface="ＭＳ Ｐゴシック"/>
            </a:rPr>
            <a:t>)</a:t>
          </a:r>
          <a:endParaRPr lang="id-ID" sz="1200" b="0" u="none" strike="noStrike">
            <a:effectLst/>
            <a:uFillTx/>
            <a:latin typeface="Times New Roman"/>
          </a:endParaRPr>
        </a:p>
        <a:p>
          <a:pPr>
            <a:lnSpc>
              <a:spcPct val="100000"/>
            </a:lnSpc>
          </a:pPr>
          <a:r>
            <a:rPr lang="en-US" sz="1200" b="0" u="none" strike="noStrike">
              <a:solidFill>
                <a:schemeClr val="dk1"/>
              </a:solidFill>
              <a:effectLst/>
              <a:uFillTx/>
              <a:latin typeface="Arial"/>
              <a:ea typeface="ＭＳ Ｐゴシック"/>
            </a:rPr>
            <a:t>Y</a:t>
          </a:r>
          <a:r>
            <a:rPr lang="en-US" sz="1200" b="0" u="none" strike="noStrike" baseline="-25000">
              <a:solidFill>
                <a:schemeClr val="dk1"/>
              </a:solidFill>
              <a:effectLst/>
              <a:uFillTx/>
              <a:latin typeface="Arial"/>
              <a:ea typeface="ＭＳ Ｐゴシック"/>
            </a:rPr>
            <a:t>back</a:t>
          </a:r>
          <a:r>
            <a:rPr lang="en-US" sz="1200" b="0" u="none" strike="noStrike">
              <a:solidFill>
                <a:schemeClr val="dk1"/>
              </a:solidFill>
              <a:effectLst/>
              <a:uFillTx/>
              <a:latin typeface="Arial"/>
              <a:ea typeface="ＭＳ Ｐゴシック"/>
            </a:rPr>
            <a:t> = (V1 + V2) (t</a:t>
          </a:r>
          <a:r>
            <a:rPr lang="en-US" sz="1200" b="0" u="none" strike="noStrike" baseline="-25000">
              <a:solidFill>
                <a:schemeClr val="dk1"/>
              </a:solidFill>
              <a:effectLst/>
              <a:uFillTx/>
              <a:latin typeface="Arial"/>
              <a:ea typeface="ＭＳ Ｐゴシック"/>
            </a:rPr>
            <a:t>max</a:t>
          </a:r>
          <a:r>
            <a:rPr lang="en-US" sz="1200" b="0" u="none" strike="noStrike">
              <a:solidFill>
                <a:schemeClr val="dk1"/>
              </a:solidFill>
              <a:effectLst/>
              <a:uFillTx/>
              <a:latin typeface="Arial"/>
              <a:ea typeface="ＭＳ Ｐゴシック"/>
            </a:rPr>
            <a:t> – t</a:t>
          </a:r>
          <a:r>
            <a:rPr lang="en-US" sz="1200" b="0" u="none" strike="noStrike" baseline="-25000">
              <a:solidFill>
                <a:schemeClr val="dk1"/>
              </a:solidFill>
              <a:effectLst/>
              <a:uFillTx/>
              <a:latin typeface="Arial"/>
              <a:ea typeface="ＭＳ Ｐゴシック"/>
            </a:rPr>
            <a:t>te</a:t>
          </a:r>
          <a:r>
            <a:rPr lang="en-US" sz="1200" b="0" u="none" strike="noStrike">
              <a:solidFill>
                <a:schemeClr val="dk1"/>
              </a:solidFill>
              <a:effectLst/>
              <a:uFillTx/>
              <a:latin typeface="Arial"/>
              <a:ea typeface="ＭＳ Ｐゴシック"/>
            </a:rPr>
            <a:t>)</a:t>
          </a:r>
          <a:endParaRPr lang="id-ID" sz="1200" b="0" u="none" strike="noStrike">
            <a:effectLst/>
            <a:uFillTx/>
            <a:latin typeface="Times New Roman"/>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28440</xdr:colOff>
      <xdr:row>320</xdr:row>
      <xdr:rowOff>57240</xdr:rowOff>
    </xdr:from>
    <xdr:to>
      <xdr:col>6</xdr:col>
      <xdr:colOff>817200</xdr:colOff>
      <xdr:row>324</xdr:row>
      <xdr:rowOff>19080</xdr:rowOff>
    </xdr:to>
    <xdr:pic>
      <xdr:nvPicPr>
        <xdr:cNvPr id="87" name="Picture 1">
          <a:extLst>
            <a:ext uri="{FF2B5EF4-FFF2-40B4-BE49-F238E27FC236}">
              <a16:creationId xmlns:a16="http://schemas.microsoft.com/office/drawing/2014/main" id="{00000000-0008-0000-0900-000057000000}"/>
            </a:ext>
          </a:extLst>
        </xdr:cNvPr>
        <xdr:cNvPicPr/>
      </xdr:nvPicPr>
      <xdr:blipFill>
        <a:blip xmlns:r="http://schemas.openxmlformats.org/officeDocument/2006/relationships" r:embed="rId1"/>
        <a:stretch/>
      </xdr:blipFill>
      <xdr:spPr>
        <a:xfrm>
          <a:off x="617040" y="61293600"/>
          <a:ext cx="5142240" cy="723600"/>
        </a:xfrm>
        <a:prstGeom prst="rect">
          <a:avLst/>
        </a:prstGeom>
        <a:noFill/>
        <a:ln w="0">
          <a:noFill/>
        </a:ln>
      </xdr:spPr>
    </xdr:pic>
    <xdr:clientData/>
  </xdr:twoCellAnchor>
  <xdr:twoCellAnchor editAs="oneCell">
    <xdr:from>
      <xdr:col>2</xdr:col>
      <xdr:colOff>38160</xdr:colOff>
      <xdr:row>315</xdr:row>
      <xdr:rowOff>38160</xdr:rowOff>
    </xdr:from>
    <xdr:to>
      <xdr:col>6</xdr:col>
      <xdr:colOff>522000</xdr:colOff>
      <xdr:row>319</xdr:row>
      <xdr:rowOff>9720</xdr:rowOff>
    </xdr:to>
    <xdr:pic>
      <xdr:nvPicPr>
        <xdr:cNvPr id="88" name="Picture 2">
          <a:extLst>
            <a:ext uri="{FF2B5EF4-FFF2-40B4-BE49-F238E27FC236}">
              <a16:creationId xmlns:a16="http://schemas.microsoft.com/office/drawing/2014/main" id="{00000000-0008-0000-0900-000058000000}"/>
            </a:ext>
          </a:extLst>
        </xdr:cNvPr>
        <xdr:cNvPicPr/>
      </xdr:nvPicPr>
      <xdr:blipFill>
        <a:blip xmlns:r="http://schemas.openxmlformats.org/officeDocument/2006/relationships" r:embed="rId2"/>
        <a:stretch/>
      </xdr:blipFill>
      <xdr:spPr>
        <a:xfrm>
          <a:off x="626760" y="60321960"/>
          <a:ext cx="4837320" cy="733320"/>
        </a:xfrm>
        <a:prstGeom prst="rect">
          <a:avLst/>
        </a:prstGeom>
        <a:noFill/>
        <a:ln w="0">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67</xdr:row>
      <xdr:rowOff>0</xdr:rowOff>
    </xdr:from>
    <xdr:to>
      <xdr:col>9</xdr:col>
      <xdr:colOff>599400</xdr:colOff>
      <xdr:row>75</xdr:row>
      <xdr:rowOff>161640</xdr:rowOff>
    </xdr:to>
    <xdr:pic>
      <xdr:nvPicPr>
        <xdr:cNvPr id="89" name="Picture 2">
          <a:extLst>
            <a:ext uri="{FF2B5EF4-FFF2-40B4-BE49-F238E27FC236}">
              <a16:creationId xmlns:a16="http://schemas.microsoft.com/office/drawing/2014/main" id="{00000000-0008-0000-0B00-000059000000}"/>
            </a:ext>
          </a:extLst>
        </xdr:cNvPr>
        <xdr:cNvPicPr/>
      </xdr:nvPicPr>
      <xdr:blipFill>
        <a:blip xmlns:r="http://schemas.openxmlformats.org/officeDocument/2006/relationships" r:embed="rId1"/>
        <a:stretch/>
      </xdr:blipFill>
      <xdr:spPr>
        <a:xfrm>
          <a:off x="743760" y="13581360"/>
          <a:ext cx="5611320" cy="1761840"/>
        </a:xfrm>
        <a:prstGeom prst="rect">
          <a:avLst/>
        </a:prstGeom>
        <a:noFill/>
        <a:ln w="0">
          <a:noFill/>
        </a:ln>
      </xdr:spPr>
    </xdr:pic>
    <xdr:clientData/>
  </xdr:twoCellAnchor>
  <xdr:twoCellAnchor editAs="oneCell">
    <xdr:from>
      <xdr:col>0</xdr:col>
      <xdr:colOff>85680</xdr:colOff>
      <xdr:row>0</xdr:row>
      <xdr:rowOff>85680</xdr:rowOff>
    </xdr:from>
    <xdr:to>
      <xdr:col>1</xdr:col>
      <xdr:colOff>169200</xdr:colOff>
      <xdr:row>2</xdr:row>
      <xdr:rowOff>115920</xdr:rowOff>
    </xdr:to>
    <xdr:pic>
      <xdr:nvPicPr>
        <xdr:cNvPr id="90" name="Picture 1" descr="logo ppns">
          <a:extLst>
            <a:ext uri="{FF2B5EF4-FFF2-40B4-BE49-F238E27FC236}">
              <a16:creationId xmlns:a16="http://schemas.microsoft.com/office/drawing/2014/main" id="{00000000-0008-0000-0B00-00005A000000}"/>
            </a:ext>
          </a:extLst>
        </xdr:cNvPr>
        <xdr:cNvPicPr/>
      </xdr:nvPicPr>
      <xdr:blipFill>
        <a:blip xmlns:r="http://schemas.openxmlformats.org/officeDocument/2006/relationships" r:embed="rId2"/>
        <a:stretch/>
      </xdr:blipFill>
      <xdr:spPr>
        <a:xfrm>
          <a:off x="85680" y="85680"/>
          <a:ext cx="548280" cy="611280"/>
        </a:xfrm>
        <a:prstGeom prst="rect">
          <a:avLst/>
        </a:prstGeom>
        <a:noFill/>
        <a:ln w="9525">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15120</xdr:colOff>
      <xdr:row>20</xdr:row>
      <xdr:rowOff>38160</xdr:rowOff>
    </xdr:from>
    <xdr:to>
      <xdr:col>5</xdr:col>
      <xdr:colOff>326520</xdr:colOff>
      <xdr:row>21</xdr:row>
      <xdr:rowOff>131040</xdr:rowOff>
    </xdr:to>
    <xdr:pic>
      <xdr:nvPicPr>
        <xdr:cNvPr id="91" name="Picture 3">
          <a:extLst>
            <a:ext uri="{FF2B5EF4-FFF2-40B4-BE49-F238E27FC236}">
              <a16:creationId xmlns:a16="http://schemas.microsoft.com/office/drawing/2014/main" id="{00000000-0008-0000-0D00-00005B000000}"/>
            </a:ext>
          </a:extLst>
        </xdr:cNvPr>
        <xdr:cNvPicPr/>
      </xdr:nvPicPr>
      <xdr:blipFill>
        <a:blip xmlns:r="http://schemas.openxmlformats.org/officeDocument/2006/relationships" r:embed="rId1"/>
        <a:stretch/>
      </xdr:blipFill>
      <xdr:spPr>
        <a:xfrm>
          <a:off x="758880" y="4038840"/>
          <a:ext cx="2487960" cy="292680"/>
        </a:xfrm>
        <a:prstGeom prst="rect">
          <a:avLst/>
        </a:prstGeom>
        <a:noFill/>
        <a:ln w="0">
          <a:noFill/>
        </a:ln>
      </xdr:spPr>
    </xdr:pic>
    <xdr:clientData/>
  </xdr:twoCellAnchor>
  <xdr:twoCellAnchor editAs="oneCell">
    <xdr:from>
      <xdr:col>2</xdr:col>
      <xdr:colOff>0</xdr:colOff>
      <xdr:row>31</xdr:row>
      <xdr:rowOff>15120</xdr:rowOff>
    </xdr:from>
    <xdr:to>
      <xdr:col>4</xdr:col>
      <xdr:colOff>599040</xdr:colOff>
      <xdr:row>32</xdr:row>
      <xdr:rowOff>117720</xdr:rowOff>
    </xdr:to>
    <xdr:pic>
      <xdr:nvPicPr>
        <xdr:cNvPr id="92" name="Picture 4">
          <a:extLst>
            <a:ext uri="{FF2B5EF4-FFF2-40B4-BE49-F238E27FC236}">
              <a16:creationId xmlns:a16="http://schemas.microsoft.com/office/drawing/2014/main" id="{00000000-0008-0000-0D00-00005C000000}"/>
            </a:ext>
          </a:extLst>
        </xdr:cNvPr>
        <xdr:cNvPicPr/>
      </xdr:nvPicPr>
      <xdr:blipFill>
        <a:blip xmlns:r="http://schemas.openxmlformats.org/officeDocument/2006/relationships" r:embed="rId2"/>
        <a:stretch/>
      </xdr:blipFill>
      <xdr:spPr>
        <a:xfrm>
          <a:off x="743760" y="6215760"/>
          <a:ext cx="2078280" cy="302760"/>
        </a:xfrm>
        <a:prstGeom prst="rect">
          <a:avLst/>
        </a:prstGeom>
        <a:noFill/>
        <a:ln w="0">
          <a:noFill/>
        </a:ln>
      </xdr:spPr>
    </xdr:pic>
    <xdr:clientData/>
  </xdr:twoCellAnchor>
  <xdr:twoCellAnchor editAs="oneCell">
    <xdr:from>
      <xdr:col>1</xdr:col>
      <xdr:colOff>266760</xdr:colOff>
      <xdr:row>39</xdr:row>
      <xdr:rowOff>19080</xdr:rowOff>
    </xdr:from>
    <xdr:to>
      <xdr:col>4</xdr:col>
      <xdr:colOff>420120</xdr:colOff>
      <xdr:row>40</xdr:row>
      <xdr:rowOff>7200</xdr:rowOff>
    </xdr:to>
    <xdr:pic>
      <xdr:nvPicPr>
        <xdr:cNvPr id="93" name="Picture 5">
          <a:extLst>
            <a:ext uri="{FF2B5EF4-FFF2-40B4-BE49-F238E27FC236}">
              <a16:creationId xmlns:a16="http://schemas.microsoft.com/office/drawing/2014/main" id="{00000000-0008-0000-0D00-00005D000000}"/>
            </a:ext>
          </a:extLst>
        </xdr:cNvPr>
        <xdr:cNvPicPr/>
      </xdr:nvPicPr>
      <xdr:blipFill>
        <a:blip xmlns:r="http://schemas.openxmlformats.org/officeDocument/2006/relationships" r:embed="rId3"/>
        <a:stretch/>
      </xdr:blipFill>
      <xdr:spPr>
        <a:xfrm>
          <a:off x="731520" y="7819920"/>
          <a:ext cx="1911600" cy="188280"/>
        </a:xfrm>
        <a:prstGeom prst="rect">
          <a:avLst/>
        </a:prstGeom>
        <a:noFill/>
        <a:ln w="0">
          <a:noFill/>
        </a:ln>
      </xdr:spPr>
    </xdr:pic>
    <xdr:clientData/>
  </xdr:twoCellAnchor>
  <xdr:twoCellAnchor editAs="oneCell">
    <xdr:from>
      <xdr:col>11</xdr:col>
      <xdr:colOff>202320</xdr:colOff>
      <xdr:row>24</xdr:row>
      <xdr:rowOff>139320</xdr:rowOff>
    </xdr:from>
    <xdr:to>
      <xdr:col>17</xdr:col>
      <xdr:colOff>616320</xdr:colOff>
      <xdr:row>30</xdr:row>
      <xdr:rowOff>115560</xdr:rowOff>
    </xdr:to>
    <xdr:pic>
      <xdr:nvPicPr>
        <xdr:cNvPr id="94" name="Picture 11">
          <a:extLst>
            <a:ext uri="{FF2B5EF4-FFF2-40B4-BE49-F238E27FC236}">
              <a16:creationId xmlns:a16="http://schemas.microsoft.com/office/drawing/2014/main" id="{00000000-0008-0000-0D00-00005E000000}"/>
            </a:ext>
          </a:extLst>
        </xdr:cNvPr>
        <xdr:cNvPicPr/>
      </xdr:nvPicPr>
      <xdr:blipFill>
        <a:blip xmlns:r="http://schemas.openxmlformats.org/officeDocument/2006/relationships" r:embed="rId4"/>
        <a:stretch/>
      </xdr:blipFill>
      <xdr:spPr>
        <a:xfrm>
          <a:off x="7306200" y="4939920"/>
          <a:ext cx="4597200" cy="1176480"/>
        </a:xfrm>
        <a:prstGeom prst="rect">
          <a:avLst/>
        </a:prstGeom>
        <a:noFill/>
        <a:ln w="38100">
          <a:solidFill>
            <a:srgbClr val="000000"/>
          </a:solidFill>
          <a:round/>
        </a:ln>
      </xdr:spPr>
    </xdr:pic>
    <xdr:clientData/>
  </xdr:twoCellAnchor>
  <xdr:twoCellAnchor editAs="oneCell">
    <xdr:from>
      <xdr:col>11</xdr:col>
      <xdr:colOff>198000</xdr:colOff>
      <xdr:row>18</xdr:row>
      <xdr:rowOff>32040</xdr:rowOff>
    </xdr:from>
    <xdr:to>
      <xdr:col>17</xdr:col>
      <xdr:colOff>612720</xdr:colOff>
      <xdr:row>24</xdr:row>
      <xdr:rowOff>18000</xdr:rowOff>
    </xdr:to>
    <xdr:pic>
      <xdr:nvPicPr>
        <xdr:cNvPr id="95" name="Picture 12">
          <a:extLst>
            <a:ext uri="{FF2B5EF4-FFF2-40B4-BE49-F238E27FC236}">
              <a16:creationId xmlns:a16="http://schemas.microsoft.com/office/drawing/2014/main" id="{00000000-0008-0000-0D00-00005F000000}"/>
            </a:ext>
          </a:extLst>
        </xdr:cNvPr>
        <xdr:cNvPicPr/>
      </xdr:nvPicPr>
      <xdr:blipFill>
        <a:blip xmlns:r="http://schemas.openxmlformats.org/officeDocument/2006/relationships" r:embed="rId5"/>
        <a:stretch/>
      </xdr:blipFill>
      <xdr:spPr>
        <a:xfrm>
          <a:off x="7301880" y="3632400"/>
          <a:ext cx="4597920" cy="1186200"/>
        </a:xfrm>
        <a:prstGeom prst="rect">
          <a:avLst/>
        </a:prstGeom>
        <a:noFill/>
        <a:ln w="38100">
          <a:solidFill>
            <a:srgbClr val="000000"/>
          </a:solidFill>
          <a:round/>
        </a:ln>
      </xdr:spPr>
    </xdr:pic>
    <xdr:clientData/>
  </xdr:twoCellAnchor>
  <xdr:twoCellAnchor editAs="oneCell">
    <xdr:from>
      <xdr:col>11</xdr:col>
      <xdr:colOff>216000</xdr:colOff>
      <xdr:row>31</xdr:row>
      <xdr:rowOff>35640</xdr:rowOff>
    </xdr:from>
    <xdr:to>
      <xdr:col>17</xdr:col>
      <xdr:colOff>630000</xdr:colOff>
      <xdr:row>35</xdr:row>
      <xdr:rowOff>62280</xdr:rowOff>
    </xdr:to>
    <xdr:pic>
      <xdr:nvPicPr>
        <xdr:cNvPr id="96" name="Picture 13">
          <a:extLst>
            <a:ext uri="{FF2B5EF4-FFF2-40B4-BE49-F238E27FC236}">
              <a16:creationId xmlns:a16="http://schemas.microsoft.com/office/drawing/2014/main" id="{00000000-0008-0000-0D00-000060000000}"/>
            </a:ext>
          </a:extLst>
        </xdr:cNvPr>
        <xdr:cNvPicPr/>
      </xdr:nvPicPr>
      <xdr:blipFill>
        <a:blip xmlns:r="http://schemas.openxmlformats.org/officeDocument/2006/relationships" r:embed="rId6"/>
        <a:stretch/>
      </xdr:blipFill>
      <xdr:spPr>
        <a:xfrm>
          <a:off x="7319880" y="6236280"/>
          <a:ext cx="4597200" cy="826920"/>
        </a:xfrm>
        <a:prstGeom prst="rect">
          <a:avLst/>
        </a:prstGeom>
        <a:noFill/>
        <a:ln w="38100">
          <a:solidFill>
            <a:srgbClr val="000000"/>
          </a:solidFill>
          <a:round/>
        </a:ln>
      </xdr:spPr>
    </xdr:pic>
    <xdr:clientData/>
  </xdr:twoCellAnchor>
  <xdr:twoCellAnchor editAs="oneCell">
    <xdr:from>
      <xdr:col>11</xdr:col>
      <xdr:colOff>201960</xdr:colOff>
      <xdr:row>36</xdr:row>
      <xdr:rowOff>8640</xdr:rowOff>
    </xdr:from>
    <xdr:to>
      <xdr:col>17</xdr:col>
      <xdr:colOff>615960</xdr:colOff>
      <xdr:row>40</xdr:row>
      <xdr:rowOff>96120</xdr:rowOff>
    </xdr:to>
    <xdr:pic>
      <xdr:nvPicPr>
        <xdr:cNvPr id="97" name="Picture 14">
          <a:extLst>
            <a:ext uri="{FF2B5EF4-FFF2-40B4-BE49-F238E27FC236}">
              <a16:creationId xmlns:a16="http://schemas.microsoft.com/office/drawing/2014/main" id="{00000000-0008-0000-0D00-000061000000}"/>
            </a:ext>
          </a:extLst>
        </xdr:cNvPr>
        <xdr:cNvPicPr/>
      </xdr:nvPicPr>
      <xdr:blipFill>
        <a:blip xmlns:r="http://schemas.openxmlformats.org/officeDocument/2006/relationships" r:embed="rId7"/>
        <a:stretch/>
      </xdr:blipFill>
      <xdr:spPr>
        <a:xfrm>
          <a:off x="7305840" y="7209720"/>
          <a:ext cx="4597200" cy="887400"/>
        </a:xfrm>
        <a:prstGeom prst="rect">
          <a:avLst/>
        </a:prstGeom>
        <a:noFill/>
        <a:ln w="38100">
          <a:solidFill>
            <a:srgbClr val="000000"/>
          </a:solidFill>
          <a:roun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43920</xdr:colOff>
      <xdr:row>20</xdr:row>
      <xdr:rowOff>43920</xdr:rowOff>
    </xdr:from>
    <xdr:to>
      <xdr:col>9</xdr:col>
      <xdr:colOff>596520</xdr:colOff>
      <xdr:row>22</xdr:row>
      <xdr:rowOff>190440</xdr:rowOff>
    </xdr:to>
    <xdr:pic>
      <xdr:nvPicPr>
        <xdr:cNvPr id="98" name="Picture 8">
          <a:extLst>
            <a:ext uri="{FF2B5EF4-FFF2-40B4-BE49-F238E27FC236}">
              <a16:creationId xmlns:a16="http://schemas.microsoft.com/office/drawing/2014/main" id="{00000000-0008-0000-0E00-000062000000}"/>
            </a:ext>
          </a:extLst>
        </xdr:cNvPr>
        <xdr:cNvPicPr/>
      </xdr:nvPicPr>
      <xdr:blipFill>
        <a:blip xmlns:r="http://schemas.openxmlformats.org/officeDocument/2006/relationships" r:embed="rId1"/>
        <a:stretch/>
      </xdr:blipFill>
      <xdr:spPr>
        <a:xfrm>
          <a:off x="787680" y="4044600"/>
          <a:ext cx="5564520" cy="546480"/>
        </a:xfrm>
        <a:prstGeom prst="rect">
          <a:avLst/>
        </a:prstGeom>
        <a:noFill/>
        <a:ln w="19050" cap="sq">
          <a:solidFill>
            <a:srgbClr val="000000"/>
          </a:solidFill>
          <a:miter/>
        </a:ln>
        <a:effectLst>
          <a:outerShdw blurRad="57240" dist="50402" dir="2700000" algn="tl" rotWithShape="0">
            <a:srgbClr val="000000">
              <a:alpha val="40000"/>
            </a:srgbClr>
          </a:outerShdw>
        </a:effectLst>
      </xdr:spPr>
    </xdr:pic>
    <xdr:clientData/>
  </xdr:twoCellAnchor>
  <xdr:twoCellAnchor editAs="oneCell">
    <xdr:from>
      <xdr:col>2</xdr:col>
      <xdr:colOff>0</xdr:colOff>
      <xdr:row>95</xdr:row>
      <xdr:rowOff>0</xdr:rowOff>
    </xdr:from>
    <xdr:to>
      <xdr:col>9</xdr:col>
      <xdr:colOff>194760</xdr:colOff>
      <xdr:row>99</xdr:row>
      <xdr:rowOff>178200</xdr:rowOff>
    </xdr:to>
    <xdr:pic>
      <xdr:nvPicPr>
        <xdr:cNvPr id="99" name="Picture 1">
          <a:extLst>
            <a:ext uri="{FF2B5EF4-FFF2-40B4-BE49-F238E27FC236}">
              <a16:creationId xmlns:a16="http://schemas.microsoft.com/office/drawing/2014/main" id="{00000000-0008-0000-0E00-000063000000}"/>
            </a:ext>
          </a:extLst>
        </xdr:cNvPr>
        <xdr:cNvPicPr/>
      </xdr:nvPicPr>
      <xdr:blipFill>
        <a:blip xmlns:r="http://schemas.openxmlformats.org/officeDocument/2006/relationships" r:embed="rId2"/>
        <a:stretch/>
      </xdr:blipFill>
      <xdr:spPr>
        <a:xfrm>
          <a:off x="743760" y="19002240"/>
          <a:ext cx="5206680" cy="978480"/>
        </a:xfrm>
        <a:prstGeom prst="rect">
          <a:avLst/>
        </a:prstGeom>
        <a:noFill/>
        <a:ln w="0">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268200</xdr:colOff>
      <xdr:row>59</xdr:row>
      <xdr:rowOff>8280</xdr:rowOff>
    </xdr:from>
    <xdr:to>
      <xdr:col>13</xdr:col>
      <xdr:colOff>292320</xdr:colOff>
      <xdr:row>67</xdr:row>
      <xdr:rowOff>132480</xdr:rowOff>
    </xdr:to>
    <xdr:pic>
      <xdr:nvPicPr>
        <xdr:cNvPr id="100" name="Picture 2">
          <a:extLst>
            <a:ext uri="{FF2B5EF4-FFF2-40B4-BE49-F238E27FC236}">
              <a16:creationId xmlns:a16="http://schemas.microsoft.com/office/drawing/2014/main" id="{00000000-0008-0000-0F00-000064000000}"/>
            </a:ext>
          </a:extLst>
        </xdr:cNvPr>
        <xdr:cNvPicPr/>
      </xdr:nvPicPr>
      <xdr:blipFill>
        <a:blip xmlns:r="http://schemas.openxmlformats.org/officeDocument/2006/relationships" r:embed="rId1"/>
        <a:stretch/>
      </xdr:blipFill>
      <xdr:spPr>
        <a:xfrm>
          <a:off x="10935000" y="9000000"/>
          <a:ext cx="5361840" cy="1343160"/>
        </a:xfrm>
        <a:prstGeom prst="rect">
          <a:avLst/>
        </a:prstGeom>
        <a:noFill/>
        <a:ln w="0">
          <a:noFill/>
        </a:ln>
      </xdr:spPr>
    </xdr:pic>
    <xdr:clientData/>
  </xdr:twoCellAnchor>
  <xdr:twoCellAnchor editAs="oneCell">
    <xdr:from>
      <xdr:col>8</xdr:col>
      <xdr:colOff>218160</xdr:colOff>
      <xdr:row>68</xdr:row>
      <xdr:rowOff>17640</xdr:rowOff>
    </xdr:from>
    <xdr:to>
      <xdr:col>13</xdr:col>
      <xdr:colOff>565560</xdr:colOff>
      <xdr:row>75</xdr:row>
      <xdr:rowOff>111600</xdr:rowOff>
    </xdr:to>
    <xdr:pic>
      <xdr:nvPicPr>
        <xdr:cNvPr id="101" name="Picture 5">
          <a:extLst>
            <a:ext uri="{FF2B5EF4-FFF2-40B4-BE49-F238E27FC236}">
              <a16:creationId xmlns:a16="http://schemas.microsoft.com/office/drawing/2014/main" id="{00000000-0008-0000-0F00-000065000000}"/>
            </a:ext>
          </a:extLst>
        </xdr:cNvPr>
        <xdr:cNvPicPr/>
      </xdr:nvPicPr>
      <xdr:blipFill>
        <a:blip xmlns:r="http://schemas.openxmlformats.org/officeDocument/2006/relationships" r:embed="rId2"/>
        <a:stretch/>
      </xdr:blipFill>
      <xdr:spPr>
        <a:xfrm>
          <a:off x="10884960" y="10380960"/>
          <a:ext cx="5685120" cy="1465560"/>
        </a:xfrm>
        <a:prstGeom prst="rect">
          <a:avLst/>
        </a:prstGeom>
        <a:noFill/>
        <a:ln w="0">
          <a:noFill/>
        </a:ln>
      </xdr:spPr>
    </xdr:pic>
    <xdr:clientData/>
  </xdr:twoCellAnchor>
  <xdr:twoCellAnchor editAs="oneCell">
    <xdr:from>
      <xdr:col>8</xdr:col>
      <xdr:colOff>304920</xdr:colOff>
      <xdr:row>43</xdr:row>
      <xdr:rowOff>133920</xdr:rowOff>
    </xdr:from>
    <xdr:to>
      <xdr:col>13</xdr:col>
      <xdr:colOff>127440</xdr:colOff>
      <xdr:row>56</xdr:row>
      <xdr:rowOff>7560</xdr:rowOff>
    </xdr:to>
    <xdr:pic>
      <xdr:nvPicPr>
        <xdr:cNvPr id="102" name="Picture 7">
          <a:extLst>
            <a:ext uri="{FF2B5EF4-FFF2-40B4-BE49-F238E27FC236}">
              <a16:creationId xmlns:a16="http://schemas.microsoft.com/office/drawing/2014/main" id="{00000000-0008-0000-0F00-000066000000}"/>
            </a:ext>
          </a:extLst>
        </xdr:cNvPr>
        <xdr:cNvPicPr/>
      </xdr:nvPicPr>
      <xdr:blipFill>
        <a:blip xmlns:r="http://schemas.openxmlformats.org/officeDocument/2006/relationships" r:embed="rId3"/>
        <a:stretch/>
      </xdr:blipFill>
      <xdr:spPr>
        <a:xfrm>
          <a:off x="10971720" y="6687000"/>
          <a:ext cx="5160240" cy="1855080"/>
        </a:xfrm>
        <a:prstGeom prst="rect">
          <a:avLst/>
        </a:prstGeom>
        <a:noFill/>
        <a:ln w="0">
          <a:noFill/>
        </a:ln>
      </xdr:spPr>
    </xdr:pic>
    <xdr:clientData/>
  </xdr:twoCellAnchor>
  <xdr:twoCellAnchor editAs="oneCell">
    <xdr:from>
      <xdr:col>9</xdr:col>
      <xdr:colOff>555840</xdr:colOff>
      <xdr:row>19</xdr:row>
      <xdr:rowOff>150840</xdr:rowOff>
    </xdr:from>
    <xdr:to>
      <xdr:col>15</xdr:col>
      <xdr:colOff>640440</xdr:colOff>
      <xdr:row>32</xdr:row>
      <xdr:rowOff>80640</xdr:rowOff>
    </xdr:to>
    <xdr:pic>
      <xdr:nvPicPr>
        <xdr:cNvPr id="103" name="Picture 8">
          <a:extLst>
            <a:ext uri="{FF2B5EF4-FFF2-40B4-BE49-F238E27FC236}">
              <a16:creationId xmlns:a16="http://schemas.microsoft.com/office/drawing/2014/main" id="{00000000-0008-0000-0F00-000067000000}"/>
            </a:ext>
          </a:extLst>
        </xdr:cNvPr>
        <xdr:cNvPicPr/>
      </xdr:nvPicPr>
      <xdr:blipFill>
        <a:blip xmlns:r="http://schemas.openxmlformats.org/officeDocument/2006/relationships" r:embed="rId4"/>
        <a:srcRect r="13271"/>
        <a:stretch/>
      </xdr:blipFill>
      <xdr:spPr>
        <a:xfrm>
          <a:off x="12570840" y="3046320"/>
          <a:ext cx="5468760" cy="1911240"/>
        </a:xfrm>
        <a:prstGeom prst="rect">
          <a:avLst/>
        </a:prstGeom>
        <a:noFill/>
        <a:ln w="0">
          <a:noFill/>
        </a:ln>
      </xdr:spPr>
    </xdr:pic>
    <xdr:clientData/>
  </xdr:twoCellAnchor>
  <xdr:twoCellAnchor editAs="oneCell">
    <xdr:from>
      <xdr:col>16</xdr:col>
      <xdr:colOff>42480</xdr:colOff>
      <xdr:row>35</xdr:row>
      <xdr:rowOff>81720</xdr:rowOff>
    </xdr:from>
    <xdr:to>
      <xdr:col>21</xdr:col>
      <xdr:colOff>304920</xdr:colOff>
      <xdr:row>47</xdr:row>
      <xdr:rowOff>9720</xdr:rowOff>
    </xdr:to>
    <xdr:pic>
      <xdr:nvPicPr>
        <xdr:cNvPr id="104" name="Picture 10">
          <a:extLst>
            <a:ext uri="{FF2B5EF4-FFF2-40B4-BE49-F238E27FC236}">
              <a16:creationId xmlns:a16="http://schemas.microsoft.com/office/drawing/2014/main" id="{00000000-0008-0000-0F00-000068000000}"/>
            </a:ext>
          </a:extLst>
        </xdr:cNvPr>
        <xdr:cNvPicPr/>
      </xdr:nvPicPr>
      <xdr:blipFill>
        <a:blip xmlns:r="http://schemas.openxmlformats.org/officeDocument/2006/relationships" r:embed="rId5"/>
        <a:stretch/>
      </xdr:blipFill>
      <xdr:spPr>
        <a:xfrm>
          <a:off x="18138600" y="5415840"/>
          <a:ext cx="3748680" cy="1756800"/>
        </a:xfrm>
        <a:prstGeom prst="rect">
          <a:avLst/>
        </a:prstGeom>
        <a:noFill/>
        <a:ln w="0">
          <a:noFill/>
        </a:ln>
      </xdr:spPr>
    </xdr:pic>
    <xdr:clientData/>
  </xdr:twoCellAnchor>
  <xdr:twoCellAnchor editAs="oneCell">
    <xdr:from>
      <xdr:col>14</xdr:col>
      <xdr:colOff>39600</xdr:colOff>
      <xdr:row>162</xdr:row>
      <xdr:rowOff>151200</xdr:rowOff>
    </xdr:from>
    <xdr:to>
      <xdr:col>14</xdr:col>
      <xdr:colOff>222840</xdr:colOff>
      <xdr:row>164</xdr:row>
      <xdr:rowOff>18000</xdr:rowOff>
    </xdr:to>
    <xdr:sp macro="" textlink="">
      <xdr:nvSpPr>
        <xdr:cNvPr id="105" name="TextBox 11">
          <a:extLst>
            <a:ext uri="{FF2B5EF4-FFF2-40B4-BE49-F238E27FC236}">
              <a16:creationId xmlns:a16="http://schemas.microsoft.com/office/drawing/2014/main" id="{00000000-0008-0000-0F00-000069000000}"/>
            </a:ext>
          </a:extLst>
        </xdr:cNvPr>
        <xdr:cNvSpPr/>
      </xdr:nvSpPr>
      <xdr:spPr>
        <a:xfrm>
          <a:off x="16741440" y="25449480"/>
          <a:ext cx="183240" cy="17172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0" tIns="0" rIns="0" bIns="0" anchor="t">
          <a:spAutoFit/>
        </a:bodyPr>
        <a:lstStyle/>
        <a:p>
          <a:pPr>
            <a:lnSpc>
              <a:spcPct val="100000"/>
            </a:lnSpc>
          </a:pPr>
          <a:r>
            <a:rPr lang="en-US" sz="1100" b="0" u="none" strike="noStrike">
              <a:solidFill>
                <a:schemeClr val="dk1"/>
              </a:solidFill>
              <a:effectLst/>
              <a:uFillTx/>
              <a:latin typeface="Cambria Math"/>
              <a:ea typeface="Cambria Math"/>
            </a:rPr>
            <a:t>𝜌</a:t>
          </a:r>
          <a:r>
            <a:rPr lang="en-US" sz="1100" b="0" u="none" strike="noStrike">
              <a:solidFill>
                <a:schemeClr val="dk1"/>
              </a:solidFill>
              <a:effectLst/>
              <a:uFillTx/>
              <a:latin typeface="Calibri"/>
              <a:ea typeface="Cambria Math"/>
            </a:rPr>
            <a:t> =</a:t>
          </a:r>
          <a:endParaRPr lang="id-ID" sz="1100" b="0" u="none" strike="noStrike">
            <a:effectLst/>
            <a:uFillTx/>
            <a:latin typeface="Times New Roman"/>
          </a:endParaRPr>
        </a:p>
      </xdr:txBody>
    </xdr:sp>
    <xdr:clientData/>
  </xdr:twoCellAnchor>
  <xdr:twoCellAnchor editAs="oneCell">
    <xdr:from>
      <xdr:col>16</xdr:col>
      <xdr:colOff>185400</xdr:colOff>
      <xdr:row>90</xdr:row>
      <xdr:rowOff>142560</xdr:rowOff>
    </xdr:from>
    <xdr:to>
      <xdr:col>22</xdr:col>
      <xdr:colOff>182880</xdr:colOff>
      <xdr:row>111</xdr:row>
      <xdr:rowOff>146520</xdr:rowOff>
    </xdr:to>
    <xdr:pic>
      <xdr:nvPicPr>
        <xdr:cNvPr id="106" name="Picture 3">
          <a:extLst>
            <a:ext uri="{FF2B5EF4-FFF2-40B4-BE49-F238E27FC236}">
              <a16:creationId xmlns:a16="http://schemas.microsoft.com/office/drawing/2014/main" id="{00000000-0008-0000-0F00-00006A000000}"/>
            </a:ext>
          </a:extLst>
        </xdr:cNvPr>
        <xdr:cNvPicPr/>
      </xdr:nvPicPr>
      <xdr:blipFill>
        <a:blip xmlns:r="http://schemas.openxmlformats.org/officeDocument/2006/relationships" r:embed="rId6"/>
        <a:stretch/>
      </xdr:blipFill>
      <xdr:spPr>
        <a:xfrm>
          <a:off x="18281520" y="14163480"/>
          <a:ext cx="4181040" cy="3204360"/>
        </a:xfrm>
        <a:prstGeom prst="rect">
          <a:avLst/>
        </a:prstGeom>
        <a:noFill/>
        <a:ln w="0">
          <a:noFill/>
        </a:ln>
      </xdr:spPr>
    </xdr:pic>
    <xdr:clientData/>
  </xdr:twoCellAnchor>
  <xdr:twoCellAnchor editAs="oneCell">
    <xdr:from>
      <xdr:col>4</xdr:col>
      <xdr:colOff>467640</xdr:colOff>
      <xdr:row>217</xdr:row>
      <xdr:rowOff>150840</xdr:rowOff>
    </xdr:from>
    <xdr:to>
      <xdr:col>5</xdr:col>
      <xdr:colOff>246960</xdr:colOff>
      <xdr:row>228</xdr:row>
      <xdr:rowOff>67320</xdr:rowOff>
    </xdr:to>
    <xdr:pic>
      <xdr:nvPicPr>
        <xdr:cNvPr id="107" name="Picture 4">
          <a:extLst>
            <a:ext uri="{FF2B5EF4-FFF2-40B4-BE49-F238E27FC236}">
              <a16:creationId xmlns:a16="http://schemas.microsoft.com/office/drawing/2014/main" id="{00000000-0008-0000-0F00-00006B000000}"/>
            </a:ext>
          </a:extLst>
        </xdr:cNvPr>
        <xdr:cNvPicPr/>
      </xdr:nvPicPr>
      <xdr:blipFill>
        <a:blip xmlns:r="http://schemas.openxmlformats.org/officeDocument/2006/relationships" r:embed="rId7"/>
        <a:stretch/>
      </xdr:blipFill>
      <xdr:spPr>
        <a:xfrm>
          <a:off x="4232520" y="33831360"/>
          <a:ext cx="871560" cy="1592640"/>
        </a:xfrm>
        <a:prstGeom prst="rect">
          <a:avLst/>
        </a:prstGeom>
        <a:noFill/>
        <a:ln w="0">
          <a:noFill/>
        </a:ln>
      </xdr:spPr>
    </xdr:pic>
    <xdr:clientData/>
  </xdr:twoCellAnchor>
  <xdr:twoCellAnchor editAs="oneCell">
    <xdr:from>
      <xdr:col>19</xdr:col>
      <xdr:colOff>402480</xdr:colOff>
      <xdr:row>5</xdr:row>
      <xdr:rowOff>139680</xdr:rowOff>
    </xdr:from>
    <xdr:to>
      <xdr:col>29</xdr:col>
      <xdr:colOff>518760</xdr:colOff>
      <xdr:row>56</xdr:row>
      <xdr:rowOff>33480</xdr:rowOff>
    </xdr:to>
    <xdr:pic>
      <xdr:nvPicPr>
        <xdr:cNvPr id="108" name="Picture 6">
          <a:extLst>
            <a:ext uri="{FF2B5EF4-FFF2-40B4-BE49-F238E27FC236}">
              <a16:creationId xmlns:a16="http://schemas.microsoft.com/office/drawing/2014/main" id="{00000000-0008-0000-0F00-00006C000000}"/>
            </a:ext>
          </a:extLst>
        </xdr:cNvPr>
        <xdr:cNvPicPr/>
      </xdr:nvPicPr>
      <xdr:blipFill>
        <a:blip xmlns:r="http://schemas.openxmlformats.org/officeDocument/2006/relationships" r:embed="rId8"/>
        <a:stretch/>
      </xdr:blipFill>
      <xdr:spPr>
        <a:xfrm>
          <a:off x="20590560" y="901800"/>
          <a:ext cx="7088400" cy="7666200"/>
        </a:xfrm>
        <a:prstGeom prst="rect">
          <a:avLst/>
        </a:prstGeom>
        <a:noFill/>
        <a:ln w="0">
          <a:noFill/>
        </a:ln>
      </xdr:spPr>
    </xdr:pic>
    <xdr:clientData/>
  </xdr:twoCellAnchor>
  <xdr:twoCellAnchor editAs="oneCell">
    <xdr:from>
      <xdr:col>5</xdr:col>
      <xdr:colOff>657000</xdr:colOff>
      <xdr:row>190</xdr:row>
      <xdr:rowOff>120600</xdr:rowOff>
    </xdr:from>
    <xdr:to>
      <xdr:col>7</xdr:col>
      <xdr:colOff>180360</xdr:colOff>
      <xdr:row>212</xdr:row>
      <xdr:rowOff>5400</xdr:rowOff>
    </xdr:to>
    <xdr:pic>
      <xdr:nvPicPr>
        <xdr:cNvPr id="109" name="Picture 9">
          <a:extLst>
            <a:ext uri="{FF2B5EF4-FFF2-40B4-BE49-F238E27FC236}">
              <a16:creationId xmlns:a16="http://schemas.microsoft.com/office/drawing/2014/main" id="{00000000-0008-0000-0F00-00006D000000}"/>
            </a:ext>
          </a:extLst>
        </xdr:cNvPr>
        <xdr:cNvPicPr/>
      </xdr:nvPicPr>
      <xdr:blipFill>
        <a:blip xmlns:r="http://schemas.openxmlformats.org/officeDocument/2006/relationships" r:embed="rId9"/>
        <a:stretch/>
      </xdr:blipFill>
      <xdr:spPr>
        <a:xfrm>
          <a:off x="5514120" y="29686320"/>
          <a:ext cx="3272400" cy="3237480"/>
        </a:xfrm>
        <a:prstGeom prst="rect">
          <a:avLst/>
        </a:prstGeom>
        <a:noFill/>
        <a:ln w="0">
          <a:noFill/>
        </a:ln>
      </xdr:spPr>
    </xdr:pic>
    <xdr:clientData/>
  </xdr:twoCellAnchor>
  <xdr:twoCellAnchor editAs="oneCell">
    <xdr:from>
      <xdr:col>0</xdr:col>
      <xdr:colOff>203400</xdr:colOff>
      <xdr:row>249</xdr:row>
      <xdr:rowOff>90360</xdr:rowOff>
    </xdr:from>
    <xdr:to>
      <xdr:col>8</xdr:col>
      <xdr:colOff>274320</xdr:colOff>
      <xdr:row>271</xdr:row>
      <xdr:rowOff>91080</xdr:rowOff>
    </xdr:to>
    <xdr:pic>
      <xdr:nvPicPr>
        <xdr:cNvPr id="110" name="Picture 1">
          <a:extLst>
            <a:ext uri="{FF2B5EF4-FFF2-40B4-BE49-F238E27FC236}">
              <a16:creationId xmlns:a16="http://schemas.microsoft.com/office/drawing/2014/main" id="{00000000-0008-0000-0F00-00006E000000}"/>
            </a:ext>
          </a:extLst>
        </xdr:cNvPr>
        <xdr:cNvPicPr/>
      </xdr:nvPicPr>
      <xdr:blipFill>
        <a:blip xmlns:r="http://schemas.openxmlformats.org/officeDocument/2006/relationships" r:embed="rId10"/>
        <a:stretch/>
      </xdr:blipFill>
      <xdr:spPr>
        <a:xfrm>
          <a:off x="203400" y="38647440"/>
          <a:ext cx="10737720" cy="3353760"/>
        </a:xfrm>
        <a:prstGeom prst="rect">
          <a:avLst/>
        </a:prstGeom>
        <a:noFill/>
        <a:ln w="0">
          <a:noFill/>
        </a:ln>
      </xdr:spPr>
    </xdr:pic>
    <xdr:clientData/>
  </xdr:twoCellAnchor>
  <xdr:twoCellAnchor editAs="oneCell">
    <xdr:from>
      <xdr:col>3</xdr:col>
      <xdr:colOff>122760</xdr:colOff>
      <xdr:row>313</xdr:row>
      <xdr:rowOff>104760</xdr:rowOff>
    </xdr:from>
    <xdr:to>
      <xdr:col>16</xdr:col>
      <xdr:colOff>28440</xdr:colOff>
      <xdr:row>343</xdr:row>
      <xdr:rowOff>147960</xdr:rowOff>
    </xdr:to>
    <xdr:graphicFrame macro="">
      <xdr:nvGraphicFramePr>
        <xdr:cNvPr id="111" name="Chart 13">
          <a:extLst>
            <a:ext uri="{FF2B5EF4-FFF2-40B4-BE49-F238E27FC236}">
              <a16:creationId xmlns:a16="http://schemas.microsoft.com/office/drawing/2014/main" id="{00000000-0008-0000-0F00-00006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609480</xdr:colOff>
      <xdr:row>293</xdr:row>
      <xdr:rowOff>76320</xdr:rowOff>
    </xdr:from>
    <xdr:to>
      <xdr:col>15</xdr:col>
      <xdr:colOff>342360</xdr:colOff>
      <xdr:row>311</xdr:row>
      <xdr:rowOff>66600</xdr:rowOff>
    </xdr:to>
    <xdr:graphicFrame macro="">
      <xdr:nvGraphicFramePr>
        <xdr:cNvPr id="112" name="Chart 20">
          <a:extLst>
            <a:ext uri="{FF2B5EF4-FFF2-40B4-BE49-F238E27FC236}">
              <a16:creationId xmlns:a16="http://schemas.microsoft.com/office/drawing/2014/main" id="{00000000-0008-0000-0F00-00007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0</xdr:colOff>
      <xdr:row>18</xdr:row>
      <xdr:rowOff>166680</xdr:rowOff>
    </xdr:from>
    <xdr:to>
      <xdr:col>2</xdr:col>
      <xdr:colOff>361440</xdr:colOff>
      <xdr:row>20</xdr:row>
      <xdr:rowOff>72360</xdr:rowOff>
    </xdr:to>
    <xdr:sp macro="" textlink="">
      <xdr:nvSpPr>
        <xdr:cNvPr id="113" name="TextBox 1">
          <a:extLst>
            <a:ext uri="{FF2B5EF4-FFF2-40B4-BE49-F238E27FC236}">
              <a16:creationId xmlns:a16="http://schemas.microsoft.com/office/drawing/2014/main" id="{00000000-0008-0000-1000-000071000000}"/>
            </a:ext>
          </a:extLst>
        </xdr:cNvPr>
        <xdr:cNvSpPr/>
      </xdr:nvSpPr>
      <xdr:spPr>
        <a:xfrm>
          <a:off x="2169000" y="3443400"/>
          <a:ext cx="361440" cy="26748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spAutoFit/>
        </a:bodyPr>
        <a:lstStyle/>
        <a:p>
          <a:pPr>
            <a:lnSpc>
              <a:spcPct val="100000"/>
            </a:lnSpc>
          </a:pPr>
          <a:r>
            <a:rPr lang="en-US" sz="1100" b="0" u="none" strike="noStrike">
              <a:solidFill>
                <a:schemeClr val="dk1"/>
              </a:solidFill>
              <a:effectLst/>
              <a:uFillTx/>
              <a:latin typeface="Cambria Math"/>
            </a:rPr>
            <a:t>𝑚^3</a:t>
          </a:r>
          <a:endParaRPr lang="id-ID" sz="1100" b="0" u="none" strike="noStrike">
            <a:effectLst/>
            <a:uFillTx/>
            <a:latin typeface="Times New Roman"/>
          </a:endParaRPr>
        </a:p>
      </xdr:txBody>
    </xdr:sp>
    <xdr:clientData/>
  </xdr:twoCellAnchor>
  <xdr:twoCellAnchor editAs="oneCell">
    <xdr:from>
      <xdr:col>1</xdr:col>
      <xdr:colOff>704880</xdr:colOff>
      <xdr:row>19</xdr:row>
      <xdr:rowOff>166680</xdr:rowOff>
    </xdr:from>
    <xdr:to>
      <xdr:col>2</xdr:col>
      <xdr:colOff>530640</xdr:colOff>
      <xdr:row>21</xdr:row>
      <xdr:rowOff>72000</xdr:rowOff>
    </xdr:to>
    <xdr:sp macro="" textlink="">
      <xdr:nvSpPr>
        <xdr:cNvPr id="114" name="TextBox 2">
          <a:extLst>
            <a:ext uri="{FF2B5EF4-FFF2-40B4-BE49-F238E27FC236}">
              <a16:creationId xmlns:a16="http://schemas.microsoft.com/office/drawing/2014/main" id="{00000000-0008-0000-1000-000072000000}"/>
            </a:ext>
          </a:extLst>
        </xdr:cNvPr>
        <xdr:cNvSpPr/>
      </xdr:nvSpPr>
      <xdr:spPr>
        <a:xfrm>
          <a:off x="2014200" y="3624120"/>
          <a:ext cx="685440" cy="26748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spAutoFit/>
        </a:bodyPr>
        <a:lstStyle/>
        <a:p>
          <a:pPr>
            <a:lnSpc>
              <a:spcPct val="100000"/>
            </a:lnSpc>
          </a:pPr>
          <a:r>
            <a:rPr lang="en-US" sz="1100" b="0" u="none" strike="noStrike">
              <a:solidFill>
                <a:schemeClr val="dk1"/>
              </a:solidFill>
              <a:effectLst/>
              <a:uFillTx/>
              <a:latin typeface="Cambria Math"/>
            </a:rPr>
            <a:t>𝑚^3</a:t>
          </a:r>
          <a:endParaRPr lang="id-ID" sz="1100" b="0" u="none" strike="noStrike">
            <a:effectLst/>
            <a:uFillTx/>
            <a:latin typeface="Times New Roman"/>
          </a:endParaRPr>
        </a:p>
      </xdr:txBody>
    </xdr:sp>
    <xdr:clientData/>
  </xdr:twoCellAnchor>
  <xdr:twoCellAnchor editAs="oneCell">
    <xdr:from>
      <xdr:col>0</xdr:col>
      <xdr:colOff>114480</xdr:colOff>
      <xdr:row>2</xdr:row>
      <xdr:rowOff>76320</xdr:rowOff>
    </xdr:from>
    <xdr:to>
      <xdr:col>4</xdr:col>
      <xdr:colOff>296280</xdr:colOff>
      <xdr:row>15</xdr:row>
      <xdr:rowOff>65520</xdr:rowOff>
    </xdr:to>
    <xdr:pic>
      <xdr:nvPicPr>
        <xdr:cNvPr id="115" name="Picture 3">
          <a:extLst>
            <a:ext uri="{FF2B5EF4-FFF2-40B4-BE49-F238E27FC236}">
              <a16:creationId xmlns:a16="http://schemas.microsoft.com/office/drawing/2014/main" id="{00000000-0008-0000-1000-000073000000}"/>
            </a:ext>
          </a:extLst>
        </xdr:cNvPr>
        <xdr:cNvPicPr/>
      </xdr:nvPicPr>
      <xdr:blipFill>
        <a:blip xmlns:r="http://schemas.openxmlformats.org/officeDocument/2006/relationships" r:embed="rId1"/>
        <a:stretch/>
      </xdr:blipFill>
      <xdr:spPr>
        <a:xfrm>
          <a:off x="114480" y="457200"/>
          <a:ext cx="4527720" cy="2342160"/>
        </a:xfrm>
        <a:prstGeom prst="rect">
          <a:avLst/>
        </a:prstGeom>
        <a:noFill/>
        <a:ln w="0">
          <a:noFill/>
        </a:ln>
      </xdr:spPr>
    </xdr:pic>
    <xdr:clientData/>
  </xdr:twoCellAnchor>
  <xdr:twoCellAnchor editAs="oneCell">
    <xdr:from>
      <xdr:col>1</xdr:col>
      <xdr:colOff>819000</xdr:colOff>
      <xdr:row>26</xdr:row>
      <xdr:rowOff>162000</xdr:rowOff>
    </xdr:from>
    <xdr:to>
      <xdr:col>2</xdr:col>
      <xdr:colOff>349560</xdr:colOff>
      <xdr:row>28</xdr:row>
      <xdr:rowOff>67320</xdr:rowOff>
    </xdr:to>
    <xdr:sp macro="" textlink="">
      <xdr:nvSpPr>
        <xdr:cNvPr id="116" name="TextBox 4">
          <a:extLst>
            <a:ext uri="{FF2B5EF4-FFF2-40B4-BE49-F238E27FC236}">
              <a16:creationId xmlns:a16="http://schemas.microsoft.com/office/drawing/2014/main" id="{00000000-0008-0000-1000-000074000000}"/>
            </a:ext>
          </a:extLst>
        </xdr:cNvPr>
        <xdr:cNvSpPr/>
      </xdr:nvSpPr>
      <xdr:spPr>
        <a:xfrm>
          <a:off x="2128320" y="4886280"/>
          <a:ext cx="390240" cy="26748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spAutoFit/>
        </a:bodyPr>
        <a:lstStyle/>
        <a:p>
          <a:pPr>
            <a:lnSpc>
              <a:spcPct val="100000"/>
            </a:lnSpc>
          </a:pPr>
          <a:r>
            <a:rPr lang="en-US" sz="1100" b="0" u="none" strike="noStrike">
              <a:solidFill>
                <a:schemeClr val="dk1"/>
              </a:solidFill>
              <a:effectLst/>
              <a:uFillTx/>
              <a:latin typeface="Cambria Math"/>
            </a:rPr>
            <a:t>𝑚^3</a:t>
          </a:r>
          <a:endParaRPr lang="id-ID" sz="1100" b="0" u="none" strike="noStrike">
            <a:effectLst/>
            <a:uFillTx/>
            <a:latin typeface="Times New Roman"/>
          </a:endParaRPr>
        </a:p>
      </xdr:txBody>
    </xdr:sp>
    <xdr:clientData/>
  </xdr:twoCellAnchor>
  <xdr:twoCellAnchor editAs="oneCell">
    <xdr:from>
      <xdr:col>1</xdr:col>
      <xdr:colOff>800280</xdr:colOff>
      <xdr:row>27</xdr:row>
      <xdr:rowOff>162000</xdr:rowOff>
    </xdr:from>
    <xdr:to>
      <xdr:col>2</xdr:col>
      <xdr:colOff>330840</xdr:colOff>
      <xdr:row>29</xdr:row>
      <xdr:rowOff>67680</xdr:rowOff>
    </xdr:to>
    <xdr:sp macro="" textlink="">
      <xdr:nvSpPr>
        <xdr:cNvPr id="117" name="TextBox 5">
          <a:extLst>
            <a:ext uri="{FF2B5EF4-FFF2-40B4-BE49-F238E27FC236}">
              <a16:creationId xmlns:a16="http://schemas.microsoft.com/office/drawing/2014/main" id="{00000000-0008-0000-1000-000075000000}"/>
            </a:ext>
          </a:extLst>
        </xdr:cNvPr>
        <xdr:cNvSpPr/>
      </xdr:nvSpPr>
      <xdr:spPr>
        <a:xfrm>
          <a:off x="2109600" y="5067360"/>
          <a:ext cx="390240" cy="26748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spAutoFit/>
        </a:bodyPr>
        <a:lstStyle/>
        <a:p>
          <a:pPr>
            <a:lnSpc>
              <a:spcPct val="100000"/>
            </a:lnSpc>
          </a:pPr>
          <a:r>
            <a:rPr lang="zh-CN" sz="1100" b="0" u="none" strike="noStrike">
              <a:solidFill>
                <a:schemeClr val="dk1"/>
              </a:solidFill>
              <a:effectLst/>
              <a:uFillTx/>
              <a:latin typeface="Cambria Math"/>
            </a:rPr>
            <a:t>〖𝑓𝑡〗</a:t>
          </a:r>
          <a:r>
            <a:rPr lang="en-US" sz="1100" b="0" u="none" strike="noStrike">
              <a:solidFill>
                <a:schemeClr val="dk1"/>
              </a:solidFill>
              <a:effectLst/>
              <a:uFillTx/>
              <a:latin typeface="Cambria Math"/>
            </a:rPr>
            <a:t>^3</a:t>
          </a:r>
          <a:endParaRPr lang="id-ID" sz="1100" b="0" u="none" strike="noStrike">
            <a:effectLst/>
            <a:uFillTx/>
            <a:latin typeface="Times New Roman"/>
          </a:endParaRPr>
        </a:p>
      </xdr:txBody>
    </xdr:sp>
    <xdr:clientData/>
  </xdr:twoCellAnchor>
  <xdr:twoCellAnchor editAs="oneCell">
    <xdr:from>
      <xdr:col>1</xdr:col>
      <xdr:colOff>800280</xdr:colOff>
      <xdr:row>25</xdr:row>
      <xdr:rowOff>179280</xdr:rowOff>
    </xdr:from>
    <xdr:to>
      <xdr:col>2</xdr:col>
      <xdr:colOff>330840</xdr:colOff>
      <xdr:row>27</xdr:row>
      <xdr:rowOff>84960</xdr:rowOff>
    </xdr:to>
    <xdr:sp macro="" textlink="">
      <xdr:nvSpPr>
        <xdr:cNvPr id="118" name="TextBox 6">
          <a:extLst>
            <a:ext uri="{FF2B5EF4-FFF2-40B4-BE49-F238E27FC236}">
              <a16:creationId xmlns:a16="http://schemas.microsoft.com/office/drawing/2014/main" id="{00000000-0008-0000-1000-000076000000}"/>
            </a:ext>
          </a:extLst>
        </xdr:cNvPr>
        <xdr:cNvSpPr/>
      </xdr:nvSpPr>
      <xdr:spPr>
        <a:xfrm>
          <a:off x="2109600" y="4722840"/>
          <a:ext cx="390240" cy="26748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spAutoFit/>
        </a:bodyPr>
        <a:lstStyle/>
        <a:p>
          <a:pPr>
            <a:lnSpc>
              <a:spcPct val="100000"/>
            </a:lnSpc>
          </a:pPr>
          <a:r>
            <a:rPr lang="en-US" sz="1100" b="0" u="none" strike="noStrike">
              <a:solidFill>
                <a:schemeClr val="dk1"/>
              </a:solidFill>
              <a:effectLst/>
              <a:uFillTx/>
              <a:latin typeface="Cambria Math"/>
            </a:rPr>
            <a:t>𝑚^2</a:t>
          </a:r>
          <a:endParaRPr lang="id-ID" sz="1100" b="0" u="none" strike="noStrike">
            <a:effectLst/>
            <a:uFillTx/>
            <a:latin typeface="Times New Roman"/>
          </a:endParaRPr>
        </a:p>
      </xdr:txBody>
    </xdr:sp>
    <xdr:clientData/>
  </xdr:twoCellAnchor>
  <xdr:twoCellAnchor editAs="oneCell">
    <xdr:from>
      <xdr:col>1</xdr:col>
      <xdr:colOff>828720</xdr:colOff>
      <xdr:row>35</xdr:row>
      <xdr:rowOff>162000</xdr:rowOff>
    </xdr:from>
    <xdr:to>
      <xdr:col>2</xdr:col>
      <xdr:colOff>359280</xdr:colOff>
      <xdr:row>37</xdr:row>
      <xdr:rowOff>67680</xdr:rowOff>
    </xdr:to>
    <xdr:sp macro="" textlink="">
      <xdr:nvSpPr>
        <xdr:cNvPr id="119" name="TextBox 7">
          <a:extLst>
            <a:ext uri="{FF2B5EF4-FFF2-40B4-BE49-F238E27FC236}">
              <a16:creationId xmlns:a16="http://schemas.microsoft.com/office/drawing/2014/main" id="{00000000-0008-0000-1000-000077000000}"/>
            </a:ext>
          </a:extLst>
        </xdr:cNvPr>
        <xdr:cNvSpPr/>
      </xdr:nvSpPr>
      <xdr:spPr>
        <a:xfrm>
          <a:off x="2138040" y="6515280"/>
          <a:ext cx="390240" cy="26748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809640</xdr:colOff>
      <xdr:row>36</xdr:row>
      <xdr:rowOff>162000</xdr:rowOff>
    </xdr:from>
    <xdr:to>
      <xdr:col>2</xdr:col>
      <xdr:colOff>340200</xdr:colOff>
      <xdr:row>38</xdr:row>
      <xdr:rowOff>64080</xdr:rowOff>
    </xdr:to>
    <xdr:sp macro="" textlink="">
      <xdr:nvSpPr>
        <xdr:cNvPr id="120" name="TextBox 8">
          <a:extLst>
            <a:ext uri="{FF2B5EF4-FFF2-40B4-BE49-F238E27FC236}">
              <a16:creationId xmlns:a16="http://schemas.microsoft.com/office/drawing/2014/main" id="{00000000-0008-0000-1000-000078000000}"/>
            </a:ext>
          </a:extLst>
        </xdr:cNvPr>
        <xdr:cNvSpPr/>
      </xdr:nvSpPr>
      <xdr:spPr>
        <a:xfrm>
          <a:off x="2118960" y="6696000"/>
          <a:ext cx="390240" cy="26424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809640</xdr:colOff>
      <xdr:row>34</xdr:row>
      <xdr:rowOff>179640</xdr:rowOff>
    </xdr:from>
    <xdr:to>
      <xdr:col>2</xdr:col>
      <xdr:colOff>340200</xdr:colOff>
      <xdr:row>36</xdr:row>
      <xdr:rowOff>85320</xdr:rowOff>
    </xdr:to>
    <xdr:sp macro="" textlink="">
      <xdr:nvSpPr>
        <xdr:cNvPr id="121" name="TextBox 9">
          <a:extLst>
            <a:ext uri="{FF2B5EF4-FFF2-40B4-BE49-F238E27FC236}">
              <a16:creationId xmlns:a16="http://schemas.microsoft.com/office/drawing/2014/main" id="{00000000-0008-0000-1000-000079000000}"/>
            </a:ext>
          </a:extLst>
        </xdr:cNvPr>
        <xdr:cNvSpPr/>
      </xdr:nvSpPr>
      <xdr:spPr>
        <a:xfrm>
          <a:off x="2118960" y="6351840"/>
          <a:ext cx="390240" cy="26748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3</xdr:col>
      <xdr:colOff>335520</xdr:colOff>
      <xdr:row>38</xdr:row>
      <xdr:rowOff>3600</xdr:rowOff>
    </xdr:from>
    <xdr:to>
      <xdr:col>8</xdr:col>
      <xdr:colOff>459360</xdr:colOff>
      <xdr:row>44</xdr:row>
      <xdr:rowOff>1080</xdr:rowOff>
    </xdr:to>
    <xdr:pic>
      <xdr:nvPicPr>
        <xdr:cNvPr id="122" name="Picture 10">
          <a:extLst>
            <a:ext uri="{FF2B5EF4-FFF2-40B4-BE49-F238E27FC236}">
              <a16:creationId xmlns:a16="http://schemas.microsoft.com/office/drawing/2014/main" id="{00000000-0008-0000-1000-00007A000000}"/>
            </a:ext>
          </a:extLst>
        </xdr:cNvPr>
        <xdr:cNvPicPr/>
      </xdr:nvPicPr>
      <xdr:blipFill>
        <a:blip xmlns:r="http://schemas.openxmlformats.org/officeDocument/2006/relationships" r:embed="rId2"/>
        <a:stretch/>
      </xdr:blipFill>
      <xdr:spPr>
        <a:xfrm>
          <a:off x="3984120" y="6899760"/>
          <a:ext cx="3571200" cy="1111680"/>
        </a:xfrm>
        <a:prstGeom prst="rect">
          <a:avLst/>
        </a:prstGeom>
        <a:noFill/>
        <a:ln w="0">
          <a:noFill/>
        </a:ln>
      </xdr:spPr>
    </xdr:pic>
    <xdr:clientData/>
  </xdr:twoCellAnchor>
  <xdr:twoCellAnchor editAs="oneCell">
    <xdr:from>
      <xdr:col>0</xdr:col>
      <xdr:colOff>590400</xdr:colOff>
      <xdr:row>57</xdr:row>
      <xdr:rowOff>123840</xdr:rowOff>
    </xdr:from>
    <xdr:to>
      <xdr:col>5</xdr:col>
      <xdr:colOff>180360</xdr:colOff>
      <xdr:row>81</xdr:row>
      <xdr:rowOff>15840</xdr:rowOff>
    </xdr:to>
    <xdr:pic>
      <xdr:nvPicPr>
        <xdr:cNvPr id="123" name="Picture 11">
          <a:extLst>
            <a:ext uri="{FF2B5EF4-FFF2-40B4-BE49-F238E27FC236}">
              <a16:creationId xmlns:a16="http://schemas.microsoft.com/office/drawing/2014/main" id="{00000000-0008-0000-1000-00007B000000}"/>
            </a:ext>
          </a:extLst>
        </xdr:cNvPr>
        <xdr:cNvPicPr/>
      </xdr:nvPicPr>
      <xdr:blipFill>
        <a:blip xmlns:r="http://schemas.openxmlformats.org/officeDocument/2006/relationships" r:embed="rId3"/>
        <a:srcRect l="17708" t="12125" r="37407" b="7868"/>
        <a:stretch/>
      </xdr:blipFill>
      <xdr:spPr>
        <a:xfrm>
          <a:off x="590400" y="10487160"/>
          <a:ext cx="4594320" cy="4235400"/>
        </a:xfrm>
        <a:prstGeom prst="rect">
          <a:avLst/>
        </a:prstGeom>
        <a:noFill/>
        <a:ln w="0">
          <a:noFill/>
        </a:ln>
      </xdr:spPr>
    </xdr:pic>
    <xdr:clientData/>
  </xdr:twoCellAnchor>
  <xdr:twoCellAnchor>
    <xdr:from>
      <xdr:col>0</xdr:col>
      <xdr:colOff>714240</xdr:colOff>
      <xdr:row>75</xdr:row>
      <xdr:rowOff>38160</xdr:rowOff>
    </xdr:from>
    <xdr:to>
      <xdr:col>3</xdr:col>
      <xdr:colOff>104400</xdr:colOff>
      <xdr:row>76</xdr:row>
      <xdr:rowOff>18720</xdr:rowOff>
    </xdr:to>
    <xdr:sp macro="" textlink="">
      <xdr:nvSpPr>
        <xdr:cNvPr id="124" name="Rectangle 12">
          <a:extLst>
            <a:ext uri="{FF2B5EF4-FFF2-40B4-BE49-F238E27FC236}">
              <a16:creationId xmlns:a16="http://schemas.microsoft.com/office/drawing/2014/main" id="{00000000-0008-0000-1000-00007C000000}"/>
            </a:ext>
          </a:extLst>
        </xdr:cNvPr>
        <xdr:cNvSpPr/>
      </xdr:nvSpPr>
      <xdr:spPr>
        <a:xfrm>
          <a:off x="714240" y="13658760"/>
          <a:ext cx="3038760" cy="161640"/>
        </a:xfrm>
        <a:prstGeom prst="rect">
          <a:avLst/>
        </a:prstGeom>
        <a:noFill/>
        <a:ln w="12700">
          <a:solidFill>
            <a:srgbClr val="8784C7"/>
          </a:solidFill>
          <a:miter/>
        </a:ln>
      </xdr:spPr>
      <xdr:style>
        <a:lnRef idx="2">
          <a:schemeClr val="accent2"/>
        </a:lnRef>
        <a:fillRef idx="1">
          <a:schemeClr val="lt1"/>
        </a:fillRef>
        <a:effectRef idx="0">
          <a:schemeClr val="accent2"/>
        </a:effectRef>
        <a:fontRef idx="minor"/>
      </xdr:style>
    </xdr:sp>
    <xdr:clientData/>
  </xdr:twoCellAnchor>
  <xdr:twoCellAnchor editAs="oneCell">
    <xdr:from>
      <xdr:col>7</xdr:col>
      <xdr:colOff>352440</xdr:colOff>
      <xdr:row>58</xdr:row>
      <xdr:rowOff>95400</xdr:rowOff>
    </xdr:from>
    <xdr:to>
      <xdr:col>14</xdr:col>
      <xdr:colOff>405000</xdr:colOff>
      <xdr:row>81</xdr:row>
      <xdr:rowOff>160920</xdr:rowOff>
    </xdr:to>
    <xdr:pic>
      <xdr:nvPicPr>
        <xdr:cNvPr id="125" name="Picture 13">
          <a:extLst>
            <a:ext uri="{FF2B5EF4-FFF2-40B4-BE49-F238E27FC236}">
              <a16:creationId xmlns:a16="http://schemas.microsoft.com/office/drawing/2014/main" id="{00000000-0008-0000-1000-00007D000000}"/>
            </a:ext>
          </a:extLst>
        </xdr:cNvPr>
        <xdr:cNvPicPr/>
      </xdr:nvPicPr>
      <xdr:blipFill>
        <a:blip xmlns:r="http://schemas.openxmlformats.org/officeDocument/2006/relationships" r:embed="rId4"/>
        <a:srcRect l="18278" t="15157" r="37407" b="5173"/>
        <a:stretch/>
      </xdr:blipFill>
      <xdr:spPr>
        <a:xfrm>
          <a:off x="6751440" y="10639440"/>
          <a:ext cx="4538160" cy="4228200"/>
        </a:xfrm>
        <a:prstGeom prst="rect">
          <a:avLst/>
        </a:prstGeom>
        <a:noFill/>
        <a:ln w="0">
          <a:noFill/>
        </a:ln>
      </xdr:spPr>
    </xdr:pic>
    <xdr:clientData/>
  </xdr:twoCellAnchor>
  <xdr:twoCellAnchor>
    <xdr:from>
      <xdr:col>7</xdr:col>
      <xdr:colOff>428760</xdr:colOff>
      <xdr:row>75</xdr:row>
      <xdr:rowOff>28440</xdr:rowOff>
    </xdr:from>
    <xdr:to>
      <xdr:col>12</xdr:col>
      <xdr:colOff>304560</xdr:colOff>
      <xdr:row>76</xdr:row>
      <xdr:rowOff>37440</xdr:rowOff>
    </xdr:to>
    <xdr:sp macro="" textlink="">
      <xdr:nvSpPr>
        <xdr:cNvPr id="126" name="Rectangle 14">
          <a:extLst>
            <a:ext uri="{FF2B5EF4-FFF2-40B4-BE49-F238E27FC236}">
              <a16:creationId xmlns:a16="http://schemas.microsoft.com/office/drawing/2014/main" id="{00000000-0008-0000-1000-00007E000000}"/>
            </a:ext>
          </a:extLst>
        </xdr:cNvPr>
        <xdr:cNvSpPr/>
      </xdr:nvSpPr>
      <xdr:spPr>
        <a:xfrm>
          <a:off x="6827760" y="13649040"/>
          <a:ext cx="2966760" cy="190080"/>
        </a:xfrm>
        <a:prstGeom prst="rect">
          <a:avLst/>
        </a:prstGeom>
        <a:noFill/>
        <a:ln w="12700">
          <a:solidFill>
            <a:srgbClr val="8784C7"/>
          </a:solidFill>
          <a:miter/>
        </a:ln>
      </xdr:spPr>
      <xdr:style>
        <a:lnRef idx="2">
          <a:schemeClr val="accent2"/>
        </a:lnRef>
        <a:fillRef idx="1">
          <a:schemeClr val="lt1"/>
        </a:fillRef>
        <a:effectRef idx="0">
          <a:schemeClr val="accent2"/>
        </a:effectRef>
        <a:fontRef idx="minor"/>
      </xdr:style>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268920</xdr:colOff>
      <xdr:row>75</xdr:row>
      <xdr:rowOff>78480</xdr:rowOff>
    </xdr:from>
    <xdr:to>
      <xdr:col>12</xdr:col>
      <xdr:colOff>512640</xdr:colOff>
      <xdr:row>83</xdr:row>
      <xdr:rowOff>92160</xdr:rowOff>
    </xdr:to>
    <xdr:pic>
      <xdr:nvPicPr>
        <xdr:cNvPr id="127" name="Picture 1">
          <a:extLst>
            <a:ext uri="{FF2B5EF4-FFF2-40B4-BE49-F238E27FC236}">
              <a16:creationId xmlns:a16="http://schemas.microsoft.com/office/drawing/2014/main" id="{00000000-0008-0000-1100-00007F000000}"/>
            </a:ext>
          </a:extLst>
        </xdr:cNvPr>
        <xdr:cNvPicPr/>
      </xdr:nvPicPr>
      <xdr:blipFill>
        <a:blip xmlns:r="http://schemas.openxmlformats.org/officeDocument/2006/relationships" r:embed="rId1"/>
        <a:stretch/>
      </xdr:blipFill>
      <xdr:spPr>
        <a:xfrm>
          <a:off x="2900520" y="14366160"/>
          <a:ext cx="5506560" cy="1537560"/>
        </a:xfrm>
        <a:prstGeom prst="rect">
          <a:avLst/>
        </a:prstGeom>
        <a:noFill/>
        <a:ln w="0">
          <a:noFill/>
        </a:ln>
      </xdr:spPr>
    </xdr:pic>
    <xdr:clientData/>
  </xdr:twoCellAnchor>
  <xdr:twoCellAnchor editAs="oneCell">
    <xdr:from>
      <xdr:col>7</xdr:col>
      <xdr:colOff>238320</xdr:colOff>
      <xdr:row>63</xdr:row>
      <xdr:rowOff>38160</xdr:rowOff>
    </xdr:from>
    <xdr:to>
      <xdr:col>14</xdr:col>
      <xdr:colOff>509400</xdr:colOff>
      <xdr:row>70</xdr:row>
      <xdr:rowOff>70200</xdr:rowOff>
    </xdr:to>
    <xdr:pic>
      <xdr:nvPicPr>
        <xdr:cNvPr id="128" name="Picture 2">
          <a:extLst>
            <a:ext uri="{FF2B5EF4-FFF2-40B4-BE49-F238E27FC236}">
              <a16:creationId xmlns:a16="http://schemas.microsoft.com/office/drawing/2014/main" id="{00000000-0008-0000-1100-000080000000}"/>
            </a:ext>
          </a:extLst>
        </xdr:cNvPr>
        <xdr:cNvPicPr/>
      </xdr:nvPicPr>
      <xdr:blipFill>
        <a:blip xmlns:r="http://schemas.openxmlformats.org/officeDocument/2006/relationships" r:embed="rId2"/>
        <a:stretch/>
      </xdr:blipFill>
      <xdr:spPr>
        <a:xfrm>
          <a:off x="4843440" y="12039840"/>
          <a:ext cx="4875840" cy="1365480"/>
        </a:xfrm>
        <a:prstGeom prst="rect">
          <a:avLst/>
        </a:prstGeom>
        <a:noFill/>
        <a:ln w="0">
          <a:noFill/>
        </a:ln>
      </xdr:spPr>
    </xdr:pic>
    <xdr:clientData/>
  </xdr:twoCellAnchor>
  <xdr:twoCellAnchor editAs="oneCell">
    <xdr:from>
      <xdr:col>10</xdr:col>
      <xdr:colOff>265680</xdr:colOff>
      <xdr:row>51</xdr:row>
      <xdr:rowOff>180720</xdr:rowOff>
    </xdr:from>
    <xdr:to>
      <xdr:col>17</xdr:col>
      <xdr:colOff>629640</xdr:colOff>
      <xdr:row>61</xdr:row>
      <xdr:rowOff>184320</xdr:rowOff>
    </xdr:to>
    <xdr:pic>
      <xdr:nvPicPr>
        <xdr:cNvPr id="129" name="Picture 3">
          <a:extLst>
            <a:ext uri="{FF2B5EF4-FFF2-40B4-BE49-F238E27FC236}">
              <a16:creationId xmlns:a16="http://schemas.microsoft.com/office/drawing/2014/main" id="{00000000-0008-0000-1100-000081000000}"/>
            </a:ext>
          </a:extLst>
        </xdr:cNvPr>
        <xdr:cNvPicPr/>
      </xdr:nvPicPr>
      <xdr:blipFill>
        <a:blip xmlns:r="http://schemas.openxmlformats.org/officeDocument/2006/relationships" r:embed="rId3"/>
        <a:stretch/>
      </xdr:blipFill>
      <xdr:spPr>
        <a:xfrm>
          <a:off x="6844320" y="9896400"/>
          <a:ext cx="4969080" cy="1908360"/>
        </a:xfrm>
        <a:prstGeom prst="rect">
          <a:avLst/>
        </a:prstGeom>
        <a:noFill/>
        <a:ln w="0">
          <a:noFill/>
        </a:ln>
      </xdr:spPr>
    </xdr:pic>
    <xdr:clientData/>
  </xdr:twoCellAnchor>
  <xdr:twoCellAnchor editAs="oneCell">
    <xdr:from>
      <xdr:col>5</xdr:col>
      <xdr:colOff>171360</xdr:colOff>
      <xdr:row>40</xdr:row>
      <xdr:rowOff>96840</xdr:rowOff>
    </xdr:from>
    <xdr:to>
      <xdr:col>13</xdr:col>
      <xdr:colOff>156600</xdr:colOff>
      <xdr:row>51</xdr:row>
      <xdr:rowOff>16200</xdr:rowOff>
    </xdr:to>
    <xdr:pic>
      <xdr:nvPicPr>
        <xdr:cNvPr id="130" name="Picture 4">
          <a:extLst>
            <a:ext uri="{FF2B5EF4-FFF2-40B4-BE49-F238E27FC236}">
              <a16:creationId xmlns:a16="http://schemas.microsoft.com/office/drawing/2014/main" id="{00000000-0008-0000-1100-000082000000}"/>
            </a:ext>
          </a:extLst>
        </xdr:cNvPr>
        <xdr:cNvPicPr/>
      </xdr:nvPicPr>
      <xdr:blipFill>
        <a:blip xmlns:r="http://schemas.openxmlformats.org/officeDocument/2006/relationships" r:embed="rId4"/>
        <a:srcRect r="13271"/>
        <a:stretch/>
      </xdr:blipFill>
      <xdr:spPr>
        <a:xfrm>
          <a:off x="3460680" y="7716960"/>
          <a:ext cx="5248080" cy="2014920"/>
        </a:xfrm>
        <a:prstGeom prst="rect">
          <a:avLst/>
        </a:prstGeom>
        <a:noFill/>
        <a:ln w="0">
          <a:noFill/>
        </a:ln>
      </xdr:spPr>
    </xdr:pic>
    <xdr:clientData/>
  </xdr:twoCellAnchor>
  <xdr:twoCellAnchor editAs="oneCell">
    <xdr:from>
      <xdr:col>15</xdr:col>
      <xdr:colOff>107280</xdr:colOff>
      <xdr:row>14</xdr:row>
      <xdr:rowOff>72000</xdr:rowOff>
    </xdr:from>
    <xdr:to>
      <xdr:col>21</xdr:col>
      <xdr:colOff>642240</xdr:colOff>
      <xdr:row>33</xdr:row>
      <xdr:rowOff>39240</xdr:rowOff>
    </xdr:to>
    <xdr:pic>
      <xdr:nvPicPr>
        <xdr:cNvPr id="131" name="Picture 5">
          <a:extLst>
            <a:ext uri="{FF2B5EF4-FFF2-40B4-BE49-F238E27FC236}">
              <a16:creationId xmlns:a16="http://schemas.microsoft.com/office/drawing/2014/main" id="{00000000-0008-0000-1100-000083000000}"/>
            </a:ext>
          </a:extLst>
        </xdr:cNvPr>
        <xdr:cNvPicPr/>
      </xdr:nvPicPr>
      <xdr:blipFill>
        <a:blip xmlns:r="http://schemas.openxmlformats.org/officeDocument/2006/relationships" r:embed="rId5"/>
        <a:stretch/>
      </xdr:blipFill>
      <xdr:spPr>
        <a:xfrm>
          <a:off x="9975240" y="2738880"/>
          <a:ext cx="4482000" cy="3587040"/>
        </a:xfrm>
        <a:prstGeom prst="rect">
          <a:avLst/>
        </a:prstGeom>
        <a:noFill/>
        <a:ln w="0">
          <a:noFill/>
        </a:ln>
      </xdr:spPr>
    </xdr:pic>
    <xdr:clientData/>
  </xdr:twoCellAnchor>
  <xdr:twoCellAnchor editAs="oneCell">
    <xdr:from>
      <xdr:col>16</xdr:col>
      <xdr:colOff>281520</xdr:colOff>
      <xdr:row>3</xdr:row>
      <xdr:rowOff>143640</xdr:rowOff>
    </xdr:from>
    <xdr:to>
      <xdr:col>21</xdr:col>
      <xdr:colOff>596520</xdr:colOff>
      <xdr:row>12</xdr:row>
      <xdr:rowOff>96120</xdr:rowOff>
    </xdr:to>
    <xdr:pic>
      <xdr:nvPicPr>
        <xdr:cNvPr id="132" name="Picture 6">
          <a:extLst>
            <a:ext uri="{FF2B5EF4-FFF2-40B4-BE49-F238E27FC236}">
              <a16:creationId xmlns:a16="http://schemas.microsoft.com/office/drawing/2014/main" id="{00000000-0008-0000-1100-000084000000}"/>
            </a:ext>
          </a:extLst>
        </xdr:cNvPr>
        <xdr:cNvPicPr/>
      </xdr:nvPicPr>
      <xdr:blipFill>
        <a:blip xmlns:r="http://schemas.openxmlformats.org/officeDocument/2006/relationships" r:embed="rId6"/>
        <a:stretch/>
      </xdr:blipFill>
      <xdr:spPr>
        <a:xfrm>
          <a:off x="10807200" y="715320"/>
          <a:ext cx="3604320" cy="1666800"/>
        </a:xfrm>
        <a:prstGeom prst="rect">
          <a:avLst/>
        </a:prstGeom>
        <a:noFill/>
        <a:ln w="0">
          <a:noFill/>
        </a:ln>
      </xdr:spPr>
    </xdr:pic>
    <xdr:clientData/>
  </xdr:twoCellAnchor>
  <xdr:twoCellAnchor editAs="oneCell">
    <xdr:from>
      <xdr:col>14</xdr:col>
      <xdr:colOff>39600</xdr:colOff>
      <xdr:row>101</xdr:row>
      <xdr:rowOff>180720</xdr:rowOff>
    </xdr:from>
    <xdr:to>
      <xdr:col>14</xdr:col>
      <xdr:colOff>222840</xdr:colOff>
      <xdr:row>102</xdr:row>
      <xdr:rowOff>162000</xdr:rowOff>
    </xdr:to>
    <xdr:sp macro="" textlink="">
      <xdr:nvSpPr>
        <xdr:cNvPr id="133" name="TextBox 7">
          <a:extLst>
            <a:ext uri="{FF2B5EF4-FFF2-40B4-BE49-F238E27FC236}">
              <a16:creationId xmlns:a16="http://schemas.microsoft.com/office/drawing/2014/main" id="{00000000-0008-0000-1100-000085000000}"/>
            </a:ext>
          </a:extLst>
        </xdr:cNvPr>
        <xdr:cNvSpPr/>
      </xdr:nvSpPr>
      <xdr:spPr>
        <a:xfrm>
          <a:off x="9249480" y="19421280"/>
          <a:ext cx="183240" cy="17172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0" tIns="0" rIns="0" bIns="0" anchor="t">
          <a:spAutoFit/>
        </a:bodyPr>
        <a:lstStyle/>
        <a:p>
          <a:pPr>
            <a:lnSpc>
              <a:spcPct val="100000"/>
            </a:lnSpc>
          </a:pPr>
          <a:r>
            <a:rPr lang="en-US" sz="1100" b="0" u="none" strike="noStrike">
              <a:solidFill>
                <a:schemeClr val="dk1"/>
              </a:solidFill>
              <a:effectLst/>
              <a:uFillTx/>
              <a:latin typeface="Cambria Math"/>
              <a:ea typeface="Cambria Math"/>
            </a:rPr>
            <a:t>𝜌</a:t>
          </a:r>
          <a:r>
            <a:rPr lang="en-US" sz="1100" b="0" u="none" strike="noStrike">
              <a:solidFill>
                <a:schemeClr val="dk1"/>
              </a:solidFill>
              <a:effectLst/>
              <a:uFillTx/>
              <a:latin typeface="Calibri"/>
              <a:ea typeface="Cambria Math"/>
            </a:rPr>
            <a:t> =</a:t>
          </a:r>
          <a:endParaRPr lang="id-ID" sz="1100" b="0" u="none" strike="noStrike">
            <a:effectLst/>
            <a:uFillTx/>
            <a:latin typeface="Times New Roman"/>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452520</xdr:colOff>
      <xdr:row>161</xdr:row>
      <xdr:rowOff>75600</xdr:rowOff>
    </xdr:from>
    <xdr:to>
      <xdr:col>12</xdr:col>
      <xdr:colOff>404280</xdr:colOff>
      <xdr:row>180</xdr:row>
      <xdr:rowOff>1530000</xdr:rowOff>
    </xdr:to>
    <xdr:grpSp>
      <xdr:nvGrpSpPr>
        <xdr:cNvPr id="134" name="Group 3">
          <a:extLst>
            <a:ext uri="{FF2B5EF4-FFF2-40B4-BE49-F238E27FC236}">
              <a16:creationId xmlns:a16="http://schemas.microsoft.com/office/drawing/2014/main" id="{00000000-0008-0000-1200-000086000000}"/>
            </a:ext>
          </a:extLst>
        </xdr:cNvPr>
        <xdr:cNvGrpSpPr/>
      </xdr:nvGrpSpPr>
      <xdr:grpSpPr>
        <a:xfrm>
          <a:off x="1910259" y="24612000"/>
          <a:ext cx="6962160" cy="9392452"/>
          <a:chOff x="1932120" y="24612120"/>
          <a:chExt cx="7054920" cy="9398160"/>
        </a:xfrm>
      </xdr:grpSpPr>
      <xdr:pic>
        <xdr:nvPicPr>
          <xdr:cNvPr id="135" name="Picture 1">
            <a:extLst>
              <a:ext uri="{FF2B5EF4-FFF2-40B4-BE49-F238E27FC236}">
                <a16:creationId xmlns:a16="http://schemas.microsoft.com/office/drawing/2014/main" id="{00000000-0008-0000-1200-000087000000}"/>
              </a:ext>
            </a:extLst>
          </xdr:cNvPr>
          <xdr:cNvPicPr/>
        </xdr:nvPicPr>
        <xdr:blipFill>
          <a:blip xmlns:r="http://schemas.openxmlformats.org/officeDocument/2006/relationships" r:embed="rId1"/>
          <a:srcRect l="18085" r="19206"/>
          <a:stretch/>
        </xdr:blipFill>
        <xdr:spPr>
          <a:xfrm>
            <a:off x="3118680" y="24612120"/>
            <a:ext cx="4312080" cy="4852800"/>
          </a:xfrm>
          <a:prstGeom prst="rect">
            <a:avLst/>
          </a:prstGeom>
          <a:noFill/>
          <a:ln w="0">
            <a:noFill/>
          </a:ln>
        </xdr:spPr>
      </xdr:pic>
      <xdr:pic>
        <xdr:nvPicPr>
          <xdr:cNvPr id="136" name="Picture 2">
            <a:extLst>
              <a:ext uri="{FF2B5EF4-FFF2-40B4-BE49-F238E27FC236}">
                <a16:creationId xmlns:a16="http://schemas.microsoft.com/office/drawing/2014/main" id="{00000000-0008-0000-1200-000088000000}"/>
              </a:ext>
            </a:extLst>
          </xdr:cNvPr>
          <xdr:cNvPicPr/>
        </xdr:nvPicPr>
        <xdr:blipFill>
          <a:blip xmlns:r="http://schemas.openxmlformats.org/officeDocument/2006/relationships" r:embed="rId2"/>
          <a:srcRect l="-27220" t="3245" r="-36091" b="-66550"/>
          <a:stretch/>
        </xdr:blipFill>
        <xdr:spPr>
          <a:xfrm>
            <a:off x="1932120" y="29455560"/>
            <a:ext cx="7054920" cy="4554720"/>
          </a:xfrm>
          <a:prstGeom prst="rect">
            <a:avLst/>
          </a:prstGeom>
          <a:noFill/>
          <a:ln w="0">
            <a:noFill/>
          </a:ln>
        </xdr:spPr>
      </xdr:pic>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11gabillah/PPNS/Semester%203/00_Tugas%20S3%20Tahanan%20dan%20Propulsi%20&amp;%20RU/minggu1/Lembar%20Kerja%20Tahanan.xlsx" TargetMode="External"/><Relationship Id="rId1" Type="http://schemas.openxmlformats.org/officeDocument/2006/relationships/externalLinkPath" Target="/11gabillah/PPNS/Semester%203/00_Tugas%20S3%20Tahanan%20dan%20Propulsi%20&amp;%20RU/minggu1/Lembar%20Kerja%20Tahana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1gabillah/PPNS/00_Tugas%20S2%20Dasar%20Teknik%20Bangunan%20Kapal/Topic3/Data%20Topic%203%20-%20Copy.xlsx" TargetMode="External"/><Relationship Id="rId1" Type="http://schemas.openxmlformats.org/officeDocument/2006/relationships/externalLinkPath" Target="/1gabillah/PPNS/00_Tugas%20S2%20Dasar%20Teknik%20Bangunan%20Kapal/Topic3/Data%20Topic%203%20-%20Copy.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11gabillah/PPNS/Semester%203/00_Tugas%20S3%20Tahanan%20dan%20Propulsi%20&amp;%20RU/Tanker%20-%20Class%20ABS/Tanker%20-%20Class%20ABS/GA%20-%20MTM%20Antwerp%20-%2020k%20DWT.xlsx" TargetMode="External"/><Relationship Id="rId1" Type="http://schemas.openxmlformats.org/officeDocument/2006/relationships/externalLinkPath" Target="/11gabillah/PPNS/Semester%203/00_Tugas%20S3%20Tahanan%20dan%20Propulsi%20&amp;%20RU/Tanker%20-%20Class%20ABS/Tanker%20-%20Class%20ABS/GA%20-%20MTM%20Antwerp%20-%2020k%20DW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eneral Arrangemen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nes Plan"/>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OC 2 ATTACH"/>
    </sheetNames>
    <sheetDataSet>
      <sheetData sheetId="0" refreshError="1"/>
    </sheetDataSet>
  </externalBook>
</externalLink>
</file>

<file path=xl/theme/theme1.xml><?xml version="1.0" encoding="utf-8"?>
<a:theme xmlns:a="http://schemas.openxmlformats.org/drawingml/2006/main" name="Office Theme">
  <a:themeElements>
    <a:clrScheme name="Violet">
      <a:dk1>
        <a:srgbClr val="000000"/>
      </a:dk1>
      <a:lt1>
        <a:srgbClr val="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J128"/>
  <sheetViews>
    <sheetView showGridLines="0" topLeftCell="A115" zoomScale="70" zoomScaleNormal="70" zoomScalePageLayoutView="175" workbookViewId="0">
      <selection activeCell="D128" sqref="D128"/>
    </sheetView>
  </sheetViews>
  <sheetFormatPr defaultColWidth="9" defaultRowHeight="14.4" x14ac:dyDescent="0.3"/>
  <cols>
    <col min="1" max="1" width="9" style="15"/>
    <col min="2" max="2" width="20.09765625" style="15" customWidth="1"/>
    <col min="3" max="4" width="9" style="15"/>
    <col min="5" max="5" width="26.3984375" style="15" customWidth="1"/>
    <col min="6" max="16384" width="9" style="15"/>
  </cols>
  <sheetData>
    <row r="2" spans="2:5" x14ac:dyDescent="0.3">
      <c r="B2" s="8" t="s">
        <v>0</v>
      </c>
      <c r="C2" s="8"/>
      <c r="D2" s="8"/>
      <c r="E2" s="16"/>
    </row>
    <row r="3" spans="2:5" x14ac:dyDescent="0.3">
      <c r="B3" s="17"/>
      <c r="E3" s="18"/>
    </row>
    <row r="4" spans="2:5" x14ac:dyDescent="0.3">
      <c r="B4" s="7" t="s">
        <v>1</v>
      </c>
      <c r="C4" s="7"/>
      <c r="D4" s="7"/>
      <c r="E4" s="20" t="s">
        <v>2</v>
      </c>
    </row>
    <row r="5" spans="2:5" x14ac:dyDescent="0.3">
      <c r="B5" s="6" t="s">
        <v>3</v>
      </c>
      <c r="C5" s="6"/>
      <c r="D5" s="6"/>
      <c r="E5" s="21"/>
    </row>
    <row r="6" spans="2:5" x14ac:dyDescent="0.3">
      <c r="B6" s="22" t="s">
        <v>4</v>
      </c>
      <c r="C6" s="23"/>
      <c r="D6" s="23"/>
      <c r="E6" s="16"/>
    </row>
    <row r="7" spans="2:5" x14ac:dyDescent="0.3">
      <c r="B7" s="24"/>
      <c r="E7" s="18"/>
    </row>
    <row r="8" spans="2:5" x14ac:dyDescent="0.3">
      <c r="B8" s="17" t="s">
        <v>5</v>
      </c>
      <c r="D8" s="25" t="s">
        <v>6</v>
      </c>
      <c r="E8" s="18"/>
    </row>
    <row r="9" spans="2:5" x14ac:dyDescent="0.3">
      <c r="B9" s="17" t="s">
        <v>7</v>
      </c>
      <c r="E9" s="18"/>
    </row>
    <row r="10" spans="2:5" x14ac:dyDescent="0.3">
      <c r="B10" s="17" t="s">
        <v>8</v>
      </c>
      <c r="D10" s="25"/>
      <c r="E10" s="18"/>
    </row>
    <row r="11" spans="2:5" x14ac:dyDescent="0.3">
      <c r="B11" s="17" t="s">
        <v>9</v>
      </c>
      <c r="C11" s="15" t="s">
        <v>10</v>
      </c>
      <c r="D11" s="25" t="e">
        <f>HARVARLD!F6</f>
        <v>#REF!</v>
      </c>
      <c r="E11" s="18" t="s">
        <v>11</v>
      </c>
    </row>
    <row r="12" spans="2:5" x14ac:dyDescent="0.3">
      <c r="B12" s="17" t="s">
        <v>12</v>
      </c>
      <c r="C12" s="15" t="s">
        <v>10</v>
      </c>
      <c r="D12" s="25">
        <v>23.7</v>
      </c>
      <c r="E12" s="18" t="s">
        <v>11</v>
      </c>
    </row>
    <row r="13" spans="2:5" x14ac:dyDescent="0.3">
      <c r="B13" s="17" t="s">
        <v>13</v>
      </c>
      <c r="C13" s="15" t="s">
        <v>10</v>
      </c>
      <c r="D13" s="25">
        <v>13.34</v>
      </c>
      <c r="E13" s="18" t="s">
        <v>11</v>
      </c>
    </row>
    <row r="14" spans="2:5" x14ac:dyDescent="0.3">
      <c r="B14" s="17" t="s">
        <v>14</v>
      </c>
      <c r="C14" s="15" t="s">
        <v>10</v>
      </c>
      <c r="D14" s="25">
        <v>9.9469999999999992</v>
      </c>
      <c r="E14" s="18" t="s">
        <v>11</v>
      </c>
    </row>
    <row r="15" spans="2:5" x14ac:dyDescent="0.3">
      <c r="B15" s="17" t="s">
        <v>15</v>
      </c>
      <c r="C15" s="15" t="s">
        <v>10</v>
      </c>
      <c r="D15" s="25">
        <v>16</v>
      </c>
      <c r="E15" s="18" t="s">
        <v>16</v>
      </c>
    </row>
    <row r="16" spans="2:5" x14ac:dyDescent="0.3">
      <c r="B16" s="19"/>
      <c r="C16" s="26"/>
      <c r="D16" s="25"/>
      <c r="E16" s="18"/>
    </row>
    <row r="17" spans="2:6" x14ac:dyDescent="0.3">
      <c r="B17" s="19" t="s">
        <v>17</v>
      </c>
      <c r="C17" s="26" t="s">
        <v>10</v>
      </c>
      <c r="D17" s="25" t="e">
        <f>0.04 * D11 + D11</f>
        <v>#REF!</v>
      </c>
      <c r="E17" s="18" t="s">
        <v>11</v>
      </c>
    </row>
    <row r="18" spans="2:6" x14ac:dyDescent="0.3">
      <c r="B18" s="19"/>
      <c r="C18" s="26"/>
      <c r="D18" s="25"/>
      <c r="E18" s="18"/>
    </row>
    <row r="19" spans="2:6" x14ac:dyDescent="0.3">
      <c r="B19" s="19" t="s">
        <v>18</v>
      </c>
      <c r="C19" s="26" t="s">
        <v>10</v>
      </c>
      <c r="D19" s="25">
        <v>0.68</v>
      </c>
      <c r="E19" s="18"/>
    </row>
    <row r="20" spans="2:6" x14ac:dyDescent="0.3">
      <c r="B20" s="19"/>
      <c r="C20" s="26"/>
      <c r="D20" s="25"/>
      <c r="E20" s="18"/>
    </row>
    <row r="21" spans="2:6" x14ac:dyDescent="0.3">
      <c r="B21" s="27" t="s">
        <v>19</v>
      </c>
      <c r="C21" s="28"/>
      <c r="D21" s="28" t="e">
        <f>D17 * D12 * D14 * D19</f>
        <v>#REF!</v>
      </c>
      <c r="E21" s="29" t="s">
        <v>20</v>
      </c>
      <c r="F21" s="28"/>
    </row>
    <row r="22" spans="2:6" ht="15.6" x14ac:dyDescent="0.3">
      <c r="B22" s="22" t="s">
        <v>21</v>
      </c>
      <c r="C22" s="30"/>
      <c r="D22" s="30"/>
      <c r="E22" s="31"/>
      <c r="F22" s="32"/>
    </row>
    <row r="23" spans="2:6" ht="15.6" x14ac:dyDescent="0.3">
      <c r="B23" s="33"/>
      <c r="C23" s="32"/>
      <c r="D23" s="32"/>
      <c r="E23" s="34"/>
      <c r="F23" s="32"/>
    </row>
    <row r="24" spans="2:6" ht="15.6" x14ac:dyDescent="0.3">
      <c r="B24" s="35" t="s">
        <v>22</v>
      </c>
      <c r="C24" s="36" t="e">
        <f>D11</f>
        <v>#REF!</v>
      </c>
      <c r="D24" s="32"/>
      <c r="E24" s="34"/>
      <c r="F24" s="32"/>
    </row>
    <row r="25" spans="2:6" ht="15.6" x14ac:dyDescent="0.3">
      <c r="B25" s="35" t="s">
        <v>23</v>
      </c>
      <c r="C25" s="36">
        <f>D12</f>
        <v>23.7</v>
      </c>
      <c r="D25" s="32"/>
      <c r="E25" s="34"/>
      <c r="F25" s="32"/>
    </row>
    <row r="26" spans="2:6" ht="15.6" x14ac:dyDescent="0.3">
      <c r="B26" s="35" t="s">
        <v>24</v>
      </c>
      <c r="C26" s="36">
        <f>D13</f>
        <v>13.34</v>
      </c>
      <c r="D26" s="32"/>
      <c r="E26" s="34"/>
      <c r="F26" s="32"/>
    </row>
    <row r="27" spans="2:6" ht="15.6" x14ac:dyDescent="0.3">
      <c r="B27" s="35" t="s">
        <v>25</v>
      </c>
      <c r="C27" s="36">
        <f>D14</f>
        <v>9.9469999999999992</v>
      </c>
      <c r="D27" s="32"/>
      <c r="E27" s="34"/>
      <c r="F27" s="32"/>
    </row>
    <row r="28" spans="2:6" ht="15.6" x14ac:dyDescent="0.3">
      <c r="B28" s="35"/>
      <c r="C28" s="36"/>
      <c r="D28" s="32"/>
      <c r="E28" s="34"/>
      <c r="F28" s="32"/>
    </row>
    <row r="29" spans="2:6" ht="15.6" x14ac:dyDescent="0.3">
      <c r="B29" s="37" t="s">
        <v>26</v>
      </c>
      <c r="C29" s="38" t="e">
        <f>(C24/500)+0.48</f>
        <v>#REF!</v>
      </c>
      <c r="D29" s="30" t="s">
        <v>27</v>
      </c>
      <c r="E29" s="31"/>
      <c r="F29" s="32"/>
    </row>
    <row r="30" spans="2:6" ht="15.6" x14ac:dyDescent="0.3">
      <c r="B30" s="33"/>
      <c r="C30" s="36">
        <v>800</v>
      </c>
      <c r="D30" s="32" t="s">
        <v>28</v>
      </c>
      <c r="E30" s="34"/>
      <c r="F30" s="32"/>
    </row>
    <row r="31" spans="2:6" ht="15.6" x14ac:dyDescent="0.3">
      <c r="B31" s="33"/>
      <c r="C31" s="32"/>
      <c r="D31" s="32"/>
      <c r="E31" s="34"/>
      <c r="F31" s="32"/>
    </row>
    <row r="32" spans="2:6" ht="15.6" x14ac:dyDescent="0.3">
      <c r="B32" s="33" t="s">
        <v>29</v>
      </c>
      <c r="C32" s="32"/>
      <c r="D32" s="32"/>
      <c r="E32" s="34"/>
      <c r="F32" s="32"/>
    </row>
    <row r="33" spans="2:6" ht="15.6" x14ac:dyDescent="0.3">
      <c r="B33" s="33" t="s">
        <v>30</v>
      </c>
      <c r="C33" s="39" t="s">
        <v>31</v>
      </c>
      <c r="D33" s="32" t="s">
        <v>28</v>
      </c>
      <c r="E33" s="34"/>
      <c r="F33" s="32"/>
    </row>
    <row r="34" spans="2:6" ht="15.6" x14ac:dyDescent="0.3">
      <c r="B34" s="33" t="s">
        <v>32</v>
      </c>
      <c r="C34" s="39" t="s">
        <v>33</v>
      </c>
      <c r="D34" s="32" t="s">
        <v>28</v>
      </c>
      <c r="E34" s="34"/>
      <c r="F34" s="32"/>
    </row>
    <row r="35" spans="2:6" ht="15.6" x14ac:dyDescent="0.3">
      <c r="B35" s="33" t="s">
        <v>34</v>
      </c>
      <c r="C35" s="39" t="s">
        <v>33</v>
      </c>
      <c r="D35" s="32" t="s">
        <v>28</v>
      </c>
      <c r="E35" s="34"/>
      <c r="F35" s="32"/>
    </row>
    <row r="36" spans="2:6" ht="15.6" x14ac:dyDescent="0.3">
      <c r="B36" s="33" t="s">
        <v>35</v>
      </c>
      <c r="C36" s="39" t="s">
        <v>31</v>
      </c>
      <c r="D36" s="32" t="s">
        <v>28</v>
      </c>
      <c r="E36" s="34"/>
      <c r="F36" s="32"/>
    </row>
    <row r="37" spans="2:6" ht="15.6" x14ac:dyDescent="0.3">
      <c r="B37" s="40"/>
      <c r="C37" s="41"/>
      <c r="D37" s="41"/>
      <c r="E37" s="42"/>
      <c r="F37" s="32"/>
    </row>
    <row r="38" spans="2:6" ht="15.6" x14ac:dyDescent="0.3">
      <c r="B38" s="22" t="s">
        <v>36</v>
      </c>
      <c r="C38" s="30"/>
      <c r="D38" s="30"/>
      <c r="E38" s="31"/>
      <c r="F38" s="32"/>
    </row>
    <row r="39" spans="2:6" ht="15.6" x14ac:dyDescent="0.3">
      <c r="B39" s="35" t="s">
        <v>37</v>
      </c>
      <c r="C39" s="32">
        <f>0.35*C27</f>
        <v>3.4814499999999997</v>
      </c>
      <c r="D39" s="32" t="s">
        <v>11</v>
      </c>
      <c r="E39" s="34"/>
      <c r="F39" s="32"/>
    </row>
    <row r="40" spans="2:6" ht="15.6" x14ac:dyDescent="0.3">
      <c r="B40" s="35" t="s">
        <v>38</v>
      </c>
      <c r="C40" s="32">
        <v>600</v>
      </c>
      <c r="D40" s="32" t="s">
        <v>28</v>
      </c>
      <c r="E40" s="34"/>
      <c r="F40" s="32"/>
    </row>
    <row r="41" spans="2:6" ht="15.6" x14ac:dyDescent="0.3">
      <c r="B41" s="35" t="s">
        <v>39</v>
      </c>
      <c r="C41" s="32">
        <f>(C39*1000)/C40</f>
        <v>5.8024166666666668</v>
      </c>
      <c r="D41" s="32" t="s">
        <v>40</v>
      </c>
      <c r="E41" s="34"/>
      <c r="F41" s="32"/>
    </row>
    <row r="42" spans="2:6" ht="15.6" x14ac:dyDescent="0.3">
      <c r="B42" s="35" t="s">
        <v>41</v>
      </c>
      <c r="C42" s="32">
        <v>4</v>
      </c>
      <c r="D42" s="32" t="s">
        <v>40</v>
      </c>
      <c r="E42" s="34"/>
      <c r="F42" s="32"/>
    </row>
    <row r="43" spans="2:6" ht="15.6" x14ac:dyDescent="0.3">
      <c r="B43" s="35" t="s">
        <v>42</v>
      </c>
      <c r="C43" s="32">
        <f>C42*C40</f>
        <v>2400</v>
      </c>
      <c r="D43" s="32" t="s">
        <v>28</v>
      </c>
      <c r="E43" s="34"/>
      <c r="F43" s="32"/>
    </row>
    <row r="44" spans="2:6" ht="15.6" x14ac:dyDescent="0.3">
      <c r="B44" s="35" t="s">
        <v>43</v>
      </c>
      <c r="C44" s="32">
        <v>4</v>
      </c>
      <c r="D44" s="32"/>
      <c r="E44" s="34"/>
      <c r="F44" s="32"/>
    </row>
    <row r="45" spans="2:6" ht="15.6" x14ac:dyDescent="0.3">
      <c r="B45" s="40"/>
      <c r="C45" s="41"/>
      <c r="D45" s="41"/>
      <c r="E45" s="42"/>
      <c r="F45" s="32"/>
    </row>
    <row r="46" spans="2:6" ht="15.6" x14ac:dyDescent="0.3">
      <c r="B46" s="8" t="s">
        <v>44</v>
      </c>
      <c r="C46" s="8"/>
      <c r="D46" s="8"/>
      <c r="E46" s="31"/>
      <c r="F46" s="32"/>
    </row>
    <row r="47" spans="2:6" ht="15.6" x14ac:dyDescent="0.3">
      <c r="B47" s="5" t="s">
        <v>45</v>
      </c>
      <c r="C47" s="5"/>
      <c r="D47" s="32"/>
      <c r="E47" s="34"/>
      <c r="F47" s="32"/>
    </row>
    <row r="48" spans="2:6" ht="15.6" x14ac:dyDescent="0.3">
      <c r="B48" s="43" t="s">
        <v>46</v>
      </c>
      <c r="C48" s="39">
        <v>3</v>
      </c>
      <c r="D48" s="32"/>
      <c r="E48" s="34"/>
      <c r="F48" s="32"/>
    </row>
    <row r="49" spans="2:6" ht="15.6" x14ac:dyDescent="0.3">
      <c r="B49" s="43" t="s">
        <v>38</v>
      </c>
      <c r="C49" s="39">
        <v>600</v>
      </c>
      <c r="D49" s="32" t="s">
        <v>28</v>
      </c>
      <c r="E49" s="34"/>
      <c r="F49" s="32"/>
    </row>
    <row r="50" spans="2:6" ht="15.6" x14ac:dyDescent="0.3">
      <c r="B50" s="43" t="s">
        <v>47</v>
      </c>
      <c r="C50" s="39">
        <v>1800</v>
      </c>
      <c r="D50" s="32" t="s">
        <v>28</v>
      </c>
      <c r="E50" s="34"/>
      <c r="F50" s="32"/>
    </row>
    <row r="51" spans="2:6" ht="15.6" x14ac:dyDescent="0.3">
      <c r="B51" s="43" t="s">
        <v>48</v>
      </c>
      <c r="C51" s="39">
        <v>7</v>
      </c>
      <c r="D51" s="32"/>
      <c r="E51" s="34"/>
      <c r="F51" s="32"/>
    </row>
    <row r="52" spans="2:6" ht="15.6" x14ac:dyDescent="0.3">
      <c r="B52" s="5" t="s">
        <v>49</v>
      </c>
      <c r="C52" s="5"/>
      <c r="D52" s="39">
        <v>4200</v>
      </c>
      <c r="E52" s="34" t="s">
        <v>28</v>
      </c>
      <c r="F52" s="32"/>
    </row>
    <row r="53" spans="2:6" ht="15.6" x14ac:dyDescent="0.3">
      <c r="B53" s="40"/>
      <c r="C53" s="41"/>
      <c r="D53" s="41"/>
      <c r="E53" s="42"/>
      <c r="F53" s="32"/>
    </row>
    <row r="54" spans="2:6" ht="15.6" x14ac:dyDescent="0.3">
      <c r="B54" s="8" t="s">
        <v>50</v>
      </c>
      <c r="C54" s="8"/>
      <c r="D54" s="8"/>
      <c r="E54" s="31"/>
      <c r="F54" s="32"/>
    </row>
    <row r="55" spans="2:6" ht="15.6" x14ac:dyDescent="0.3">
      <c r="B55" s="33" t="s">
        <v>51</v>
      </c>
      <c r="C55" s="32"/>
      <c r="D55" s="32"/>
      <c r="E55" s="34"/>
      <c r="F55" s="32"/>
    </row>
    <row r="56" spans="2:6" ht="15.6" x14ac:dyDescent="0.3">
      <c r="B56" s="43" t="s">
        <v>52</v>
      </c>
      <c r="C56" s="39" t="e">
        <f>0.17*C24</f>
        <v>#REF!</v>
      </c>
      <c r="D56" s="32"/>
      <c r="E56" s="34"/>
      <c r="F56" s="32"/>
    </row>
    <row r="57" spans="2:6" ht="15.6" x14ac:dyDescent="0.3">
      <c r="B57" s="33" t="s">
        <v>53</v>
      </c>
      <c r="C57" s="32"/>
      <c r="D57" s="32"/>
      <c r="E57" s="34"/>
      <c r="F57" s="32"/>
    </row>
    <row r="58" spans="2:6" ht="15.6" x14ac:dyDescent="0.3">
      <c r="B58" s="43" t="s">
        <v>54</v>
      </c>
      <c r="C58" s="39" t="e">
        <f>(C56*1000)-D52</f>
        <v>#REF!</v>
      </c>
      <c r="D58" s="32" t="s">
        <v>28</v>
      </c>
      <c r="E58" s="34"/>
      <c r="F58" s="32"/>
    </row>
    <row r="59" spans="2:6" ht="15.6" x14ac:dyDescent="0.3">
      <c r="B59" s="43" t="s">
        <v>38</v>
      </c>
      <c r="C59" s="39">
        <v>700</v>
      </c>
      <c r="D59" s="32" t="s">
        <v>28</v>
      </c>
      <c r="E59" s="34"/>
      <c r="F59" s="32"/>
    </row>
    <row r="60" spans="2:6" ht="15.6" x14ac:dyDescent="0.3">
      <c r="B60" s="43" t="s">
        <v>46</v>
      </c>
      <c r="C60" s="39" t="e">
        <f>C58/C59</f>
        <v>#REF!</v>
      </c>
      <c r="D60" s="32" t="s">
        <v>28</v>
      </c>
      <c r="E60" s="34"/>
      <c r="F60" s="32"/>
    </row>
    <row r="61" spans="2:6" ht="15.6" x14ac:dyDescent="0.3">
      <c r="B61" s="43" t="s">
        <v>55</v>
      </c>
      <c r="C61" s="39">
        <v>23</v>
      </c>
      <c r="D61" s="32" t="s">
        <v>40</v>
      </c>
      <c r="E61" s="34"/>
      <c r="F61" s="32"/>
    </row>
    <row r="62" spans="2:6" ht="15.6" x14ac:dyDescent="0.3">
      <c r="B62" s="43" t="s">
        <v>42</v>
      </c>
      <c r="C62" s="39">
        <f>C61*C59</f>
        <v>16100</v>
      </c>
      <c r="D62" s="32" t="s">
        <v>28</v>
      </c>
      <c r="E62" s="34"/>
      <c r="F62" s="32"/>
    </row>
    <row r="63" spans="2:6" ht="15.6" x14ac:dyDescent="0.3">
      <c r="B63" s="43" t="s">
        <v>48</v>
      </c>
      <c r="C63" s="39">
        <f>7+C61</f>
        <v>30</v>
      </c>
      <c r="D63" s="32"/>
      <c r="E63" s="34"/>
      <c r="F63" s="32"/>
    </row>
    <row r="64" spans="2:6" ht="15.6" x14ac:dyDescent="0.3">
      <c r="B64" s="40"/>
      <c r="C64" s="41"/>
      <c r="D64" s="41"/>
      <c r="E64" s="42"/>
      <c r="F64" s="32"/>
    </row>
    <row r="65" spans="2:10" ht="15.6" x14ac:dyDescent="0.3">
      <c r="B65" s="8" t="s">
        <v>56</v>
      </c>
      <c r="C65" s="8"/>
      <c r="D65" s="30"/>
      <c r="E65" s="31"/>
      <c r="F65" s="32"/>
    </row>
    <row r="66" spans="2:10" ht="15.6" x14ac:dyDescent="0.3">
      <c r="B66" s="5" t="s">
        <v>57</v>
      </c>
      <c r="C66" s="5"/>
      <c r="D66" s="32">
        <v>80532</v>
      </c>
      <c r="E66" s="34"/>
      <c r="F66" s="32"/>
    </row>
    <row r="67" spans="2:10" ht="15.6" x14ac:dyDescent="0.3">
      <c r="B67" s="43" t="s">
        <v>58</v>
      </c>
      <c r="C67" s="39">
        <v>700</v>
      </c>
      <c r="D67" s="32" t="s">
        <v>28</v>
      </c>
      <c r="E67" s="34"/>
      <c r="F67" s="32"/>
    </row>
    <row r="68" spans="2:10" ht="15.6" x14ac:dyDescent="0.3">
      <c r="B68" s="43" t="s">
        <v>59</v>
      </c>
      <c r="C68" s="39">
        <f>D66/700</f>
        <v>115.04571428571428</v>
      </c>
      <c r="D68" s="32" t="s">
        <v>28</v>
      </c>
      <c r="E68" s="34"/>
      <c r="F68" s="32"/>
    </row>
    <row r="69" spans="2:10" ht="15.6" x14ac:dyDescent="0.3">
      <c r="B69" s="43" t="s">
        <v>60</v>
      </c>
      <c r="C69" s="39">
        <v>115</v>
      </c>
      <c r="D69" s="32" t="s">
        <v>40</v>
      </c>
      <c r="E69" s="34"/>
      <c r="F69" s="32"/>
    </row>
    <row r="70" spans="2:10" ht="15.6" x14ac:dyDescent="0.3">
      <c r="B70" s="43" t="s">
        <v>61</v>
      </c>
      <c r="C70" s="39">
        <f>C69*C67</f>
        <v>80500</v>
      </c>
      <c r="D70" s="32"/>
      <c r="E70" s="34"/>
      <c r="F70" s="32"/>
    </row>
    <row r="71" spans="2:10" ht="15.6" x14ac:dyDescent="0.3">
      <c r="B71" s="43" t="s">
        <v>62</v>
      </c>
      <c r="C71" s="39">
        <f>C63+C69</f>
        <v>145</v>
      </c>
      <c r="D71" s="32"/>
      <c r="E71" s="34"/>
      <c r="F71" s="32"/>
    </row>
    <row r="72" spans="2:10" ht="15.6" x14ac:dyDescent="0.3">
      <c r="B72" s="40"/>
      <c r="C72" s="41"/>
      <c r="D72" s="41"/>
      <c r="E72" s="42"/>
      <c r="F72" s="32"/>
    </row>
    <row r="73" spans="2:10" ht="15.6" x14ac:dyDescent="0.3">
      <c r="B73" s="22" t="s">
        <v>63</v>
      </c>
      <c r="C73" s="44"/>
      <c r="D73" s="30"/>
      <c r="E73" s="31"/>
      <c r="F73" s="32"/>
    </row>
    <row r="74" spans="2:10" ht="15.6" x14ac:dyDescent="0.3">
      <c r="B74" s="35" t="s">
        <v>64</v>
      </c>
      <c r="C74" s="32"/>
      <c r="D74" s="32"/>
      <c r="E74" s="34"/>
      <c r="F74" s="32"/>
    </row>
    <row r="75" spans="2:10" ht="15.6" x14ac:dyDescent="0.3">
      <c r="B75" s="45" t="s">
        <v>65</v>
      </c>
      <c r="C75" s="32" t="e">
        <f>8%*C24</f>
        <v>#REF!</v>
      </c>
      <c r="D75" s="32">
        <f>8769/600</f>
        <v>14.615</v>
      </c>
      <c r="E75" s="34"/>
      <c r="F75" s="32"/>
    </row>
    <row r="76" spans="2:10" ht="15.6" x14ac:dyDescent="0.3">
      <c r="B76" s="33" t="s">
        <v>66</v>
      </c>
      <c r="C76" s="32"/>
      <c r="E76" s="34"/>
      <c r="F76" s="32"/>
    </row>
    <row r="77" spans="2:10" ht="15.6" x14ac:dyDescent="0.3">
      <c r="B77" s="33" t="s">
        <v>38</v>
      </c>
      <c r="C77" s="32">
        <v>600</v>
      </c>
      <c r="D77" s="32"/>
      <c r="E77" s="34"/>
      <c r="F77" s="32"/>
    </row>
    <row r="78" spans="2:10" ht="15.6" x14ac:dyDescent="0.3">
      <c r="B78" s="33" t="s">
        <v>62</v>
      </c>
      <c r="C78" s="32">
        <v>163</v>
      </c>
      <c r="D78" s="32"/>
      <c r="E78" s="34"/>
      <c r="F78" s="32"/>
    </row>
    <row r="79" spans="2:10" ht="15.6" x14ac:dyDescent="0.3">
      <c r="B79" s="40"/>
      <c r="C79" s="41"/>
      <c r="D79" s="41"/>
      <c r="E79" s="42"/>
      <c r="F79" s="32"/>
    </row>
    <row r="80" spans="2:10" x14ac:dyDescent="0.3">
      <c r="B80" s="46" t="s">
        <v>67</v>
      </c>
      <c r="C80" s="4" t="s">
        <v>68</v>
      </c>
      <c r="D80" s="4"/>
      <c r="E80" s="4" t="s">
        <v>40</v>
      </c>
      <c r="F80" s="4"/>
      <c r="G80" s="4" t="s">
        <v>69</v>
      </c>
      <c r="H80" s="4"/>
      <c r="I80" s="3" t="s">
        <v>70</v>
      </c>
      <c r="J80" s="3"/>
    </row>
    <row r="81" spans="2:10" ht="15.6" x14ac:dyDescent="0.3">
      <c r="B81" s="47" t="s">
        <v>71</v>
      </c>
      <c r="C81" s="2">
        <v>1800</v>
      </c>
      <c r="D81" s="2"/>
      <c r="E81" s="2">
        <v>600</v>
      </c>
      <c r="F81" s="2"/>
      <c r="G81" s="2">
        <v>3</v>
      </c>
      <c r="H81" s="2"/>
      <c r="I81" s="1" t="s">
        <v>72</v>
      </c>
      <c r="J81" s="1"/>
    </row>
    <row r="82" spans="2:10" ht="62.4" x14ac:dyDescent="0.3">
      <c r="B82" s="48" t="s">
        <v>73</v>
      </c>
      <c r="C82" s="2">
        <v>1800</v>
      </c>
      <c r="D82" s="2"/>
      <c r="E82" s="2">
        <v>600</v>
      </c>
      <c r="F82" s="2"/>
      <c r="G82" s="2">
        <v>3</v>
      </c>
      <c r="H82" s="2"/>
      <c r="I82" s="1246" t="s">
        <v>74</v>
      </c>
      <c r="J82" s="1246"/>
    </row>
    <row r="83" spans="2:10" ht="78" x14ac:dyDescent="0.3">
      <c r="B83" s="48" t="s">
        <v>75</v>
      </c>
      <c r="C83" s="2">
        <f>C69</f>
        <v>115</v>
      </c>
      <c r="D83" s="2"/>
      <c r="E83" s="2">
        <v>700</v>
      </c>
      <c r="F83" s="2"/>
      <c r="G83" s="2">
        <v>14</v>
      </c>
      <c r="H83" s="2"/>
      <c r="I83" s="1" t="s">
        <v>76</v>
      </c>
      <c r="J83" s="1"/>
    </row>
    <row r="84" spans="2:10" ht="31.2" x14ac:dyDescent="0.3">
      <c r="B84" s="48" t="s">
        <v>56</v>
      </c>
      <c r="C84" s="2">
        <f>C77</f>
        <v>600</v>
      </c>
      <c r="D84" s="2"/>
      <c r="E84" s="32">
        <v>700</v>
      </c>
      <c r="F84" s="32"/>
      <c r="G84" s="2">
        <v>80</v>
      </c>
      <c r="H84" s="2"/>
      <c r="I84" s="1" t="s">
        <v>77</v>
      </c>
      <c r="J84" s="1"/>
    </row>
    <row r="85" spans="2:10" ht="46.8" x14ac:dyDescent="0.3">
      <c r="B85" s="49" t="s">
        <v>78</v>
      </c>
      <c r="C85" s="1247"/>
      <c r="D85" s="1247"/>
      <c r="E85" s="41">
        <v>600</v>
      </c>
      <c r="F85" s="41"/>
      <c r="G85" s="1247"/>
      <c r="H85" s="1247"/>
      <c r="I85" s="1248"/>
      <c r="J85" s="1248"/>
    </row>
    <row r="86" spans="2:10" x14ac:dyDescent="0.3">
      <c r="B86" s="22" t="s">
        <v>79</v>
      </c>
      <c r="C86" s="23"/>
      <c r="D86" s="23"/>
      <c r="E86" s="23"/>
      <c r="F86" s="23"/>
      <c r="G86" s="23"/>
      <c r="H86" s="23"/>
      <c r="I86" s="23"/>
      <c r="J86" s="16"/>
    </row>
    <row r="87" spans="2:10" x14ac:dyDescent="0.3">
      <c r="B87" s="24"/>
      <c r="J87" s="18"/>
    </row>
    <row r="88" spans="2:10" x14ac:dyDescent="0.3">
      <c r="B88" s="1249" t="s">
        <v>80</v>
      </c>
      <c r="C88" s="1250" t="s">
        <v>81</v>
      </c>
      <c r="D88" s="1250"/>
      <c r="F88" s="15" t="s">
        <v>82</v>
      </c>
      <c r="G88" s="15" t="s">
        <v>83</v>
      </c>
      <c r="J88" s="18"/>
    </row>
    <row r="89" spans="2:10" x14ac:dyDescent="0.3">
      <c r="B89" s="1249"/>
      <c r="C89" s="51" t="s">
        <v>84</v>
      </c>
      <c r="D89" s="51" t="s">
        <v>85</v>
      </c>
      <c r="G89" s="15">
        <f>110/4</f>
        <v>27.5</v>
      </c>
      <c r="J89" s="18"/>
    </row>
    <row r="90" spans="2:10" x14ac:dyDescent="0.3">
      <c r="B90" s="50" t="s">
        <v>86</v>
      </c>
      <c r="C90" s="51">
        <v>3</v>
      </c>
      <c r="D90" s="51">
        <v>4</v>
      </c>
      <c r="F90" s="15" t="s">
        <v>87</v>
      </c>
      <c r="G90" s="15">
        <v>27</v>
      </c>
      <c r="J90" s="18"/>
    </row>
    <row r="91" spans="2:10" x14ac:dyDescent="0.3">
      <c r="B91" s="50" t="s">
        <v>88</v>
      </c>
      <c r="C91" s="51">
        <v>4</v>
      </c>
      <c r="D91" s="51">
        <v>4</v>
      </c>
      <c r="F91" s="15" t="s">
        <v>89</v>
      </c>
      <c r="G91" s="15">
        <v>27</v>
      </c>
      <c r="J91" s="18"/>
    </row>
    <row r="92" spans="2:10" x14ac:dyDescent="0.3">
      <c r="B92" s="50" t="s">
        <v>90</v>
      </c>
      <c r="C92" s="51">
        <v>4</v>
      </c>
      <c r="D92" s="51">
        <v>5</v>
      </c>
      <c r="F92" s="15" t="s">
        <v>91</v>
      </c>
      <c r="G92" s="15">
        <v>28</v>
      </c>
      <c r="J92" s="18"/>
    </row>
    <row r="93" spans="2:10" x14ac:dyDescent="0.3">
      <c r="B93" s="50" t="s">
        <v>92</v>
      </c>
      <c r="C93" s="51">
        <v>5</v>
      </c>
      <c r="D93" s="51">
        <v>6</v>
      </c>
      <c r="F93" s="15" t="s">
        <v>93</v>
      </c>
      <c r="G93" s="15">
        <v>28</v>
      </c>
      <c r="J93" s="18"/>
    </row>
    <row r="94" spans="2:10" x14ac:dyDescent="0.3">
      <c r="B94" s="50" t="s">
        <v>94</v>
      </c>
      <c r="C94" s="51">
        <v>6</v>
      </c>
      <c r="D94" s="51">
        <v>7</v>
      </c>
      <c r="G94" s="15">
        <f>SUM(G90:G93)</f>
        <v>110</v>
      </c>
      <c r="J94" s="18"/>
    </row>
    <row r="95" spans="2:10" x14ac:dyDescent="0.3">
      <c r="B95" s="50" t="s">
        <v>95</v>
      </c>
      <c r="C95" s="51">
        <v>7</v>
      </c>
      <c r="D95" s="51">
        <v>8</v>
      </c>
      <c r="J95" s="18"/>
    </row>
    <row r="96" spans="2:10" x14ac:dyDescent="0.3">
      <c r="B96" s="50" t="s">
        <v>96</v>
      </c>
      <c r="C96" s="51">
        <v>8</v>
      </c>
      <c r="D96" s="51">
        <v>9</v>
      </c>
      <c r="J96" s="18"/>
    </row>
    <row r="97" spans="2:10" x14ac:dyDescent="0.3">
      <c r="B97" s="50" t="s">
        <v>97</v>
      </c>
      <c r="C97" s="1250" t="s">
        <v>98</v>
      </c>
      <c r="D97" s="1250"/>
      <c r="J97" s="18"/>
    </row>
    <row r="98" spans="2:10" x14ac:dyDescent="0.3">
      <c r="B98" s="17"/>
      <c r="J98" s="18"/>
    </row>
    <row r="99" spans="2:10" x14ac:dyDescent="0.3">
      <c r="B99" s="22" t="s">
        <v>99</v>
      </c>
      <c r="C99" s="23"/>
      <c r="D99" s="23"/>
      <c r="E99" s="23"/>
      <c r="F99" s="23"/>
      <c r="G99" s="23"/>
      <c r="H99" s="23"/>
      <c r="I99" s="23"/>
      <c r="J99" s="16"/>
    </row>
    <row r="100" spans="2:10" x14ac:dyDescent="0.3">
      <c r="B100" s="17"/>
      <c r="J100" s="18"/>
    </row>
    <row r="101" spans="2:10" x14ac:dyDescent="0.3">
      <c r="B101" s="17" t="s">
        <v>100</v>
      </c>
      <c r="J101" s="18"/>
    </row>
    <row r="102" spans="2:10" x14ac:dyDescent="0.3">
      <c r="B102" s="17" t="s">
        <v>101</v>
      </c>
      <c r="J102" s="18"/>
    </row>
    <row r="103" spans="2:10" x14ac:dyDescent="0.3">
      <c r="B103" s="17"/>
      <c r="J103" s="18"/>
    </row>
    <row r="104" spans="2:10" x14ac:dyDescent="0.3">
      <c r="B104" s="17" t="s">
        <v>99</v>
      </c>
      <c r="C104" s="15">
        <f>350+(45*D12)</f>
        <v>1416.5</v>
      </c>
      <c r="J104" s="18"/>
    </row>
    <row r="105" spans="2:10" x14ac:dyDescent="0.3">
      <c r="B105" s="52"/>
      <c r="C105" s="53"/>
      <c r="D105" s="53"/>
      <c r="E105" s="53"/>
      <c r="F105" s="53"/>
      <c r="G105" s="53"/>
      <c r="H105" s="53"/>
      <c r="I105" s="53"/>
      <c r="J105" s="21"/>
    </row>
    <row r="106" spans="2:10" x14ac:dyDescent="0.3">
      <c r="B106" s="54" t="s">
        <v>102</v>
      </c>
      <c r="C106" s="55"/>
      <c r="D106" s="55"/>
      <c r="E106" s="55"/>
      <c r="F106" s="55"/>
      <c r="G106" s="55"/>
      <c r="H106" s="55"/>
      <c r="I106" s="55"/>
      <c r="J106" s="56"/>
    </row>
    <row r="107" spans="2:10" x14ac:dyDescent="0.3">
      <c r="B107" s="17" t="s">
        <v>103</v>
      </c>
      <c r="J107" s="18"/>
    </row>
    <row r="108" spans="2:10" x14ac:dyDescent="0.3">
      <c r="B108" s="17" t="s">
        <v>104</v>
      </c>
      <c r="J108" s="18"/>
    </row>
    <row r="109" spans="2:10" x14ac:dyDescent="0.3">
      <c r="B109" s="57" t="s">
        <v>105</v>
      </c>
      <c r="C109" s="15" t="s">
        <v>106</v>
      </c>
      <c r="J109" s="18"/>
    </row>
    <row r="110" spans="2:10" x14ac:dyDescent="0.3">
      <c r="B110" s="17" t="s">
        <v>107</v>
      </c>
      <c r="J110" s="18"/>
    </row>
    <row r="111" spans="2:10" x14ac:dyDescent="0.3">
      <c r="B111" s="57" t="s">
        <v>108</v>
      </c>
      <c r="C111" s="15" t="s">
        <v>109</v>
      </c>
      <c r="J111" s="18"/>
    </row>
    <row r="112" spans="2:10" x14ac:dyDescent="0.3">
      <c r="B112" s="57" t="s">
        <v>110</v>
      </c>
      <c r="C112" s="15" t="s">
        <v>111</v>
      </c>
      <c r="J112" s="18"/>
    </row>
    <row r="113" spans="2:10" x14ac:dyDescent="0.3">
      <c r="B113" s="57" t="s">
        <v>108</v>
      </c>
      <c r="C113" s="15" t="s">
        <v>112</v>
      </c>
      <c r="J113" s="18"/>
    </row>
    <row r="114" spans="2:10" x14ac:dyDescent="0.3">
      <c r="B114" s="57" t="s">
        <v>10</v>
      </c>
      <c r="C114" s="15" t="e">
        <f>(2/3)*D21</f>
        <v>#REF!</v>
      </c>
      <c r="J114" s="18"/>
    </row>
    <row r="115" spans="2:10" x14ac:dyDescent="0.3">
      <c r="B115" s="17"/>
      <c r="J115" s="18"/>
    </row>
    <row r="116" spans="2:10" x14ac:dyDescent="0.3">
      <c r="B116" s="57" t="s">
        <v>105</v>
      </c>
      <c r="C116" s="15" t="s">
        <v>106</v>
      </c>
      <c r="J116" s="18"/>
    </row>
    <row r="117" spans="2:10" x14ac:dyDescent="0.3">
      <c r="B117" s="58" t="s">
        <v>10</v>
      </c>
      <c r="C117" s="53" t="e">
        <f>0.4+(2.4*(C114/20000))</f>
        <v>#REF!</v>
      </c>
      <c r="D117" s="53"/>
      <c r="E117" s="53"/>
      <c r="F117" s="53"/>
      <c r="G117" s="53"/>
      <c r="H117" s="53"/>
      <c r="I117" s="53"/>
      <c r="J117" s="21"/>
    </row>
    <row r="127" spans="2:10" x14ac:dyDescent="0.3">
      <c r="C127" s="15" t="s">
        <v>10</v>
      </c>
      <c r="D127" s="15" t="s">
        <v>113</v>
      </c>
    </row>
    <row r="128" spans="2:10" x14ac:dyDescent="0.3">
      <c r="C128" s="15" t="s">
        <v>10</v>
      </c>
      <c r="D128" s="15" t="e">
        <f>1.75 * D11</f>
        <v>#REF!</v>
      </c>
      <c r="E128" s="15" t="s">
        <v>11</v>
      </c>
    </row>
  </sheetData>
  <mergeCells count="34">
    <mergeCell ref="B88:B89"/>
    <mergeCell ref="C88:D88"/>
    <mergeCell ref="C97:D97"/>
    <mergeCell ref="C84:D84"/>
    <mergeCell ref="G84:H84"/>
    <mergeCell ref="I84:J84"/>
    <mergeCell ref="C85:D85"/>
    <mergeCell ref="G85:H85"/>
    <mergeCell ref="I85:J85"/>
    <mergeCell ref="C82:D82"/>
    <mergeCell ref="E82:F82"/>
    <mergeCell ref="G82:H82"/>
    <mergeCell ref="I82:J82"/>
    <mergeCell ref="C83:D83"/>
    <mergeCell ref="E83:F83"/>
    <mergeCell ref="G83:H83"/>
    <mergeCell ref="I83:J83"/>
    <mergeCell ref="E80:F80"/>
    <mergeCell ref="G80:H80"/>
    <mergeCell ref="I80:J80"/>
    <mergeCell ref="C81:D81"/>
    <mergeCell ref="E81:F81"/>
    <mergeCell ref="G81:H81"/>
    <mergeCell ref="I81:J81"/>
    <mergeCell ref="B52:C52"/>
    <mergeCell ref="B54:D54"/>
    <mergeCell ref="B65:C65"/>
    <mergeCell ref="B66:C66"/>
    <mergeCell ref="C80:D80"/>
    <mergeCell ref="B2:D2"/>
    <mergeCell ref="B4:D4"/>
    <mergeCell ref="B5:D5"/>
    <mergeCell ref="B46:D46"/>
    <mergeCell ref="B47:C47"/>
  </mergeCells>
  <pageMargins left="0.7" right="0.7" top="0.75" bottom="0.75" header="0.511811023622047" footer="0.511811023622047"/>
  <pageSetup fitToHeight="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T257"/>
  <sheetViews>
    <sheetView showGridLines="0" tabSelected="1" topLeftCell="B54" zoomScaleNormal="100" zoomScalePageLayoutView="55" workbookViewId="0">
      <selection activeCell="F112" sqref="F112"/>
    </sheetView>
  </sheetViews>
  <sheetFormatPr defaultColWidth="8" defaultRowHeight="14.4" x14ac:dyDescent="0.3"/>
  <cols>
    <col min="1" max="1" width="3.8984375" style="59" customWidth="1"/>
    <col min="2" max="2" width="20.5" style="59" customWidth="1"/>
    <col min="3" max="3" width="5.796875" style="59" customWidth="1"/>
    <col min="4" max="4" width="13.69921875" style="59" customWidth="1"/>
    <col min="5" max="5" width="5.59765625" style="59" customWidth="1"/>
    <col min="6" max="6" width="12.5" style="59" customWidth="1"/>
    <col min="7" max="7" width="12.8984375" style="59" customWidth="1"/>
    <col min="8" max="8" width="10" style="59" customWidth="1"/>
    <col min="9" max="9" width="8" style="59"/>
    <col min="10" max="10" width="11.3984375" style="59" customWidth="1"/>
    <col min="11" max="12" width="8" style="59"/>
    <col min="13" max="13" width="4.8984375" style="59" customWidth="1"/>
    <col min="14" max="14" width="12.8984375" style="59" customWidth="1"/>
    <col min="15" max="16384" width="8" style="59"/>
  </cols>
  <sheetData>
    <row r="2" spans="1:20" x14ac:dyDescent="0.3">
      <c r="A2" s="60"/>
      <c r="B2" s="14" t="s">
        <v>114</v>
      </c>
      <c r="C2" s="14"/>
      <c r="D2" s="14"/>
      <c r="E2" s="62"/>
      <c r="F2" s="13" t="s">
        <v>115</v>
      </c>
      <c r="G2" s="13"/>
      <c r="H2" s="63"/>
    </row>
    <row r="3" spans="1:20" x14ac:dyDescent="0.3">
      <c r="A3" s="60"/>
      <c r="B3" s="64"/>
      <c r="C3" s="60"/>
      <c r="D3" s="60"/>
      <c r="E3" s="60"/>
      <c r="F3" s="60"/>
      <c r="G3" s="60"/>
      <c r="H3" s="65"/>
    </row>
    <row r="4" spans="1:20" ht="15.75" customHeight="1" x14ac:dyDescent="0.3">
      <c r="D4" s="66" t="s">
        <v>116</v>
      </c>
      <c r="F4" s="28" t="s">
        <v>117</v>
      </c>
      <c r="G4" s="28"/>
      <c r="H4" s="65"/>
    </row>
    <row r="5" spans="1:20" ht="15.75" customHeight="1" x14ac:dyDescent="0.3">
      <c r="D5" s="66"/>
      <c r="H5" s="65"/>
    </row>
    <row r="6" spans="1:20" ht="14.25" customHeight="1" x14ac:dyDescent="0.3">
      <c r="D6" s="66" t="s">
        <v>118</v>
      </c>
      <c r="E6" s="59" t="s">
        <v>10</v>
      </c>
      <c r="F6" s="59" t="e">
        <f>'[1]General Arrangement'!$D$6</f>
        <v>#REF!</v>
      </c>
      <c r="G6" s="65" t="s">
        <v>11</v>
      </c>
      <c r="K6" s="59" t="s">
        <v>119</v>
      </c>
      <c r="L6" s="59" t="s">
        <v>10</v>
      </c>
      <c r="M6" s="59">
        <v>3.28084</v>
      </c>
      <c r="N6" s="59" t="s">
        <v>120</v>
      </c>
      <c r="S6" s="60"/>
      <c r="T6" s="60"/>
    </row>
    <row r="7" spans="1:20" ht="14.25" customHeight="1" x14ac:dyDescent="0.3">
      <c r="D7" s="66"/>
      <c r="E7" s="59" t="s">
        <v>10</v>
      </c>
      <c r="F7" s="59" t="e">
        <f>F6*$M$6</f>
        <v>#REF!</v>
      </c>
      <c r="G7" s="65" t="s">
        <v>120</v>
      </c>
      <c r="S7" s="60"/>
      <c r="T7" s="60"/>
    </row>
    <row r="8" spans="1:20" ht="14.25" customHeight="1" x14ac:dyDescent="0.3">
      <c r="D8" s="66" t="s">
        <v>121</v>
      </c>
      <c r="E8" s="59" t="s">
        <v>10</v>
      </c>
      <c r="F8" s="59" t="e">
        <f>4/100*F6+F6</f>
        <v>#REF!</v>
      </c>
      <c r="G8" s="65" t="s">
        <v>11</v>
      </c>
      <c r="S8" s="60"/>
      <c r="T8" s="60"/>
    </row>
    <row r="9" spans="1:20" ht="14.25" customHeight="1" x14ac:dyDescent="0.3">
      <c r="D9" s="66"/>
      <c r="F9" s="59" t="e">
        <f>F8*$M$6</f>
        <v>#REF!</v>
      </c>
      <c r="G9" s="65" t="s">
        <v>120</v>
      </c>
      <c r="S9" s="60"/>
      <c r="T9" s="60"/>
    </row>
    <row r="10" spans="1:20" ht="14.25" customHeight="1" x14ac:dyDescent="0.3">
      <c r="D10" s="66" t="s">
        <v>122</v>
      </c>
      <c r="E10" s="59" t="s">
        <v>10</v>
      </c>
      <c r="F10" s="59" t="e">
        <f>0.96 * F8</f>
        <v>#REF!</v>
      </c>
      <c r="G10" s="65" t="s">
        <v>11</v>
      </c>
      <c r="S10" s="60"/>
      <c r="T10" s="60"/>
    </row>
    <row r="11" spans="1:20" ht="14.25" customHeight="1" x14ac:dyDescent="0.3">
      <c r="D11" s="66"/>
      <c r="G11" s="65"/>
      <c r="S11" s="60"/>
      <c r="T11" s="60"/>
    </row>
    <row r="12" spans="1:20" ht="14.25" customHeight="1" x14ac:dyDescent="0.3">
      <c r="D12" s="66" t="s">
        <v>123</v>
      </c>
      <c r="E12" s="59" t="s">
        <v>10</v>
      </c>
      <c r="F12" s="59" t="e">
        <f>0.97 * F8</f>
        <v>#REF!</v>
      </c>
      <c r="G12" s="65" t="s">
        <v>11</v>
      </c>
      <c r="S12" s="60"/>
      <c r="T12" s="60"/>
    </row>
    <row r="13" spans="1:20" ht="14.25" customHeight="1" x14ac:dyDescent="0.3">
      <c r="D13" s="66"/>
      <c r="G13" s="65"/>
      <c r="S13" s="60"/>
      <c r="T13" s="60"/>
    </row>
    <row r="14" spans="1:20" ht="14.25" customHeight="1" x14ac:dyDescent="0.3">
      <c r="D14" s="66" t="s">
        <v>124</v>
      </c>
      <c r="E14" s="59" t="s">
        <v>10</v>
      </c>
      <c r="F14" s="67" t="e">
        <f>(F6+F8)*0.5</f>
        <v>#REF!</v>
      </c>
      <c r="G14" s="65" t="s">
        <v>11</v>
      </c>
      <c r="K14" s="61" t="s">
        <v>125</v>
      </c>
      <c r="L14" s="62"/>
      <c r="M14" s="62"/>
      <c r="N14" s="62"/>
      <c r="O14" s="62"/>
      <c r="P14" s="68"/>
      <c r="S14" s="60"/>
      <c r="T14" s="60"/>
    </row>
    <row r="15" spans="1:20" ht="14.25" customHeight="1" x14ac:dyDescent="0.3">
      <c r="D15" s="66"/>
      <c r="F15" s="59" t="e">
        <f>F14*$M$6</f>
        <v>#REF!</v>
      </c>
      <c r="G15" s="65" t="s">
        <v>120</v>
      </c>
      <c r="K15" s="69"/>
      <c r="L15" s="70"/>
      <c r="M15" s="70"/>
      <c r="N15" s="70"/>
      <c r="O15" s="70"/>
      <c r="P15" s="71"/>
      <c r="S15" s="60"/>
      <c r="T15" s="60"/>
    </row>
    <row r="16" spans="1:20" ht="15.75" customHeight="1" x14ac:dyDescent="0.3">
      <c r="D16" s="66" t="s">
        <v>12</v>
      </c>
      <c r="E16" s="59" t="s">
        <v>10</v>
      </c>
      <c r="F16" s="59">
        <v>23.7</v>
      </c>
      <c r="G16" s="65" t="s">
        <v>11</v>
      </c>
      <c r="K16" s="66" t="s">
        <v>126</v>
      </c>
      <c r="P16" s="65"/>
    </row>
    <row r="17" spans="4:16" ht="15.75" customHeight="1" x14ac:dyDescent="0.3">
      <c r="D17" s="66"/>
      <c r="E17" s="59" t="s">
        <v>10</v>
      </c>
      <c r="F17" s="59">
        <f>F16*$M$6</f>
        <v>77.755907999999991</v>
      </c>
      <c r="G17" s="65" t="s">
        <v>120</v>
      </c>
      <c r="K17" s="66"/>
      <c r="P17" s="65"/>
    </row>
    <row r="18" spans="4:16" ht="15.75" customHeight="1" x14ac:dyDescent="0.3">
      <c r="D18" s="66"/>
      <c r="G18" s="65"/>
      <c r="K18" s="66"/>
      <c r="P18" s="65"/>
    </row>
    <row r="19" spans="4:16" ht="15.75" customHeight="1" x14ac:dyDescent="0.3">
      <c r="D19" s="66" t="s">
        <v>127</v>
      </c>
      <c r="E19" s="59" t="s">
        <v>10</v>
      </c>
      <c r="F19" s="59">
        <f>F16/2</f>
        <v>11.85</v>
      </c>
      <c r="G19" s="65" t="s">
        <v>11</v>
      </c>
      <c r="K19" s="66"/>
      <c r="P19" s="65"/>
    </row>
    <row r="20" spans="4:16" ht="15.75" customHeight="1" x14ac:dyDescent="0.3">
      <c r="D20" s="66"/>
      <c r="E20" s="59" t="s">
        <v>10</v>
      </c>
      <c r="F20" s="59">
        <f>F17/2</f>
        <v>38.877953999999995</v>
      </c>
      <c r="G20" s="65" t="s">
        <v>120</v>
      </c>
      <c r="K20" s="66"/>
      <c r="P20" s="65"/>
    </row>
    <row r="21" spans="4:16" ht="15.75" customHeight="1" x14ac:dyDescent="0.3">
      <c r="D21" s="66"/>
      <c r="G21" s="65"/>
      <c r="K21" s="66"/>
      <c r="P21" s="65"/>
    </row>
    <row r="22" spans="4:16" ht="15.75" customHeight="1" x14ac:dyDescent="0.3">
      <c r="D22" s="66"/>
      <c r="G22" s="65"/>
      <c r="K22" s="66"/>
      <c r="P22" s="65"/>
    </row>
    <row r="23" spans="4:16" ht="15.75" customHeight="1" x14ac:dyDescent="0.3">
      <c r="D23" s="66" t="s">
        <v>14</v>
      </c>
      <c r="E23" s="59" t="s">
        <v>10</v>
      </c>
      <c r="F23" s="59">
        <v>9.9469999999999992</v>
      </c>
      <c r="G23" s="65" t="s">
        <v>11</v>
      </c>
      <c r="K23" s="66" t="s">
        <v>128</v>
      </c>
      <c r="N23" s="72">
        <v>0.51444400000000001</v>
      </c>
      <c r="O23" s="59" t="s">
        <v>129</v>
      </c>
      <c r="P23" s="65"/>
    </row>
    <row r="24" spans="4:16" ht="15.75" customHeight="1" x14ac:dyDescent="0.3">
      <c r="D24" s="66"/>
      <c r="F24" s="59">
        <f>F23*$M$6</f>
        <v>32.634515479999997</v>
      </c>
      <c r="G24" s="65" t="s">
        <v>120</v>
      </c>
      <c r="K24" s="66"/>
      <c r="N24" s="72"/>
      <c r="P24" s="65"/>
    </row>
    <row r="25" spans="4:16" ht="15.75" customHeight="1" x14ac:dyDescent="0.3">
      <c r="D25" s="66" t="s">
        <v>13</v>
      </c>
      <c r="E25" s="59" t="s">
        <v>10</v>
      </c>
      <c r="F25" s="59">
        <v>13.34</v>
      </c>
      <c r="G25" s="65" t="s">
        <v>11</v>
      </c>
      <c r="K25" s="66">
        <f>F27</f>
        <v>16</v>
      </c>
      <c r="L25" s="59" t="s">
        <v>16</v>
      </c>
      <c r="M25" s="59" t="s">
        <v>10</v>
      </c>
      <c r="N25" s="72">
        <f>F27*N23</f>
        <v>8.2311040000000002</v>
      </c>
      <c r="O25" s="59" t="s">
        <v>129</v>
      </c>
      <c r="P25" s="65"/>
    </row>
    <row r="26" spans="4:16" ht="15.75" customHeight="1" x14ac:dyDescent="0.3">
      <c r="D26" s="66"/>
      <c r="F26" s="59">
        <f>F25*$M$6</f>
        <v>43.766405599999999</v>
      </c>
      <c r="G26" s="65" t="s">
        <v>120</v>
      </c>
      <c r="K26" s="66"/>
      <c r="N26" s="72"/>
      <c r="P26" s="65"/>
    </row>
    <row r="27" spans="4:16" ht="15.75" customHeight="1" x14ac:dyDescent="0.3">
      <c r="D27" s="66" t="s">
        <v>130</v>
      </c>
      <c r="E27" s="59" t="s">
        <v>10</v>
      </c>
      <c r="F27" s="59">
        <v>16</v>
      </c>
      <c r="G27" s="65" t="s">
        <v>16</v>
      </c>
      <c r="K27" s="66"/>
      <c r="P27" s="65"/>
    </row>
    <row r="28" spans="4:16" ht="15.75" customHeight="1" x14ac:dyDescent="0.3">
      <c r="D28" s="66" t="s">
        <v>19</v>
      </c>
      <c r="E28" s="59" t="s">
        <v>10</v>
      </c>
      <c r="F28" s="72" t="e">
        <f>F8*F16*F23*F31</f>
        <v>#REF!</v>
      </c>
      <c r="G28" s="65" t="s">
        <v>20</v>
      </c>
      <c r="K28" s="66" t="s">
        <v>131</v>
      </c>
      <c r="N28" s="59">
        <v>9.81</v>
      </c>
      <c r="O28" s="59" t="s">
        <v>132</v>
      </c>
      <c r="P28" s="65"/>
    </row>
    <row r="29" spans="4:16" ht="15.75" customHeight="1" x14ac:dyDescent="0.3">
      <c r="D29" s="66" t="s">
        <v>133</v>
      </c>
      <c r="E29" s="59" t="s">
        <v>10</v>
      </c>
      <c r="F29" s="72" t="e">
        <f>F28 * N29</f>
        <v>#REF!</v>
      </c>
      <c r="G29" s="59" t="s">
        <v>134</v>
      </c>
      <c r="H29" s="65"/>
      <c r="K29" s="66" t="s">
        <v>135</v>
      </c>
      <c r="M29" s="59" t="s">
        <v>10</v>
      </c>
      <c r="N29" s="59">
        <v>1.026</v>
      </c>
      <c r="O29" s="59" t="s">
        <v>136</v>
      </c>
      <c r="P29" s="65"/>
    </row>
    <row r="30" spans="4:16" ht="15.75" customHeight="1" x14ac:dyDescent="0.3">
      <c r="D30" s="66" t="s">
        <v>137</v>
      </c>
      <c r="E30" s="59" t="s">
        <v>10</v>
      </c>
      <c r="F30" s="59">
        <v>0.98199999999999998</v>
      </c>
      <c r="H30" s="65"/>
      <c r="K30" s="73" t="s">
        <v>138</v>
      </c>
      <c r="L30" s="74"/>
      <c r="M30" s="74"/>
      <c r="N30" s="75">
        <v>5.0000000000000001E-3</v>
      </c>
      <c r="O30" s="74" t="s">
        <v>139</v>
      </c>
      <c r="P30" s="76"/>
    </row>
    <row r="31" spans="4:16" ht="15.75" customHeight="1" x14ac:dyDescent="0.3">
      <c r="D31" s="66" t="s">
        <v>140</v>
      </c>
      <c r="E31" s="59" t="s">
        <v>10</v>
      </c>
      <c r="F31" s="59">
        <v>0.68</v>
      </c>
      <c r="H31" s="65"/>
    </row>
    <row r="32" spans="4:16" ht="15.75" customHeight="1" x14ac:dyDescent="0.3">
      <c r="D32" s="66" t="s">
        <v>141</v>
      </c>
      <c r="E32" s="59" t="s">
        <v>10</v>
      </c>
      <c r="F32" s="59">
        <v>0.69</v>
      </c>
      <c r="H32" s="65"/>
    </row>
    <row r="33" spans="1:16" x14ac:dyDescent="0.3">
      <c r="A33" s="60"/>
      <c r="B33" s="61" t="s">
        <v>142</v>
      </c>
      <c r="C33" s="77"/>
      <c r="D33" s="77"/>
      <c r="E33" s="77"/>
      <c r="F33" s="77"/>
      <c r="G33" s="77"/>
      <c r="H33" s="77"/>
      <c r="I33" s="77"/>
      <c r="J33" s="77"/>
      <c r="K33" s="77"/>
      <c r="L33" s="77"/>
      <c r="M33" s="77"/>
      <c r="N33" s="77"/>
      <c r="O33" s="77"/>
      <c r="P33" s="63"/>
    </row>
    <row r="34" spans="1:16" x14ac:dyDescent="0.3">
      <c r="B34" s="69">
        <v>1</v>
      </c>
      <c r="C34" s="70" t="s">
        <v>143</v>
      </c>
      <c r="D34" s="70"/>
      <c r="E34" s="70"/>
      <c r="F34" s="70"/>
      <c r="G34" s="78"/>
      <c r="H34" s="78"/>
      <c r="I34" s="78"/>
      <c r="J34" s="78"/>
      <c r="K34" s="78"/>
      <c r="L34" s="78"/>
      <c r="M34" s="78"/>
      <c r="N34" s="78"/>
      <c r="O34" s="78"/>
      <c r="P34" s="79"/>
    </row>
    <row r="35" spans="1:16" x14ac:dyDescent="0.3">
      <c r="B35" s="66"/>
      <c r="C35" s="59" t="s">
        <v>144</v>
      </c>
      <c r="D35" s="59" t="s">
        <v>145</v>
      </c>
      <c r="P35" s="65"/>
    </row>
    <row r="36" spans="1:16" ht="15.75" customHeight="1" x14ac:dyDescent="0.3">
      <c r="B36" s="66"/>
      <c r="G36" s="12" t="s">
        <v>146</v>
      </c>
      <c r="H36" s="12"/>
      <c r="I36" s="12"/>
      <c r="J36" s="12"/>
      <c r="K36" s="12"/>
      <c r="L36" s="12"/>
      <c r="M36" s="12"/>
      <c r="N36" s="12"/>
      <c r="O36" s="12"/>
      <c r="P36" s="12"/>
    </row>
    <row r="37" spans="1:16" ht="15.6" x14ac:dyDescent="0.3">
      <c r="B37" s="66"/>
      <c r="C37" s="59" t="s">
        <v>144</v>
      </c>
      <c r="D37" s="80" t="e">
        <f>N25*F8/(0.978875*10^-6)</f>
        <v>#REF!</v>
      </c>
      <c r="E37" s="80"/>
      <c r="P37" s="65"/>
    </row>
    <row r="38" spans="1:16" x14ac:dyDescent="0.3">
      <c r="B38" s="61">
        <v>2</v>
      </c>
      <c r="C38" s="62" t="s">
        <v>147</v>
      </c>
      <c r="D38" s="62"/>
      <c r="E38" s="62"/>
      <c r="F38" s="62"/>
      <c r="G38" s="77"/>
      <c r="H38" s="77"/>
      <c r="I38" s="77"/>
      <c r="J38" s="77"/>
      <c r="K38" s="77"/>
      <c r="L38" s="77"/>
      <c r="M38" s="77"/>
      <c r="N38" s="77"/>
      <c r="O38" s="77"/>
      <c r="P38" s="63"/>
    </row>
    <row r="39" spans="1:16" x14ac:dyDescent="0.3">
      <c r="B39" s="66"/>
      <c r="C39" s="59" t="s">
        <v>148</v>
      </c>
      <c r="P39" s="65"/>
    </row>
    <row r="40" spans="1:16" x14ac:dyDescent="0.3">
      <c r="B40" s="66"/>
      <c r="P40" s="65"/>
    </row>
    <row r="41" spans="1:16" ht="15.6" x14ac:dyDescent="0.3">
      <c r="B41" s="66"/>
      <c r="C41" s="59" t="s">
        <v>148</v>
      </c>
      <c r="D41" s="81" t="e">
        <f>N25/(N28*F8)^(1/2)</f>
        <v>#REF!</v>
      </c>
      <c r="E41" s="81"/>
      <c r="P41" s="65"/>
    </row>
    <row r="42" spans="1:16" x14ac:dyDescent="0.3">
      <c r="B42" s="61">
        <v>3</v>
      </c>
      <c r="C42" s="62" t="s">
        <v>149</v>
      </c>
      <c r="D42" s="62"/>
      <c r="E42" s="62"/>
      <c r="F42" s="62"/>
      <c r="G42" s="77"/>
      <c r="H42" s="77"/>
      <c r="I42" s="77"/>
      <c r="J42" s="77"/>
      <c r="K42" s="77"/>
      <c r="L42" s="77"/>
      <c r="M42" s="77"/>
      <c r="N42" s="77"/>
      <c r="O42" s="77"/>
      <c r="P42" s="63"/>
    </row>
    <row r="43" spans="1:16" x14ac:dyDescent="0.3">
      <c r="B43" s="66"/>
      <c r="C43" s="59" t="s">
        <v>150</v>
      </c>
      <c r="P43" s="65"/>
    </row>
    <row r="44" spans="1:16" x14ac:dyDescent="0.3">
      <c r="B44" s="66"/>
      <c r="C44" s="59" t="s">
        <v>151</v>
      </c>
      <c r="P44" s="65"/>
    </row>
    <row r="45" spans="1:16" x14ac:dyDescent="0.3">
      <c r="B45" s="66"/>
      <c r="C45" s="59" t="s">
        <v>152</v>
      </c>
      <c r="D45" s="11" t="s">
        <v>153</v>
      </c>
      <c r="E45" s="11"/>
      <c r="F45" s="11"/>
      <c r="P45" s="65"/>
    </row>
    <row r="46" spans="1:16" ht="15.6" x14ac:dyDescent="0.3">
      <c r="B46" s="66"/>
      <c r="C46" s="59" t="s">
        <v>154</v>
      </c>
      <c r="D46" s="81" t="e">
        <f>1.026*F8*((F31*F16)+(1.7*F23))</f>
        <v>#REF!</v>
      </c>
      <c r="E46" s="81"/>
      <c r="F46" s="59" t="s">
        <v>155</v>
      </c>
      <c r="P46" s="65"/>
    </row>
    <row r="47" spans="1:16" x14ac:dyDescent="0.3">
      <c r="B47" s="66"/>
      <c r="P47" s="65"/>
    </row>
    <row r="48" spans="1:16" x14ac:dyDescent="0.3">
      <c r="B48" s="61">
        <v>4</v>
      </c>
      <c r="C48" s="62" t="s">
        <v>156</v>
      </c>
      <c r="D48" s="62"/>
      <c r="E48" s="62"/>
      <c r="F48" s="62"/>
      <c r="G48" s="77"/>
      <c r="H48" s="77"/>
      <c r="I48" s="77"/>
      <c r="J48" s="77"/>
      <c r="K48" s="77"/>
      <c r="L48" s="77"/>
      <c r="M48" s="77"/>
      <c r="N48" s="77"/>
      <c r="O48" s="77"/>
      <c r="P48" s="63"/>
    </row>
    <row r="49" spans="2:16" x14ac:dyDescent="0.3">
      <c r="B49" s="82"/>
      <c r="C49" s="70" t="s">
        <v>157</v>
      </c>
      <c r="D49" s="70" t="s">
        <v>158</v>
      </c>
      <c r="E49" s="70"/>
      <c r="F49" s="70"/>
      <c r="G49" s="70"/>
      <c r="H49" s="78"/>
      <c r="I49" s="78"/>
      <c r="J49" s="78"/>
      <c r="K49" s="78"/>
      <c r="L49" s="78"/>
      <c r="M49" s="78"/>
      <c r="N49" s="78"/>
      <c r="O49" s="78"/>
      <c r="P49" s="79"/>
    </row>
    <row r="50" spans="2:16" x14ac:dyDescent="0.3">
      <c r="B50" s="66"/>
      <c r="D50" s="59" t="s">
        <v>159</v>
      </c>
      <c r="P50" s="65"/>
    </row>
    <row r="51" spans="2:16" x14ac:dyDescent="0.3">
      <c r="B51" s="66"/>
      <c r="D51" s="59" t="s">
        <v>160</v>
      </c>
      <c r="P51" s="65"/>
    </row>
    <row r="52" spans="2:16" x14ac:dyDescent="0.3">
      <c r="B52" s="66"/>
      <c r="D52" s="59" t="s">
        <v>161</v>
      </c>
      <c r="P52" s="65"/>
    </row>
    <row r="53" spans="2:16" x14ac:dyDescent="0.3">
      <c r="B53" s="66"/>
      <c r="P53" s="65"/>
    </row>
    <row r="54" spans="2:16" ht="15.6" x14ac:dyDescent="0.3">
      <c r="B54" s="66"/>
      <c r="D54" s="59" t="s">
        <v>161</v>
      </c>
      <c r="F54" s="83" t="e">
        <f>0.075/((LOG(D37)-2)^2)</f>
        <v>#REF!</v>
      </c>
      <c r="P54" s="65"/>
    </row>
    <row r="55" spans="2:16" x14ac:dyDescent="0.3">
      <c r="B55" s="84"/>
      <c r="C55" s="62" t="s">
        <v>162</v>
      </c>
      <c r="D55" s="62" t="s">
        <v>163</v>
      </c>
      <c r="E55" s="62"/>
      <c r="F55" s="62"/>
      <c r="G55" s="77"/>
      <c r="H55" s="77"/>
      <c r="I55" s="77"/>
      <c r="J55" s="77"/>
      <c r="K55" s="77"/>
      <c r="L55" s="77"/>
      <c r="M55" s="77"/>
      <c r="N55" s="77"/>
      <c r="O55" s="77"/>
      <c r="P55" s="63"/>
    </row>
    <row r="56" spans="2:16" x14ac:dyDescent="0.3">
      <c r="B56" s="82"/>
      <c r="C56" s="78"/>
      <c r="D56" s="70" t="s">
        <v>164</v>
      </c>
      <c r="E56" s="70"/>
      <c r="F56" s="78"/>
      <c r="G56" s="78"/>
      <c r="H56" s="78"/>
      <c r="I56" s="78"/>
      <c r="J56" s="78"/>
      <c r="K56" s="78"/>
      <c r="L56" s="78"/>
      <c r="M56" s="78"/>
      <c r="N56" s="78"/>
      <c r="O56" s="78"/>
      <c r="P56" s="79"/>
    </row>
    <row r="57" spans="2:16" x14ac:dyDescent="0.3">
      <c r="B57" s="66"/>
      <c r="D57" s="59" t="s">
        <v>165</v>
      </c>
      <c r="P57" s="65"/>
    </row>
    <row r="58" spans="2:16" x14ac:dyDescent="0.3">
      <c r="B58" s="66"/>
      <c r="D58" s="59" t="s">
        <v>166</v>
      </c>
      <c r="P58" s="65"/>
    </row>
    <row r="59" spans="2:16" x14ac:dyDescent="0.3">
      <c r="B59" s="66"/>
      <c r="D59" s="59" t="s">
        <v>167</v>
      </c>
      <c r="F59" s="85" t="e">
        <f>F8/(F28)^(1/3)</f>
        <v>#REF!</v>
      </c>
      <c r="P59" s="65"/>
    </row>
    <row r="60" spans="2:16" x14ac:dyDescent="0.3">
      <c r="B60" s="66"/>
      <c r="D60" s="60" t="s">
        <v>168</v>
      </c>
      <c r="E60" s="60"/>
      <c r="P60" s="65"/>
    </row>
    <row r="61" spans="2:16" x14ac:dyDescent="0.3">
      <c r="B61" s="66"/>
      <c r="D61" s="59" t="s">
        <v>169</v>
      </c>
      <c r="H61" s="85" t="e">
        <f>F59</f>
        <v>#REF!</v>
      </c>
      <c r="P61" s="65"/>
    </row>
    <row r="62" spans="2:16" x14ac:dyDescent="0.3">
      <c r="B62" s="66"/>
      <c r="D62" s="59" t="s">
        <v>170</v>
      </c>
      <c r="P62" s="65"/>
    </row>
    <row r="63" spans="2:16" x14ac:dyDescent="0.3">
      <c r="B63" s="66"/>
      <c r="D63" s="59" t="s">
        <v>107</v>
      </c>
      <c r="F63" s="59" t="s">
        <v>171</v>
      </c>
      <c r="P63" s="65"/>
    </row>
    <row r="64" spans="2:16" x14ac:dyDescent="0.3">
      <c r="B64" s="66"/>
      <c r="P64" s="65"/>
    </row>
    <row r="65" spans="2:19" x14ac:dyDescent="0.3">
      <c r="B65" s="66"/>
      <c r="P65" s="65"/>
    </row>
    <row r="66" spans="2:19" x14ac:dyDescent="0.3">
      <c r="B66" s="66"/>
      <c r="P66" s="65"/>
    </row>
    <row r="67" spans="2:19" x14ac:dyDescent="0.3">
      <c r="B67" s="66"/>
      <c r="P67" s="65"/>
    </row>
    <row r="68" spans="2:19" x14ac:dyDescent="0.3">
      <c r="B68" s="66"/>
      <c r="P68" s="65"/>
    </row>
    <row r="69" spans="2:19" x14ac:dyDescent="0.3">
      <c r="B69" s="66"/>
      <c r="P69" s="65"/>
      <c r="R69" s="59">
        <v>4.972E-2</v>
      </c>
    </row>
    <row r="70" spans="2:19" x14ac:dyDescent="0.3">
      <c r="B70" s="66"/>
      <c r="P70" s="65"/>
      <c r="R70" s="59">
        <f>20.12*0.04972</f>
        <v>1.0003664000000001</v>
      </c>
    </row>
    <row r="71" spans="2:19" x14ac:dyDescent="0.3">
      <c r="B71" s="66"/>
      <c r="P71" s="65"/>
      <c r="R71" s="59">
        <f>13.76*0.04972</f>
        <v>0.68414719999999996</v>
      </c>
    </row>
    <row r="72" spans="2:19" x14ac:dyDescent="0.3">
      <c r="B72" s="66"/>
      <c r="P72" s="65"/>
      <c r="S72" s="59">
        <f>R71*2</f>
        <v>1.3682943999999999</v>
      </c>
    </row>
    <row r="73" spans="2:19" x14ac:dyDescent="0.3">
      <c r="B73" s="66"/>
      <c r="P73" s="65"/>
    </row>
    <row r="74" spans="2:19" x14ac:dyDescent="0.3">
      <c r="B74" s="66"/>
      <c r="P74" s="65"/>
    </row>
    <row r="75" spans="2:19" x14ac:dyDescent="0.3">
      <c r="B75" s="66"/>
      <c r="P75" s="65"/>
    </row>
    <row r="76" spans="2:19" x14ac:dyDescent="0.3">
      <c r="B76" s="66"/>
      <c r="P76" s="65"/>
    </row>
    <row r="77" spans="2:19" ht="15" customHeight="1" x14ac:dyDescent="0.3">
      <c r="B77" s="66"/>
      <c r="P77" s="65"/>
    </row>
    <row r="78" spans="2:19" x14ac:dyDescent="0.3">
      <c r="B78" s="66"/>
      <c r="D78" s="59" t="s">
        <v>172</v>
      </c>
      <c r="P78" s="65"/>
    </row>
    <row r="79" spans="2:19" x14ac:dyDescent="0.3">
      <c r="B79" s="66"/>
      <c r="D79" s="59" t="s">
        <v>173</v>
      </c>
      <c r="P79" s="65"/>
    </row>
    <row r="80" spans="2:19" x14ac:dyDescent="0.3">
      <c r="B80" s="66"/>
      <c r="C80" s="78"/>
      <c r="D80" s="78" t="s">
        <v>174</v>
      </c>
      <c r="E80" s="78"/>
      <c r="F80" s="78" t="s">
        <v>175</v>
      </c>
      <c r="P80" s="65"/>
    </row>
    <row r="81" spans="2:16" x14ac:dyDescent="0.3">
      <c r="B81" s="66"/>
      <c r="C81" s="78"/>
      <c r="D81" s="78" t="s">
        <v>176</v>
      </c>
      <c r="E81" s="78"/>
      <c r="F81" s="78" t="s">
        <v>177</v>
      </c>
      <c r="P81" s="65"/>
    </row>
    <row r="82" spans="2:16" x14ac:dyDescent="0.3">
      <c r="B82" s="66"/>
      <c r="C82" s="78">
        <v>1</v>
      </c>
      <c r="D82" s="59">
        <v>5</v>
      </c>
      <c r="F82" s="59">
        <v>1.225E-3</v>
      </c>
      <c r="I82" s="59" t="s">
        <v>178</v>
      </c>
      <c r="J82" s="59" t="s">
        <v>179</v>
      </c>
      <c r="P82" s="65"/>
    </row>
    <row r="83" spans="2:16" x14ac:dyDescent="0.3">
      <c r="B83" s="66"/>
      <c r="C83" s="78">
        <v>2</v>
      </c>
      <c r="D83" s="85" t="e">
        <f>F59</f>
        <v>#REF!</v>
      </c>
      <c r="E83" s="85"/>
      <c r="I83" s="59" t="s">
        <v>180</v>
      </c>
      <c r="J83" s="86" t="e">
        <f>F82+(((D83-D82)*(F84-F82))/(D84-D82))</f>
        <v>#REF!</v>
      </c>
      <c r="K83" s="59" t="s">
        <v>181</v>
      </c>
      <c r="N83" s="72" t="e">
        <f>J83*1000</f>
        <v>#REF!</v>
      </c>
      <c r="P83" s="65"/>
    </row>
    <row r="84" spans="2:16" x14ac:dyDescent="0.3">
      <c r="B84" s="66"/>
      <c r="C84" s="78">
        <v>3</v>
      </c>
      <c r="D84" s="59">
        <v>5.5</v>
      </c>
      <c r="F84" s="59">
        <v>1E-3</v>
      </c>
      <c r="P84" s="65"/>
    </row>
    <row r="85" spans="2:16" x14ac:dyDescent="0.3">
      <c r="B85" s="66"/>
      <c r="C85" s="78"/>
      <c r="P85" s="65"/>
    </row>
    <row r="86" spans="2:16" x14ac:dyDescent="0.3">
      <c r="B86" s="66"/>
      <c r="C86" s="78"/>
      <c r="D86" s="78" t="s">
        <v>174</v>
      </c>
      <c r="E86" s="78"/>
      <c r="F86" s="78" t="s">
        <v>175</v>
      </c>
      <c r="P86" s="65"/>
    </row>
    <row r="87" spans="2:16" x14ac:dyDescent="0.3">
      <c r="B87" s="66"/>
      <c r="C87" s="78"/>
      <c r="D87" s="78" t="s">
        <v>176</v>
      </c>
      <c r="E87" s="78"/>
      <c r="F87" s="78" t="s">
        <v>177</v>
      </c>
      <c r="P87" s="65"/>
    </row>
    <row r="88" spans="2:16" x14ac:dyDescent="0.3">
      <c r="B88" s="66"/>
      <c r="C88" s="78">
        <v>1</v>
      </c>
      <c r="D88" s="59">
        <v>4</v>
      </c>
      <c r="F88" s="59">
        <v>251.34</v>
      </c>
      <c r="I88" s="59" t="s">
        <v>178</v>
      </c>
      <c r="J88" s="59" t="s">
        <v>179</v>
      </c>
      <c r="P88" s="65"/>
    </row>
    <row r="89" spans="2:16" x14ac:dyDescent="0.3">
      <c r="B89" s="66"/>
      <c r="C89" s="78">
        <v>2</v>
      </c>
      <c r="D89" s="85">
        <v>5</v>
      </c>
      <c r="E89" s="85"/>
      <c r="I89" s="59" t="s">
        <v>180</v>
      </c>
      <c r="J89" s="86">
        <f>F88+(((D89-D88)*(F90-F88))/(D90-D88))</f>
        <v>251.6865</v>
      </c>
      <c r="P89" s="65"/>
    </row>
    <row r="90" spans="2:16" x14ac:dyDescent="0.3">
      <c r="B90" s="66"/>
      <c r="C90" s="78">
        <v>3</v>
      </c>
      <c r="D90" s="59">
        <v>6</v>
      </c>
      <c r="F90" s="59">
        <v>252.03299999999999</v>
      </c>
      <c r="P90" s="65"/>
    </row>
    <row r="91" spans="2:16" x14ac:dyDescent="0.3">
      <c r="B91" s="66"/>
      <c r="P91" s="65"/>
    </row>
    <row r="92" spans="2:16" x14ac:dyDescent="0.3">
      <c r="B92" s="73"/>
      <c r="C92" s="74"/>
      <c r="D92" s="74"/>
      <c r="E92" s="74"/>
      <c r="F92" s="74"/>
      <c r="G92" s="74"/>
      <c r="H92" s="74"/>
      <c r="I92" s="74"/>
      <c r="J92" s="74"/>
      <c r="K92" s="74"/>
      <c r="L92" s="74"/>
      <c r="M92" s="74"/>
      <c r="N92" s="74"/>
      <c r="O92" s="74"/>
      <c r="P92" s="76"/>
    </row>
    <row r="94" spans="2:16" x14ac:dyDescent="0.3">
      <c r="B94" s="84"/>
      <c r="C94" s="62" t="s">
        <v>182</v>
      </c>
      <c r="D94" s="62" t="s">
        <v>183</v>
      </c>
      <c r="E94" s="62"/>
      <c r="F94" s="62"/>
      <c r="G94" s="62"/>
      <c r="H94" s="62"/>
      <c r="I94" s="77"/>
      <c r="J94" s="77"/>
      <c r="K94" s="77"/>
      <c r="L94" s="77"/>
      <c r="M94" s="77"/>
      <c r="N94" s="77"/>
      <c r="O94" s="77"/>
      <c r="P94" s="63"/>
    </row>
    <row r="95" spans="2:16" x14ac:dyDescent="0.3">
      <c r="B95" s="66"/>
      <c r="D95" s="59" t="s">
        <v>184</v>
      </c>
      <c r="P95" s="65"/>
    </row>
    <row r="96" spans="2:16" x14ac:dyDescent="0.3">
      <c r="B96" s="66"/>
      <c r="D96" s="59" t="s">
        <v>185</v>
      </c>
      <c r="P96" s="65"/>
    </row>
    <row r="97" spans="2:20" x14ac:dyDescent="0.3">
      <c r="B97" s="66"/>
      <c r="D97" s="60" t="s">
        <v>186</v>
      </c>
      <c r="E97" s="60"/>
      <c r="P97" s="65"/>
    </row>
    <row r="98" spans="2:20" ht="15.6" x14ac:dyDescent="0.3">
      <c r="B98" s="66"/>
      <c r="D98" s="59" t="s">
        <v>187</v>
      </c>
      <c r="F98" s="83">
        <f>F16/F23</f>
        <v>2.3826279280184983</v>
      </c>
      <c r="P98" s="65"/>
    </row>
    <row r="99" spans="2:20" x14ac:dyDescent="0.3">
      <c r="B99" s="66"/>
      <c r="D99" s="11" t="s">
        <v>188</v>
      </c>
      <c r="E99" s="11"/>
      <c r="F99" s="11"/>
      <c r="G99" s="11"/>
      <c r="P99" s="65"/>
    </row>
    <row r="100" spans="2:20" x14ac:dyDescent="0.3">
      <c r="B100" s="66"/>
      <c r="D100" s="59" t="s">
        <v>189</v>
      </c>
      <c r="F100" s="11" t="s">
        <v>190</v>
      </c>
      <c r="G100" s="11"/>
      <c r="H100" s="11"/>
      <c r="P100" s="65"/>
      <c r="S100" s="59">
        <f>318.42/0.2</f>
        <v>1592.1</v>
      </c>
      <c r="T100" s="59" t="e">
        <f>S100*D41</f>
        <v>#REF!</v>
      </c>
    </row>
    <row r="101" spans="2:20" x14ac:dyDescent="0.3">
      <c r="B101" s="66"/>
      <c r="F101" s="59" t="e">
        <f>(N83+(0.16*(F98-2.5)))</f>
        <v>#REF!</v>
      </c>
      <c r="P101" s="65"/>
    </row>
    <row r="102" spans="2:20" ht="15.6" x14ac:dyDescent="0.3">
      <c r="B102" s="66"/>
      <c r="D102" s="59" t="s">
        <v>191</v>
      </c>
      <c r="F102" s="87" t="e">
        <f>(N83+(0.16*(F98-2.5)))/1000</f>
        <v>#REF!</v>
      </c>
      <c r="H102" s="88"/>
      <c r="P102" s="65"/>
      <c r="S102" s="59">
        <f>79.51*1.25771</f>
        <v>100.00052210000001</v>
      </c>
      <c r="T102" s="59">
        <f>50.44*1.25771</f>
        <v>63.4388924</v>
      </c>
    </row>
    <row r="103" spans="2:20" x14ac:dyDescent="0.3">
      <c r="B103" s="66"/>
      <c r="D103" s="60" t="s">
        <v>192</v>
      </c>
      <c r="E103" s="60"/>
      <c r="P103" s="65"/>
    </row>
    <row r="104" spans="2:20" x14ac:dyDescent="0.3">
      <c r="B104" s="66"/>
      <c r="D104" s="59" t="s">
        <v>193</v>
      </c>
      <c r="P104" s="65"/>
    </row>
    <row r="105" spans="2:20" x14ac:dyDescent="0.3">
      <c r="B105" s="66"/>
      <c r="D105" s="89" t="s">
        <v>194</v>
      </c>
      <c r="E105" s="89"/>
      <c r="F105" s="89"/>
      <c r="G105" s="89"/>
      <c r="H105" s="89"/>
      <c r="I105" s="89"/>
      <c r="J105" s="90"/>
      <c r="K105" s="90"/>
      <c r="L105" s="90"/>
      <c r="M105" s="90"/>
      <c r="P105" s="65"/>
    </row>
    <row r="106" spans="2:20" x14ac:dyDescent="0.3">
      <c r="B106" s="66"/>
      <c r="D106" s="89" t="s">
        <v>195</v>
      </c>
      <c r="E106" s="89"/>
      <c r="F106" s="89"/>
      <c r="G106" s="89"/>
      <c r="H106" s="91"/>
      <c r="I106" s="89"/>
      <c r="J106" s="90"/>
      <c r="K106" s="90"/>
      <c r="L106" s="90"/>
      <c r="M106" s="90"/>
      <c r="P106" s="65"/>
    </row>
    <row r="107" spans="2:20" x14ac:dyDescent="0.3">
      <c r="B107" s="66"/>
      <c r="D107" s="90"/>
      <c r="E107" s="90"/>
      <c r="F107" s="89"/>
      <c r="G107" s="89"/>
      <c r="H107" s="89"/>
      <c r="I107" s="90" t="s">
        <v>196</v>
      </c>
      <c r="J107" s="92" t="e">
        <f>F14</f>
        <v>#REF!</v>
      </c>
      <c r="K107" s="90" t="s">
        <v>11</v>
      </c>
      <c r="L107" s="90"/>
      <c r="M107" s="90"/>
      <c r="P107" s="65"/>
    </row>
    <row r="108" spans="2:20" ht="15.6" x14ac:dyDescent="0.3">
      <c r="B108" s="66"/>
      <c r="D108" s="89" t="s">
        <v>197</v>
      </c>
      <c r="E108" s="89"/>
      <c r="F108" s="81" t="e">
        <f>N30*J107</f>
        <v>#REF!</v>
      </c>
      <c r="G108" s="89" t="s">
        <v>11</v>
      </c>
      <c r="H108" s="89"/>
      <c r="I108" s="89"/>
      <c r="J108" s="90"/>
      <c r="K108" s="90"/>
      <c r="L108" s="90"/>
      <c r="M108" s="90"/>
      <c r="P108" s="65"/>
    </row>
    <row r="109" spans="2:20" x14ac:dyDescent="0.3">
      <c r="B109" s="66"/>
      <c r="D109" s="90"/>
      <c r="E109" s="90"/>
      <c r="F109" s="90"/>
      <c r="G109" s="90"/>
      <c r="H109" s="90"/>
      <c r="I109" s="89"/>
      <c r="J109" s="90"/>
      <c r="K109" s="90"/>
      <c r="L109" s="90"/>
      <c r="M109" s="90"/>
      <c r="P109" s="65"/>
    </row>
    <row r="110" spans="2:20" x14ac:dyDescent="0.3">
      <c r="B110" s="66"/>
      <c r="D110" s="89" t="s">
        <v>198</v>
      </c>
      <c r="E110" s="89"/>
      <c r="F110" s="89"/>
      <c r="G110" s="89"/>
      <c r="H110" s="89"/>
      <c r="I110" s="91">
        <v>3.5000000000000001E-3</v>
      </c>
      <c r="J110" s="90"/>
      <c r="K110" s="90"/>
      <c r="L110" s="90"/>
      <c r="M110" s="90"/>
      <c r="P110" s="65"/>
    </row>
    <row r="111" spans="2:20" x14ac:dyDescent="0.3">
      <c r="B111" s="66"/>
      <c r="D111" s="10"/>
      <c r="E111" s="10"/>
      <c r="F111" s="10"/>
      <c r="G111" s="89"/>
      <c r="H111" s="89"/>
      <c r="I111" s="89"/>
      <c r="J111" s="90"/>
      <c r="K111" s="90"/>
      <c r="L111" s="90"/>
      <c r="M111" s="90"/>
      <c r="P111" s="65"/>
    </row>
    <row r="112" spans="2:20" ht="15.6" x14ac:dyDescent="0.3">
      <c r="B112" s="66"/>
      <c r="D112" s="89" t="s">
        <v>199</v>
      </c>
      <c r="E112" s="89"/>
      <c r="F112" s="81" t="e">
        <f>J107*I110</f>
        <v>#REF!</v>
      </c>
      <c r="G112" s="89" t="s">
        <v>11</v>
      </c>
      <c r="H112" s="89"/>
      <c r="I112" s="89"/>
      <c r="J112" s="90"/>
      <c r="K112" s="90"/>
      <c r="L112" s="90"/>
      <c r="M112" s="90"/>
      <c r="P112" s="65"/>
    </row>
    <row r="113" spans="2:16" x14ac:dyDescent="0.3">
      <c r="B113" s="66"/>
      <c r="D113" s="89"/>
      <c r="E113" s="89"/>
      <c r="F113" s="89"/>
      <c r="G113" s="89"/>
      <c r="H113" s="89"/>
      <c r="I113" s="89"/>
      <c r="J113" s="90"/>
      <c r="K113" s="90"/>
      <c r="L113" s="90"/>
      <c r="M113" s="90"/>
      <c r="P113" s="65"/>
    </row>
    <row r="114" spans="2:16" x14ac:dyDescent="0.3">
      <c r="B114" s="66"/>
      <c r="D114" s="89" t="s">
        <v>200</v>
      </c>
      <c r="E114" s="89"/>
      <c r="F114" s="89"/>
      <c r="G114" s="89"/>
      <c r="H114" s="89"/>
      <c r="I114" s="89"/>
      <c r="J114" s="90"/>
      <c r="K114" s="90"/>
      <c r="L114" s="90"/>
      <c r="M114" s="90"/>
      <c r="P114" s="65"/>
    </row>
    <row r="115" spans="2:16" ht="15.6" x14ac:dyDescent="0.3">
      <c r="B115" s="66"/>
      <c r="D115" s="89" t="s">
        <v>201</v>
      </c>
      <c r="E115" s="89"/>
      <c r="F115" s="81" t="e">
        <f>F108-F112</f>
        <v>#REF!</v>
      </c>
      <c r="G115" s="89" t="s">
        <v>11</v>
      </c>
      <c r="H115" s="90"/>
      <c r="I115" s="89"/>
      <c r="J115" s="90"/>
      <c r="K115" s="90"/>
      <c r="L115" s="90"/>
      <c r="M115" s="90"/>
      <c r="P115" s="65"/>
    </row>
    <row r="116" spans="2:16" x14ac:dyDescent="0.3">
      <c r="B116" s="66"/>
      <c r="D116" s="90"/>
      <c r="E116" s="90"/>
      <c r="F116" s="90"/>
      <c r="G116" s="90"/>
      <c r="H116" s="90"/>
      <c r="I116" s="89"/>
      <c r="J116" s="90"/>
      <c r="K116" s="90"/>
      <c r="L116" s="90"/>
      <c r="M116" s="90"/>
      <c r="P116" s="65"/>
    </row>
    <row r="117" spans="2:16" x14ac:dyDescent="0.3">
      <c r="B117" s="66"/>
      <c r="D117" s="89" t="s">
        <v>202</v>
      </c>
      <c r="E117" s="89"/>
      <c r="F117" s="89">
        <v>0.113</v>
      </c>
      <c r="G117" s="89" t="s">
        <v>203</v>
      </c>
      <c r="H117" s="89"/>
      <c r="I117" s="89"/>
      <c r="J117" s="90"/>
      <c r="K117" s="90"/>
      <c r="L117" s="90"/>
      <c r="M117" s="90"/>
      <c r="P117" s="65"/>
    </row>
    <row r="118" spans="2:16" x14ac:dyDescent="0.3">
      <c r="B118" s="66"/>
      <c r="D118" s="90"/>
      <c r="E118" s="90"/>
      <c r="F118" s="90"/>
      <c r="G118" s="90"/>
      <c r="H118" s="89"/>
      <c r="I118" s="90"/>
      <c r="J118" s="90"/>
      <c r="K118" s="90"/>
      <c r="L118" s="90"/>
      <c r="M118" s="90"/>
      <c r="P118" s="65"/>
    </row>
    <row r="119" spans="2:16" x14ac:dyDescent="0.3">
      <c r="B119" s="66"/>
      <c r="D119" s="10" t="s">
        <v>204</v>
      </c>
      <c r="E119" s="10"/>
      <c r="F119" s="10"/>
      <c r="G119" s="10"/>
      <c r="H119" s="10"/>
      <c r="I119" s="90"/>
      <c r="J119" s="90"/>
      <c r="K119" s="90"/>
      <c r="L119" s="90"/>
      <c r="M119" s="90"/>
      <c r="P119" s="65"/>
    </row>
    <row r="120" spans="2:16" x14ac:dyDescent="0.3">
      <c r="B120" s="66"/>
      <c r="D120" s="89" t="s">
        <v>205</v>
      </c>
      <c r="E120" s="89"/>
      <c r="F120" s="93" t="e">
        <f>(10^3*J83)+F117*F115</f>
        <v>#REF!</v>
      </c>
      <c r="G120" s="89"/>
      <c r="H120" s="90"/>
      <c r="I120" s="90"/>
      <c r="J120" s="90"/>
      <c r="K120" s="90"/>
      <c r="L120" s="90"/>
      <c r="M120" s="90"/>
      <c r="P120" s="65"/>
    </row>
    <row r="121" spans="2:16" ht="15.6" x14ac:dyDescent="0.3">
      <c r="B121" s="66"/>
      <c r="D121" s="59" t="s">
        <v>206</v>
      </c>
      <c r="F121" s="94" t="e">
        <f>F120/1000</f>
        <v>#REF!</v>
      </c>
      <c r="K121" s="90"/>
      <c r="L121" s="90"/>
      <c r="M121" s="90"/>
      <c r="P121" s="65"/>
    </row>
    <row r="122" spans="2:16" x14ac:dyDescent="0.3">
      <c r="B122" s="73"/>
      <c r="C122" s="74"/>
      <c r="D122" s="74"/>
      <c r="E122" s="74"/>
      <c r="F122" s="74"/>
      <c r="G122" s="74"/>
      <c r="H122" s="74"/>
      <c r="I122" s="74"/>
      <c r="J122" s="74"/>
      <c r="K122" s="74"/>
      <c r="L122" s="74"/>
      <c r="M122" s="74"/>
      <c r="N122" s="74"/>
      <c r="O122" s="74"/>
      <c r="P122" s="76"/>
    </row>
    <row r="123" spans="2:16" x14ac:dyDescent="0.3">
      <c r="B123" s="84"/>
      <c r="C123" s="62" t="s">
        <v>207</v>
      </c>
      <c r="D123" s="62" t="s">
        <v>208</v>
      </c>
      <c r="E123" s="62"/>
      <c r="F123" s="77"/>
      <c r="G123" s="77"/>
      <c r="H123" s="77"/>
      <c r="I123" s="77"/>
      <c r="J123" s="77"/>
      <c r="K123" s="77"/>
      <c r="L123" s="77"/>
      <c r="M123" s="77"/>
      <c r="N123" s="77"/>
      <c r="O123" s="77"/>
      <c r="P123" s="63"/>
    </row>
    <row r="124" spans="2:16" x14ac:dyDescent="0.3">
      <c r="B124" s="66"/>
      <c r="D124" s="59" t="s">
        <v>209</v>
      </c>
      <c r="P124" s="65"/>
    </row>
    <row r="125" spans="2:16" x14ac:dyDescent="0.3">
      <c r="B125" s="66"/>
      <c r="D125" s="59" t="s">
        <v>210</v>
      </c>
      <c r="P125" s="65"/>
    </row>
    <row r="126" spans="2:16" x14ac:dyDescent="0.3">
      <c r="B126" s="66"/>
      <c r="D126" s="59" t="s">
        <v>211</v>
      </c>
      <c r="F126" s="59" t="s">
        <v>212</v>
      </c>
      <c r="P126" s="65"/>
    </row>
    <row r="127" spans="2:16" ht="15.6" x14ac:dyDescent="0.3">
      <c r="B127" s="66"/>
      <c r="D127" s="59" t="s">
        <v>10</v>
      </c>
      <c r="F127" s="83" t="e">
        <f>(1+3%)*F121</f>
        <v>#REF!</v>
      </c>
      <c r="P127" s="65"/>
    </row>
    <row r="128" spans="2:16" x14ac:dyDescent="0.3">
      <c r="B128" s="66"/>
      <c r="P128" s="65"/>
    </row>
    <row r="129" spans="2:16" x14ac:dyDescent="0.3">
      <c r="B129" s="66"/>
      <c r="D129" s="59" t="s">
        <v>213</v>
      </c>
      <c r="P129" s="65"/>
    </row>
    <row r="130" spans="2:16" x14ac:dyDescent="0.3">
      <c r="B130" s="66"/>
      <c r="D130" s="59" t="s">
        <v>214</v>
      </c>
      <c r="P130" s="65"/>
    </row>
    <row r="131" spans="2:16" x14ac:dyDescent="0.3">
      <c r="B131" s="66"/>
      <c r="D131" s="59" t="s">
        <v>215</v>
      </c>
      <c r="F131" s="59" t="s">
        <v>216</v>
      </c>
      <c r="P131" s="65"/>
    </row>
    <row r="132" spans="2:16" ht="15.6" x14ac:dyDescent="0.3">
      <c r="B132" s="66"/>
      <c r="D132" s="59" t="s">
        <v>10</v>
      </c>
      <c r="F132" s="83" t="e">
        <f>(1+5%)*F127</f>
        <v>#REF!</v>
      </c>
      <c r="P132" s="65"/>
    </row>
    <row r="133" spans="2:16" x14ac:dyDescent="0.3">
      <c r="B133" s="66"/>
      <c r="P133" s="65"/>
    </row>
    <row r="134" spans="2:16" x14ac:dyDescent="0.3">
      <c r="B134" s="84"/>
      <c r="C134" s="62" t="s">
        <v>217</v>
      </c>
      <c r="D134" s="62" t="s">
        <v>218</v>
      </c>
      <c r="E134" s="62"/>
      <c r="F134" s="77"/>
      <c r="G134" s="77"/>
      <c r="H134" s="77"/>
      <c r="I134" s="77"/>
      <c r="J134" s="77"/>
      <c r="K134" s="77"/>
      <c r="L134" s="77"/>
      <c r="M134" s="77"/>
      <c r="N134" s="77"/>
      <c r="O134" s="77"/>
      <c r="P134" s="63"/>
    </row>
    <row r="135" spans="2:16" x14ac:dyDescent="0.3">
      <c r="B135" s="66"/>
      <c r="D135" s="95" t="s">
        <v>219</v>
      </c>
      <c r="E135" s="95"/>
      <c r="F135" s="95"/>
      <c r="G135" s="95"/>
      <c r="H135" s="95"/>
      <c r="I135" s="95"/>
      <c r="J135" s="95"/>
      <c r="K135" s="95"/>
      <c r="L135" s="95"/>
      <c r="M135" s="95"/>
      <c r="P135" s="65"/>
    </row>
    <row r="136" spans="2:16" x14ac:dyDescent="0.3">
      <c r="B136" s="66"/>
      <c r="D136" s="95" t="s">
        <v>220</v>
      </c>
      <c r="E136" s="95"/>
      <c r="F136" s="95"/>
      <c r="G136" s="95"/>
      <c r="H136" s="95" t="s">
        <v>221</v>
      </c>
      <c r="I136" s="95"/>
      <c r="J136" s="95">
        <v>1.026</v>
      </c>
      <c r="K136" s="95" t="s">
        <v>222</v>
      </c>
      <c r="L136" s="95"/>
      <c r="M136" s="95"/>
      <c r="P136" s="65"/>
    </row>
    <row r="137" spans="2:16" x14ac:dyDescent="0.3">
      <c r="B137" s="66"/>
      <c r="D137" s="95" t="s">
        <v>10</v>
      </c>
      <c r="E137" s="95"/>
      <c r="F137" s="95" t="e">
        <f>F28*J136</f>
        <v>#REF!</v>
      </c>
      <c r="G137" s="95"/>
      <c r="H137" s="95" t="s">
        <v>134</v>
      </c>
      <c r="I137" s="95"/>
      <c r="J137" s="95"/>
      <c r="K137" s="95"/>
      <c r="L137" s="95"/>
      <c r="M137" s="95"/>
      <c r="P137" s="65"/>
    </row>
    <row r="138" spans="2:16" x14ac:dyDescent="0.3">
      <c r="B138" s="66"/>
      <c r="P138" s="65"/>
    </row>
    <row r="139" spans="2:16" x14ac:dyDescent="0.3">
      <c r="B139" s="66"/>
      <c r="D139" s="59" t="s">
        <v>223</v>
      </c>
      <c r="P139" s="65"/>
    </row>
    <row r="140" spans="2:16" x14ac:dyDescent="0.3">
      <c r="B140" s="66"/>
      <c r="D140" s="59" t="s">
        <v>224</v>
      </c>
      <c r="P140" s="65"/>
    </row>
    <row r="141" spans="2:16" x14ac:dyDescent="0.3">
      <c r="B141" s="66"/>
      <c r="F141" s="78" t="s">
        <v>174</v>
      </c>
      <c r="G141" s="78" t="s">
        <v>175</v>
      </c>
      <c r="P141" s="65"/>
    </row>
    <row r="142" spans="2:16" x14ac:dyDescent="0.3">
      <c r="B142" s="66"/>
      <c r="F142" s="59" t="s">
        <v>225</v>
      </c>
      <c r="G142" s="59" t="s">
        <v>226</v>
      </c>
      <c r="P142" s="65"/>
    </row>
    <row r="143" spans="2:16" x14ac:dyDescent="0.3">
      <c r="B143" s="66"/>
      <c r="F143" s="59">
        <v>10000</v>
      </c>
      <c r="G143" s="59">
        <v>4.0000000000000002E-4</v>
      </c>
      <c r="P143" s="65"/>
    </row>
    <row r="144" spans="2:16" x14ac:dyDescent="0.3">
      <c r="B144" s="66"/>
      <c r="F144" s="59" t="e">
        <f>F137</f>
        <v>#REF!</v>
      </c>
      <c r="P144" s="65"/>
    </row>
    <row r="145" spans="2:16" x14ac:dyDescent="0.3">
      <c r="B145" s="66"/>
      <c r="F145" s="59">
        <v>100000</v>
      </c>
      <c r="G145" s="72">
        <v>0</v>
      </c>
      <c r="P145" s="65"/>
    </row>
    <row r="146" spans="2:16" x14ac:dyDescent="0.3">
      <c r="B146" s="66"/>
      <c r="P146" s="65"/>
    </row>
    <row r="147" spans="2:16" x14ac:dyDescent="0.3">
      <c r="B147" s="66"/>
      <c r="D147" s="59" t="s">
        <v>178</v>
      </c>
      <c r="F147" s="59" t="s">
        <v>179</v>
      </c>
      <c r="P147" s="65"/>
    </row>
    <row r="148" spans="2:16" ht="15.6" x14ac:dyDescent="0.3">
      <c r="B148" s="66"/>
      <c r="D148" s="59" t="s">
        <v>227</v>
      </c>
      <c r="F148" s="83" t="e">
        <f>G143+(((F144-F143)*(G145-G143))/(F145-F143))</f>
        <v>#REF!</v>
      </c>
      <c r="P148" s="65"/>
    </row>
    <row r="149" spans="2:16" x14ac:dyDescent="0.3">
      <c r="B149" s="66"/>
      <c r="P149" s="65"/>
    </row>
    <row r="150" spans="2:16" x14ac:dyDescent="0.3">
      <c r="B150" s="66"/>
      <c r="P150" s="65"/>
    </row>
    <row r="151" spans="2:16" x14ac:dyDescent="0.3">
      <c r="B151" s="73"/>
      <c r="C151" s="74"/>
      <c r="D151" s="74"/>
      <c r="E151" s="74"/>
      <c r="F151" s="96"/>
      <c r="G151" s="74"/>
      <c r="H151" s="74"/>
      <c r="I151" s="74"/>
      <c r="J151" s="74"/>
      <c r="K151" s="74"/>
      <c r="L151" s="74"/>
      <c r="M151" s="74"/>
      <c r="N151" s="74"/>
      <c r="O151" s="74"/>
      <c r="P151" s="76"/>
    </row>
    <row r="153" spans="2:16" x14ac:dyDescent="0.3">
      <c r="B153" s="84"/>
      <c r="C153" s="62" t="s">
        <v>228</v>
      </c>
      <c r="D153" s="62" t="s">
        <v>229</v>
      </c>
      <c r="E153" s="62"/>
      <c r="F153" s="77"/>
      <c r="G153" s="77"/>
      <c r="H153" s="77"/>
      <c r="I153" s="77"/>
      <c r="J153" s="77"/>
      <c r="K153" s="77"/>
      <c r="L153" s="77"/>
      <c r="M153" s="77"/>
      <c r="N153" s="77"/>
      <c r="O153" s="77"/>
      <c r="P153" s="63"/>
    </row>
    <row r="154" spans="2:16" ht="15.75" customHeight="1" x14ac:dyDescent="0.3">
      <c r="B154" s="66"/>
      <c r="C154" s="12" t="s">
        <v>230</v>
      </c>
      <c r="D154" s="12"/>
      <c r="E154" s="12"/>
      <c r="F154" s="12"/>
      <c r="G154" s="12"/>
      <c r="H154" s="12"/>
      <c r="I154" s="12"/>
      <c r="J154" s="12"/>
      <c r="K154" s="12"/>
      <c r="L154" s="12"/>
      <c r="M154" s="12"/>
      <c r="N154" s="12"/>
      <c r="O154" s="12"/>
      <c r="P154" s="12"/>
    </row>
    <row r="155" spans="2:16" x14ac:dyDescent="0.3">
      <c r="B155" s="66"/>
      <c r="D155" s="59" t="s">
        <v>231</v>
      </c>
      <c r="P155" s="65"/>
    </row>
    <row r="156" spans="2:16" x14ac:dyDescent="0.3">
      <c r="B156" s="66"/>
      <c r="D156" s="59" t="s">
        <v>232</v>
      </c>
      <c r="F156" s="59">
        <v>6.9999999999999994E-5</v>
      </c>
      <c r="P156" s="65"/>
    </row>
    <row r="157" spans="2:16" x14ac:dyDescent="0.3">
      <c r="B157" s="73"/>
      <c r="C157" s="74"/>
      <c r="D157" s="74"/>
      <c r="E157" s="74"/>
      <c r="F157" s="74"/>
      <c r="G157" s="74"/>
      <c r="H157" s="74"/>
      <c r="I157" s="74"/>
      <c r="J157" s="74"/>
      <c r="K157" s="74"/>
      <c r="L157" s="74"/>
      <c r="M157" s="74"/>
      <c r="N157" s="74"/>
      <c r="O157" s="74"/>
      <c r="P157" s="76"/>
    </row>
    <row r="158" spans="2:16" x14ac:dyDescent="0.3">
      <c r="B158" s="82"/>
      <c r="C158" s="70" t="s">
        <v>233</v>
      </c>
      <c r="D158" s="70" t="s">
        <v>234</v>
      </c>
      <c r="E158" s="70"/>
      <c r="F158" s="78"/>
      <c r="G158" s="78"/>
      <c r="H158" s="78"/>
      <c r="I158" s="78"/>
      <c r="J158" s="78"/>
      <c r="K158" s="78"/>
      <c r="L158" s="78"/>
      <c r="M158" s="78"/>
      <c r="N158" s="78"/>
      <c r="O158" s="78"/>
      <c r="P158" s="79"/>
    </row>
    <row r="159" spans="2:16" x14ac:dyDescent="0.3">
      <c r="B159" s="66"/>
      <c r="D159" s="59" t="s">
        <v>235</v>
      </c>
      <c r="P159" s="65"/>
    </row>
    <row r="160" spans="2:16" x14ac:dyDescent="0.3">
      <c r="B160" s="66"/>
      <c r="D160" s="59" t="s">
        <v>236</v>
      </c>
      <c r="F160" s="59">
        <v>4.0000000000000003E-5</v>
      </c>
      <c r="P160" s="65"/>
    </row>
    <row r="161" spans="2:16" x14ac:dyDescent="0.3">
      <c r="B161" s="73"/>
      <c r="C161" s="74"/>
      <c r="D161" s="74"/>
      <c r="E161" s="74"/>
      <c r="F161" s="74"/>
      <c r="G161" s="74"/>
      <c r="H161" s="74"/>
      <c r="I161" s="74"/>
      <c r="J161" s="74"/>
      <c r="K161" s="74"/>
      <c r="L161" s="74"/>
      <c r="M161" s="74"/>
      <c r="N161" s="74"/>
      <c r="O161" s="74"/>
      <c r="P161" s="76"/>
    </row>
    <row r="162" spans="2:16" x14ac:dyDescent="0.3">
      <c r="B162" s="84"/>
      <c r="C162" s="62" t="s">
        <v>237</v>
      </c>
      <c r="D162" s="62" t="s">
        <v>238</v>
      </c>
      <c r="E162" s="62"/>
      <c r="F162" s="77"/>
      <c r="G162" s="77"/>
      <c r="H162" s="77"/>
      <c r="I162" s="77"/>
      <c r="J162" s="77"/>
      <c r="K162" s="77"/>
      <c r="L162" s="77"/>
      <c r="M162" s="77"/>
      <c r="N162" s="77"/>
      <c r="O162" s="77"/>
      <c r="P162" s="63"/>
    </row>
    <row r="163" spans="2:16" x14ac:dyDescent="0.3">
      <c r="B163" s="66"/>
      <c r="D163" s="59" t="s">
        <v>239</v>
      </c>
      <c r="P163" s="65"/>
    </row>
    <row r="164" spans="2:16" x14ac:dyDescent="0.3">
      <c r="B164" s="66"/>
      <c r="D164" s="59" t="s">
        <v>240</v>
      </c>
      <c r="P164" s="65"/>
    </row>
    <row r="165" spans="2:16" x14ac:dyDescent="0.3">
      <c r="B165" s="66"/>
      <c r="D165" s="59" t="s">
        <v>241</v>
      </c>
      <c r="F165" s="59" t="s">
        <v>242</v>
      </c>
      <c r="P165" s="65"/>
    </row>
    <row r="166" spans="2:16" ht="15.6" x14ac:dyDescent="0.3">
      <c r="B166" s="66"/>
      <c r="D166" s="59" t="s">
        <v>243</v>
      </c>
      <c r="F166" s="97" t="e">
        <f>F54+F132+F148+F156+F160</f>
        <v>#REF!</v>
      </c>
      <c r="P166" s="65"/>
    </row>
    <row r="167" spans="2:16" x14ac:dyDescent="0.3">
      <c r="B167" s="66"/>
      <c r="F167" s="98"/>
      <c r="P167" s="65"/>
    </row>
    <row r="168" spans="2:16" x14ac:dyDescent="0.3">
      <c r="B168" s="84"/>
      <c r="C168" s="62" t="s">
        <v>244</v>
      </c>
      <c r="D168" s="62" t="s">
        <v>245</v>
      </c>
      <c r="E168" s="62"/>
      <c r="F168" s="77"/>
      <c r="G168" s="77"/>
      <c r="H168" s="77"/>
      <c r="I168" s="77"/>
      <c r="J168" s="77"/>
      <c r="K168" s="77"/>
      <c r="L168" s="77"/>
      <c r="M168" s="77"/>
      <c r="N168" s="77"/>
      <c r="O168" s="77"/>
      <c r="P168" s="63"/>
    </row>
    <row r="169" spans="2:16" x14ac:dyDescent="0.3">
      <c r="B169" s="66"/>
      <c r="D169" s="59" t="s">
        <v>246</v>
      </c>
      <c r="F169" s="59" t="s">
        <v>247</v>
      </c>
      <c r="P169" s="65"/>
    </row>
    <row r="170" spans="2:16" x14ac:dyDescent="0.3">
      <c r="B170" s="66"/>
      <c r="D170" s="59" t="s">
        <v>248</v>
      </c>
      <c r="F170" s="59" t="e">
        <f>F166*0.5*1025*(N25^2)*D46</f>
        <v>#REF!</v>
      </c>
      <c r="G170" s="59" t="s">
        <v>249</v>
      </c>
      <c r="P170" s="65"/>
    </row>
    <row r="171" spans="2:16" ht="15.6" x14ac:dyDescent="0.3">
      <c r="B171" s="66"/>
      <c r="D171" s="59" t="s">
        <v>250</v>
      </c>
      <c r="F171" s="99" t="e">
        <f>F170/1000</f>
        <v>#REF!</v>
      </c>
      <c r="G171" s="59" t="s">
        <v>251</v>
      </c>
      <c r="P171" s="65"/>
    </row>
    <row r="172" spans="2:16" x14ac:dyDescent="0.3">
      <c r="B172" s="66"/>
      <c r="P172" s="65"/>
    </row>
    <row r="173" spans="2:16" ht="15.75" customHeight="1" x14ac:dyDescent="0.3">
      <c r="B173" s="66"/>
      <c r="D173" s="9" t="s">
        <v>252</v>
      </c>
      <c r="E173" s="9"/>
      <c r="F173" s="9"/>
      <c r="G173" s="9"/>
      <c r="H173" s="9"/>
      <c r="I173" s="9"/>
      <c r="J173" s="9"/>
      <c r="K173" s="9"/>
      <c r="L173" s="100"/>
      <c r="M173" s="100"/>
      <c r="P173" s="65"/>
    </row>
    <row r="174" spans="2:16" ht="15" customHeight="1" x14ac:dyDescent="0.3">
      <c r="B174" s="66"/>
      <c r="D174" s="9"/>
      <c r="E174" s="9"/>
      <c r="F174" s="9"/>
      <c r="G174" s="9"/>
      <c r="H174" s="9"/>
      <c r="I174" s="9"/>
      <c r="J174" s="9"/>
      <c r="K174" s="9"/>
      <c r="L174" s="100"/>
      <c r="M174" s="100"/>
      <c r="P174" s="65"/>
    </row>
    <row r="175" spans="2:16" ht="15" customHeight="1" x14ac:dyDescent="0.3">
      <c r="B175" s="64"/>
      <c r="D175" s="9"/>
      <c r="E175" s="9"/>
      <c r="F175" s="9"/>
      <c r="G175" s="9"/>
      <c r="H175" s="9"/>
      <c r="I175" s="9"/>
      <c r="J175" s="9"/>
      <c r="K175" s="9"/>
      <c r="L175" s="100"/>
      <c r="M175" s="100"/>
      <c r="P175" s="65"/>
    </row>
    <row r="176" spans="2:16" ht="15" customHeight="1" x14ac:dyDescent="0.3">
      <c r="B176" s="66"/>
      <c r="D176" s="9"/>
      <c r="E176" s="9"/>
      <c r="F176" s="9"/>
      <c r="G176" s="9"/>
      <c r="H176" s="9"/>
      <c r="I176" s="9"/>
      <c r="J176" s="9"/>
      <c r="K176" s="9"/>
      <c r="L176" s="100"/>
      <c r="M176" s="100"/>
      <c r="P176" s="65"/>
    </row>
    <row r="177" spans="2:16" x14ac:dyDescent="0.3">
      <c r="B177" s="66"/>
      <c r="F177" s="59" t="s">
        <v>253</v>
      </c>
      <c r="G177" s="59" t="s">
        <v>254</v>
      </c>
      <c r="P177" s="65"/>
    </row>
    <row r="178" spans="2:16" x14ac:dyDescent="0.3">
      <c r="B178" s="66"/>
      <c r="F178" s="59" t="s">
        <v>255</v>
      </c>
      <c r="G178" s="101" t="e">
        <f>F171+(10%*F171)</f>
        <v>#REF!</v>
      </c>
      <c r="H178" s="59" t="s">
        <v>251</v>
      </c>
      <c r="P178" s="65"/>
    </row>
    <row r="179" spans="2:16" x14ac:dyDescent="0.3">
      <c r="B179" s="73"/>
      <c r="C179" s="74"/>
      <c r="D179" s="74"/>
      <c r="E179" s="74"/>
      <c r="F179" s="74"/>
      <c r="G179" s="74"/>
      <c r="H179" s="74"/>
      <c r="I179" s="74"/>
      <c r="J179" s="74"/>
      <c r="K179" s="74"/>
      <c r="L179" s="74"/>
      <c r="M179" s="74"/>
      <c r="N179" s="74"/>
      <c r="O179" s="74"/>
      <c r="P179" s="76"/>
    </row>
    <row r="180" spans="2:16" x14ac:dyDescent="0.3">
      <c r="B180" s="61">
        <v>5</v>
      </c>
      <c r="C180" s="62" t="s">
        <v>256</v>
      </c>
      <c r="D180" s="62"/>
      <c r="E180" s="62"/>
      <c r="F180" s="77"/>
      <c r="G180" s="77"/>
      <c r="H180" s="77"/>
      <c r="I180" s="77"/>
      <c r="J180" s="77"/>
      <c r="K180" s="77"/>
      <c r="L180" s="77"/>
      <c r="M180" s="77"/>
      <c r="N180" s="77"/>
      <c r="O180" s="77"/>
      <c r="P180" s="63"/>
    </row>
    <row r="181" spans="2:16" x14ac:dyDescent="0.3">
      <c r="B181" s="82"/>
      <c r="C181" s="70" t="s">
        <v>157</v>
      </c>
      <c r="D181" s="70" t="s">
        <v>257</v>
      </c>
      <c r="E181" s="70"/>
      <c r="F181" s="70"/>
      <c r="G181" s="78"/>
      <c r="H181" s="78"/>
      <c r="I181" s="78"/>
      <c r="J181" s="78"/>
      <c r="K181" s="78"/>
      <c r="L181" s="78"/>
      <c r="M181" s="78"/>
      <c r="N181" s="78"/>
      <c r="O181" s="78"/>
      <c r="P181" s="79"/>
    </row>
    <row r="182" spans="2:16" x14ac:dyDescent="0.3">
      <c r="B182" s="66"/>
      <c r="D182" s="59" t="s">
        <v>258</v>
      </c>
      <c r="F182" s="59" t="s">
        <v>259</v>
      </c>
      <c r="P182" s="65"/>
    </row>
    <row r="183" spans="2:16" x14ac:dyDescent="0.3">
      <c r="B183" s="66"/>
      <c r="D183" s="59" t="s">
        <v>250</v>
      </c>
      <c r="F183" s="72" t="e">
        <f>G178*N25</f>
        <v>#REF!</v>
      </c>
      <c r="G183" s="59" t="s">
        <v>260</v>
      </c>
      <c r="H183" s="59" t="s">
        <v>261</v>
      </c>
      <c r="I183" s="59">
        <v>0.73550000000000004</v>
      </c>
      <c r="J183" s="59" t="s">
        <v>260</v>
      </c>
      <c r="P183" s="65"/>
    </row>
    <row r="184" spans="2:16" ht="15.6" x14ac:dyDescent="0.3">
      <c r="B184" s="66"/>
      <c r="D184" s="59" t="s">
        <v>250</v>
      </c>
      <c r="F184" s="81" t="e">
        <f>F183/I183</f>
        <v>#REF!</v>
      </c>
      <c r="G184" s="59" t="s">
        <v>262</v>
      </c>
      <c r="H184" s="59" t="s">
        <v>263</v>
      </c>
      <c r="I184" s="59">
        <f>1/I183</f>
        <v>1.3596193065941535</v>
      </c>
      <c r="J184" s="59" t="s">
        <v>262</v>
      </c>
      <c r="P184" s="65"/>
    </row>
    <row r="185" spans="2:16" ht="15.6" x14ac:dyDescent="0.3">
      <c r="B185" s="66"/>
      <c r="E185" s="59" t="s">
        <v>10</v>
      </c>
      <c r="F185" s="81" t="s">
        <v>264</v>
      </c>
      <c r="P185" s="65"/>
    </row>
    <row r="186" spans="2:16" ht="15.6" x14ac:dyDescent="0.3">
      <c r="B186" s="66"/>
      <c r="E186" s="59" t="s">
        <v>10</v>
      </c>
      <c r="F186" s="81" t="e">
        <f>D46 * F166 * N25^3</f>
        <v>#REF!</v>
      </c>
      <c r="G186" s="59" t="s">
        <v>260</v>
      </c>
      <c r="P186" s="65"/>
    </row>
    <row r="187" spans="2:16" ht="15.6" x14ac:dyDescent="0.3">
      <c r="B187" s="66"/>
      <c r="F187" s="81"/>
      <c r="P187" s="65"/>
    </row>
    <row r="188" spans="2:16" x14ac:dyDescent="0.3">
      <c r="B188" s="73"/>
      <c r="C188" s="74"/>
      <c r="D188" s="74"/>
      <c r="E188" s="74"/>
      <c r="F188" s="74"/>
      <c r="G188" s="74"/>
      <c r="H188" s="74"/>
      <c r="I188" s="74"/>
      <c r="J188" s="74"/>
      <c r="K188" s="74"/>
      <c r="L188" s="74"/>
      <c r="M188" s="74"/>
      <c r="N188" s="74"/>
      <c r="O188" s="74"/>
      <c r="P188" s="76"/>
    </row>
    <row r="189" spans="2:16" x14ac:dyDescent="0.3">
      <c r="B189" s="84"/>
      <c r="C189" s="62" t="s">
        <v>162</v>
      </c>
      <c r="D189" s="62" t="s">
        <v>265</v>
      </c>
      <c r="E189" s="62"/>
      <c r="F189" s="62"/>
      <c r="G189" s="77"/>
      <c r="H189" s="77"/>
      <c r="I189" s="77"/>
      <c r="J189" s="77"/>
      <c r="K189" s="77"/>
      <c r="L189" s="77"/>
      <c r="M189" s="77"/>
      <c r="N189" s="77"/>
      <c r="O189" s="77"/>
      <c r="P189" s="63"/>
    </row>
    <row r="190" spans="2:16" x14ac:dyDescent="0.3">
      <c r="B190" s="66"/>
      <c r="D190" s="59" t="s">
        <v>266</v>
      </c>
      <c r="P190" s="65"/>
    </row>
    <row r="191" spans="2:16" x14ac:dyDescent="0.3">
      <c r="B191" s="66"/>
      <c r="D191" s="59" t="s">
        <v>267</v>
      </c>
      <c r="P191" s="65"/>
    </row>
    <row r="192" spans="2:16" x14ac:dyDescent="0.3">
      <c r="B192" s="66"/>
      <c r="D192" s="59" t="s">
        <v>268</v>
      </c>
      <c r="F192" s="59" t="s">
        <v>269</v>
      </c>
      <c r="P192" s="65"/>
    </row>
    <row r="193" spans="2:16" ht="15.6" x14ac:dyDescent="0.3">
      <c r="B193" s="66"/>
      <c r="D193" s="59" t="s">
        <v>243</v>
      </c>
      <c r="F193" s="81">
        <f>0.5*F31-0.05</f>
        <v>0.29000000000000004</v>
      </c>
      <c r="P193" s="65"/>
    </row>
    <row r="194" spans="2:16" x14ac:dyDescent="0.3">
      <c r="B194" s="73"/>
      <c r="C194" s="74"/>
      <c r="D194" s="74"/>
      <c r="E194" s="74"/>
      <c r="F194" s="74"/>
      <c r="G194" s="74"/>
      <c r="H194" s="74"/>
      <c r="I194" s="74"/>
      <c r="J194" s="74"/>
      <c r="K194" s="74"/>
      <c r="L194" s="74"/>
      <c r="M194" s="74"/>
      <c r="N194" s="74"/>
      <c r="O194" s="74"/>
      <c r="P194" s="76"/>
    </row>
    <row r="195" spans="2:16" x14ac:dyDescent="0.3">
      <c r="B195" s="84"/>
      <c r="C195" s="62" t="s">
        <v>182</v>
      </c>
      <c r="D195" s="62" t="s">
        <v>270</v>
      </c>
      <c r="E195" s="62"/>
      <c r="F195" s="62"/>
      <c r="G195" s="77"/>
      <c r="H195" s="77"/>
      <c r="I195" s="77"/>
      <c r="J195" s="77"/>
      <c r="K195" s="77"/>
      <c r="L195" s="77"/>
      <c r="M195" s="77"/>
      <c r="N195" s="77"/>
      <c r="O195" s="102"/>
      <c r="P195" s="63"/>
    </row>
    <row r="196" spans="2:16" x14ac:dyDescent="0.3">
      <c r="B196" s="66"/>
      <c r="D196" s="59" t="s">
        <v>271</v>
      </c>
      <c r="F196" s="59" t="s">
        <v>272</v>
      </c>
      <c r="H196" s="95" t="s">
        <v>273</v>
      </c>
      <c r="I196" s="95"/>
      <c r="J196" s="95"/>
      <c r="K196" s="95"/>
      <c r="L196" s="95"/>
      <c r="M196" s="95"/>
      <c r="N196" s="95"/>
      <c r="O196" s="95"/>
      <c r="P196" s="65"/>
    </row>
    <row r="197" spans="2:16" ht="15.6" x14ac:dyDescent="0.3">
      <c r="B197" s="66"/>
      <c r="D197" s="59" t="s">
        <v>250</v>
      </c>
      <c r="F197" s="103">
        <f>J197*F193</f>
        <v>0.20300000000000001</v>
      </c>
      <c r="H197" s="95"/>
      <c r="I197" s="95" t="s">
        <v>274</v>
      </c>
      <c r="J197" s="95">
        <v>0.7</v>
      </c>
      <c r="K197" s="95"/>
      <c r="L197" s="95"/>
      <c r="M197" s="95"/>
      <c r="N197" s="95"/>
      <c r="P197" s="65"/>
    </row>
    <row r="198" spans="2:16" x14ac:dyDescent="0.3">
      <c r="B198" s="66"/>
      <c r="P198" s="65"/>
    </row>
    <row r="199" spans="2:16" x14ac:dyDescent="0.3">
      <c r="B199" s="66"/>
      <c r="D199" s="59" t="s">
        <v>275</v>
      </c>
      <c r="P199" s="65"/>
    </row>
    <row r="200" spans="2:16" x14ac:dyDescent="0.3">
      <c r="B200" s="66"/>
      <c r="D200" s="59" t="s">
        <v>276</v>
      </c>
      <c r="F200" s="59" t="s">
        <v>277</v>
      </c>
      <c r="P200" s="65"/>
    </row>
    <row r="201" spans="2:16" ht="15.6" x14ac:dyDescent="0.3">
      <c r="B201" s="66"/>
      <c r="D201" s="59" t="s">
        <v>278</v>
      </c>
      <c r="F201" s="81">
        <f>(1-F197)/(1-F193)</f>
        <v>1.1225352112676057</v>
      </c>
      <c r="P201" s="65"/>
    </row>
    <row r="202" spans="2:16" x14ac:dyDescent="0.3">
      <c r="B202" s="73"/>
      <c r="C202" s="74"/>
      <c r="D202" s="74"/>
      <c r="E202" s="74"/>
      <c r="F202" s="74"/>
      <c r="G202" s="74"/>
      <c r="H202" s="74"/>
      <c r="I202" s="74"/>
      <c r="J202" s="74"/>
      <c r="K202" s="74"/>
      <c r="L202" s="74"/>
      <c r="M202" s="74"/>
      <c r="N202" s="74"/>
      <c r="O202" s="74"/>
      <c r="P202" s="76"/>
    </row>
    <row r="203" spans="2:16" x14ac:dyDescent="0.3">
      <c r="B203" s="84"/>
      <c r="C203" s="62" t="s">
        <v>207</v>
      </c>
      <c r="D203" s="62" t="s">
        <v>279</v>
      </c>
      <c r="E203" s="62"/>
      <c r="F203" s="62"/>
      <c r="G203" s="77"/>
      <c r="H203" s="77"/>
      <c r="I203" s="77"/>
      <c r="J203" s="77"/>
      <c r="K203" s="77"/>
      <c r="L203" s="77"/>
      <c r="M203" s="77"/>
      <c r="N203" s="77"/>
      <c r="O203" s="77"/>
      <c r="P203" s="63"/>
    </row>
    <row r="204" spans="2:16" x14ac:dyDescent="0.3">
      <c r="B204" s="66"/>
      <c r="D204" s="59" t="s">
        <v>280</v>
      </c>
      <c r="F204" s="104" t="s">
        <v>281</v>
      </c>
      <c r="P204" s="65"/>
    </row>
    <row r="205" spans="2:16" ht="15.6" x14ac:dyDescent="0.3">
      <c r="B205" s="66"/>
      <c r="D205" s="59" t="s">
        <v>282</v>
      </c>
      <c r="F205" s="83" t="e">
        <f>F183/F201</f>
        <v>#REF!</v>
      </c>
      <c r="G205" s="59" t="s">
        <v>260</v>
      </c>
      <c r="P205" s="65"/>
    </row>
    <row r="206" spans="2:16" ht="15.6" x14ac:dyDescent="0.3">
      <c r="B206" s="66"/>
      <c r="F206" s="83"/>
      <c r="P206" s="65"/>
    </row>
    <row r="207" spans="2:16" x14ac:dyDescent="0.3">
      <c r="B207" s="73"/>
      <c r="C207" s="74"/>
      <c r="D207" s="74"/>
      <c r="E207" s="74"/>
      <c r="F207" s="105" t="e">
        <f>F205/I183</f>
        <v>#REF!</v>
      </c>
      <c r="G207" s="74" t="s">
        <v>262</v>
      </c>
      <c r="H207" s="74"/>
      <c r="I207" s="74"/>
      <c r="J207" s="74"/>
      <c r="K207" s="74"/>
      <c r="L207" s="74"/>
      <c r="M207" s="74"/>
      <c r="N207" s="74"/>
      <c r="O207" s="74"/>
      <c r="P207" s="76"/>
    </row>
    <row r="209" spans="2:16" x14ac:dyDescent="0.3">
      <c r="B209" s="84"/>
      <c r="C209" s="62" t="s">
        <v>217</v>
      </c>
      <c r="D209" s="62" t="s">
        <v>283</v>
      </c>
      <c r="E209" s="62"/>
      <c r="F209" s="62"/>
      <c r="G209" s="77"/>
      <c r="H209" s="77"/>
      <c r="I209" s="77"/>
      <c r="J209" s="77"/>
      <c r="K209" s="77"/>
      <c r="L209" s="77"/>
      <c r="M209" s="77"/>
      <c r="N209" s="77"/>
      <c r="O209" s="77"/>
      <c r="P209" s="63"/>
    </row>
    <row r="210" spans="2:16" x14ac:dyDescent="0.3">
      <c r="B210" s="66"/>
      <c r="D210" s="59" t="s">
        <v>284</v>
      </c>
      <c r="F210" s="59" t="s">
        <v>285</v>
      </c>
      <c r="P210" s="65"/>
    </row>
    <row r="211" spans="2:16" x14ac:dyDescent="0.3">
      <c r="B211" s="66"/>
      <c r="D211" s="59" t="s">
        <v>282</v>
      </c>
      <c r="F211" s="72">
        <f>(1-F193)*F27</f>
        <v>11.36</v>
      </c>
      <c r="G211" s="59" t="s">
        <v>286</v>
      </c>
      <c r="P211" s="65"/>
    </row>
    <row r="212" spans="2:16" ht="15.6" x14ac:dyDescent="0.3">
      <c r="B212" s="73"/>
      <c r="C212" s="74"/>
      <c r="D212" s="74" t="s">
        <v>282</v>
      </c>
      <c r="E212" s="74"/>
      <c r="F212" s="106">
        <f>(1-F193)*N25</f>
        <v>5.8440838399999997</v>
      </c>
      <c r="G212" s="74" t="s">
        <v>132</v>
      </c>
      <c r="H212" s="74"/>
      <c r="I212" s="74"/>
      <c r="J212" s="74"/>
      <c r="K212" s="74"/>
      <c r="L212" s="74"/>
      <c r="M212" s="74"/>
      <c r="N212" s="74"/>
      <c r="O212" s="74"/>
      <c r="P212" s="76"/>
    </row>
    <row r="213" spans="2:16" x14ac:dyDescent="0.3">
      <c r="B213" s="84"/>
      <c r="C213" s="62" t="s">
        <v>287</v>
      </c>
      <c r="D213" s="107" t="s">
        <v>288</v>
      </c>
      <c r="E213" s="107"/>
      <c r="F213" s="107"/>
      <c r="G213" s="102"/>
      <c r="H213" s="102"/>
      <c r="I213" s="108"/>
      <c r="J213" s="102"/>
      <c r="K213" s="102"/>
      <c r="L213" s="102"/>
      <c r="M213" s="102"/>
      <c r="N213" s="102"/>
      <c r="O213" s="77"/>
      <c r="P213" s="63"/>
    </row>
    <row r="214" spans="2:16" x14ac:dyDescent="0.3">
      <c r="B214" s="66"/>
      <c r="D214" s="104" t="s">
        <v>289</v>
      </c>
      <c r="E214" s="104"/>
      <c r="F214" s="95"/>
      <c r="G214" s="95"/>
      <c r="H214" s="95"/>
      <c r="I214" s="95"/>
      <c r="J214" s="95"/>
      <c r="K214" s="95"/>
      <c r="L214" s="95"/>
      <c r="M214" s="95"/>
      <c r="N214" s="95"/>
      <c r="P214" s="65"/>
    </row>
    <row r="215" spans="2:16" x14ac:dyDescent="0.3">
      <c r="B215" s="66"/>
      <c r="D215" s="104"/>
      <c r="E215" s="104"/>
      <c r="F215" s="95" t="s">
        <v>290</v>
      </c>
      <c r="G215" s="95"/>
      <c r="H215" s="95"/>
      <c r="I215" s="95"/>
      <c r="J215" s="95"/>
      <c r="K215" s="95"/>
      <c r="L215" s="95"/>
      <c r="M215" s="95"/>
      <c r="N215" s="95"/>
      <c r="P215" s="65"/>
    </row>
    <row r="216" spans="2:16" x14ac:dyDescent="0.3">
      <c r="B216" s="66"/>
      <c r="D216" s="104"/>
      <c r="E216" s="104"/>
      <c r="F216" s="95" t="s">
        <v>291</v>
      </c>
      <c r="G216" s="95">
        <v>1.05</v>
      </c>
      <c r="H216" s="95"/>
      <c r="I216" s="95"/>
      <c r="J216" s="95"/>
      <c r="K216" s="95"/>
      <c r="L216" s="95"/>
      <c r="M216" s="95"/>
      <c r="N216" s="95"/>
      <c r="P216" s="65"/>
    </row>
    <row r="217" spans="2:16" x14ac:dyDescent="0.3">
      <c r="B217" s="66"/>
      <c r="D217" s="104" t="s">
        <v>292</v>
      </c>
      <c r="E217" s="104"/>
      <c r="F217" s="104"/>
      <c r="G217" s="95"/>
      <c r="H217" s="95"/>
      <c r="I217" s="95"/>
      <c r="J217" s="95"/>
      <c r="K217" s="95"/>
      <c r="L217" s="95"/>
      <c r="M217" s="95"/>
      <c r="N217" s="95"/>
      <c r="P217" s="65"/>
    </row>
    <row r="218" spans="2:16" x14ac:dyDescent="0.3">
      <c r="B218" s="66"/>
      <c r="D218" s="104"/>
      <c r="E218" s="104"/>
      <c r="F218" s="95" t="s">
        <v>293</v>
      </c>
      <c r="G218" s="95"/>
      <c r="H218" s="95"/>
      <c r="I218" s="95"/>
      <c r="J218" s="109">
        <v>0.65</v>
      </c>
      <c r="K218" s="95"/>
      <c r="L218" s="95"/>
      <c r="M218" s="95"/>
      <c r="N218" s="95"/>
      <c r="P218" s="65"/>
    </row>
    <row r="219" spans="2:16" x14ac:dyDescent="0.3">
      <c r="B219" s="66"/>
      <c r="D219" s="104" t="s">
        <v>294</v>
      </c>
      <c r="E219" s="104"/>
      <c r="F219" s="104"/>
      <c r="G219" s="95"/>
      <c r="H219" s="95"/>
      <c r="I219" s="95"/>
      <c r="J219" s="95"/>
      <c r="K219" s="95"/>
      <c r="L219" s="95"/>
      <c r="M219" s="95"/>
      <c r="N219" s="95"/>
      <c r="P219" s="65"/>
    </row>
    <row r="220" spans="2:16" x14ac:dyDescent="0.3">
      <c r="B220" s="66"/>
      <c r="D220" s="104" t="s">
        <v>295</v>
      </c>
      <c r="E220" s="104"/>
      <c r="F220" s="95" t="s">
        <v>296</v>
      </c>
      <c r="G220" s="95"/>
      <c r="H220" s="95"/>
      <c r="I220" s="95"/>
      <c r="J220" s="95"/>
      <c r="K220" s="95"/>
      <c r="L220" s="95"/>
      <c r="M220" s="95"/>
      <c r="N220" s="95"/>
      <c r="P220" s="65"/>
    </row>
    <row r="221" spans="2:16" ht="15.6" x14ac:dyDescent="0.3">
      <c r="B221" s="66"/>
      <c r="D221" s="104" t="s">
        <v>10</v>
      </c>
      <c r="E221" s="104"/>
      <c r="F221" s="81">
        <f>(1-F197)/(1-F193)</f>
        <v>1.1225352112676057</v>
      </c>
      <c r="G221" s="95"/>
      <c r="H221" s="95"/>
      <c r="I221" s="95"/>
      <c r="J221" s="95"/>
      <c r="K221" s="95"/>
      <c r="L221" s="95"/>
      <c r="M221" s="95"/>
      <c r="N221" s="95"/>
      <c r="P221" s="65"/>
    </row>
    <row r="222" spans="2:16" x14ac:dyDescent="0.3">
      <c r="B222" s="66"/>
      <c r="D222" s="104" t="s">
        <v>297</v>
      </c>
      <c r="E222" s="104"/>
      <c r="F222" s="95" t="s">
        <v>298</v>
      </c>
      <c r="G222" s="95"/>
      <c r="H222" s="95"/>
      <c r="I222" s="95"/>
      <c r="J222" s="95"/>
      <c r="K222" s="95"/>
      <c r="L222" s="95"/>
      <c r="M222" s="95"/>
      <c r="N222" s="95"/>
      <c r="P222" s="65"/>
    </row>
    <row r="223" spans="2:16" ht="15.6" x14ac:dyDescent="0.3">
      <c r="B223" s="73"/>
      <c r="C223" s="74"/>
      <c r="D223" s="105" t="s">
        <v>10</v>
      </c>
      <c r="E223" s="105"/>
      <c r="F223" s="110">
        <f>F221*J218*G216</f>
        <v>0.76613028169014097</v>
      </c>
      <c r="G223" s="105"/>
      <c r="H223" s="105"/>
      <c r="I223" s="105"/>
      <c r="J223" s="105"/>
      <c r="K223" s="105"/>
      <c r="L223" s="105"/>
      <c r="M223" s="105"/>
      <c r="N223" s="105"/>
      <c r="O223" s="74"/>
      <c r="P223" s="76"/>
    </row>
    <row r="224" spans="2:16" x14ac:dyDescent="0.3">
      <c r="B224" s="82"/>
      <c r="C224" s="70" t="s">
        <v>233</v>
      </c>
      <c r="D224" s="111" t="s">
        <v>299</v>
      </c>
      <c r="E224" s="111"/>
      <c r="F224" s="111"/>
      <c r="G224" s="112"/>
      <c r="H224" s="112"/>
      <c r="I224" s="112"/>
      <c r="J224" s="112"/>
      <c r="K224" s="112"/>
      <c r="L224" s="112"/>
      <c r="M224" s="112"/>
      <c r="N224" s="112"/>
      <c r="O224" s="78"/>
      <c r="P224" s="79"/>
    </row>
    <row r="225" spans="2:16" x14ac:dyDescent="0.3">
      <c r="B225" s="66"/>
      <c r="D225" s="95" t="s">
        <v>300</v>
      </c>
      <c r="E225" s="95"/>
      <c r="F225" s="95" t="s">
        <v>301</v>
      </c>
      <c r="G225" s="95"/>
      <c r="P225" s="65"/>
    </row>
    <row r="226" spans="2:16" ht="15.6" x14ac:dyDescent="0.3">
      <c r="B226" s="66"/>
      <c r="D226" s="95" t="s">
        <v>10</v>
      </c>
      <c r="E226" s="95"/>
      <c r="F226" s="81" t="e">
        <f>F184/F223</f>
        <v>#REF!</v>
      </c>
      <c r="G226" s="95" t="s">
        <v>262</v>
      </c>
      <c r="P226" s="65"/>
    </row>
    <row r="227" spans="2:16" x14ac:dyDescent="0.3">
      <c r="B227" s="73"/>
      <c r="C227" s="74"/>
      <c r="D227" s="59" t="s">
        <v>10</v>
      </c>
      <c r="F227" s="59" t="e">
        <f>F183/F223</f>
        <v>#REF!</v>
      </c>
      <c r="G227" s="59" t="s">
        <v>260</v>
      </c>
      <c r="H227" s="74"/>
      <c r="I227" s="74"/>
      <c r="J227" s="74"/>
      <c r="K227" s="74"/>
      <c r="L227" s="74"/>
      <c r="M227" s="74"/>
      <c r="N227" s="74"/>
      <c r="O227" s="74"/>
      <c r="P227" s="76"/>
    </row>
    <row r="228" spans="2:16" x14ac:dyDescent="0.3">
      <c r="B228" s="84"/>
      <c r="C228" s="62" t="s">
        <v>237</v>
      </c>
      <c r="D228" s="107" t="s">
        <v>302</v>
      </c>
      <c r="E228" s="107"/>
      <c r="F228" s="107"/>
      <c r="G228" s="102"/>
      <c r="H228" s="102"/>
      <c r="I228" s="102"/>
      <c r="J228" s="102"/>
      <c r="K228" s="102"/>
      <c r="L228" s="102"/>
      <c r="M228" s="102"/>
      <c r="N228" s="102"/>
      <c r="O228" s="77"/>
      <c r="P228" s="63"/>
    </row>
    <row r="229" spans="2:16" x14ac:dyDescent="0.3">
      <c r="B229" s="66"/>
      <c r="D229" s="95" t="s">
        <v>303</v>
      </c>
      <c r="E229" s="95"/>
      <c r="F229" s="95"/>
      <c r="G229" s="95"/>
      <c r="H229" s="95"/>
      <c r="I229" s="95"/>
      <c r="J229" s="95"/>
      <c r="K229" s="95"/>
      <c r="L229" s="95"/>
      <c r="M229" s="95"/>
      <c r="N229" s="95"/>
      <c r="P229" s="65"/>
    </row>
    <row r="230" spans="2:16" x14ac:dyDescent="0.3">
      <c r="B230" s="66"/>
      <c r="D230" s="95" t="s">
        <v>304</v>
      </c>
      <c r="E230" s="95"/>
      <c r="F230" s="95"/>
      <c r="G230" s="95"/>
      <c r="H230" s="95"/>
      <c r="I230" s="95"/>
      <c r="J230" s="95"/>
      <c r="K230" s="109">
        <f>0.98</f>
        <v>0.98</v>
      </c>
      <c r="L230" s="95"/>
      <c r="M230" s="95"/>
      <c r="P230" s="65"/>
    </row>
    <row r="231" spans="2:16" x14ac:dyDescent="0.3">
      <c r="B231" s="66"/>
      <c r="D231" s="95" t="s">
        <v>305</v>
      </c>
      <c r="E231" s="95"/>
      <c r="F231" s="95" t="s">
        <v>306</v>
      </c>
      <c r="G231" s="95"/>
      <c r="H231" s="95"/>
      <c r="I231" s="95"/>
      <c r="J231" s="95"/>
      <c r="K231" s="95"/>
      <c r="L231" s="95"/>
      <c r="M231" s="95"/>
      <c r="N231" s="95"/>
      <c r="P231" s="65"/>
    </row>
    <row r="232" spans="2:16" ht="15.6" x14ac:dyDescent="0.3">
      <c r="B232" s="66"/>
      <c r="D232" s="95" t="s">
        <v>10</v>
      </c>
      <c r="E232" s="95"/>
      <c r="F232" s="81" t="e">
        <f>F226/K230</f>
        <v>#REF!</v>
      </c>
      <c r="G232" s="95" t="s">
        <v>262</v>
      </c>
      <c r="H232" s="95"/>
      <c r="I232" s="95"/>
      <c r="J232" s="95"/>
      <c r="K232" s="95"/>
      <c r="L232" s="95"/>
      <c r="M232" s="95"/>
      <c r="N232" s="95"/>
      <c r="P232" s="65"/>
    </row>
    <row r="233" spans="2:16" x14ac:dyDescent="0.3">
      <c r="B233" s="66"/>
      <c r="D233" s="95" t="s">
        <v>10</v>
      </c>
      <c r="E233" s="95"/>
      <c r="F233" s="113" t="e">
        <f>F232*I183</f>
        <v>#REF!</v>
      </c>
      <c r="G233" s="95" t="s">
        <v>260</v>
      </c>
      <c r="H233" s="95"/>
      <c r="I233" s="95"/>
      <c r="J233" s="95"/>
      <c r="K233" s="95"/>
      <c r="L233" s="95"/>
      <c r="M233" s="95"/>
      <c r="N233" s="95"/>
      <c r="P233" s="65"/>
    </row>
    <row r="234" spans="2:16" x14ac:dyDescent="0.3">
      <c r="B234" s="73"/>
      <c r="C234" s="74"/>
      <c r="D234" s="74"/>
      <c r="E234" s="74"/>
      <c r="F234" s="74"/>
      <c r="G234" s="74"/>
      <c r="H234" s="74"/>
      <c r="I234" s="74"/>
      <c r="J234" s="74"/>
      <c r="K234" s="74"/>
      <c r="L234" s="74"/>
      <c r="M234" s="74"/>
      <c r="N234" s="74"/>
      <c r="O234" s="74"/>
      <c r="P234" s="76"/>
    </row>
    <row r="235" spans="2:16" x14ac:dyDescent="0.3">
      <c r="B235" s="84"/>
      <c r="C235" s="62" t="s">
        <v>244</v>
      </c>
      <c r="D235" s="107" t="s">
        <v>307</v>
      </c>
      <c r="E235" s="107"/>
      <c r="F235" s="107"/>
      <c r="G235" s="102"/>
      <c r="H235" s="102"/>
      <c r="I235" s="102"/>
      <c r="J235" s="102"/>
      <c r="K235" s="102"/>
      <c r="L235" s="102"/>
      <c r="M235" s="102"/>
      <c r="N235" s="102"/>
      <c r="O235" s="77"/>
      <c r="P235" s="63"/>
    </row>
    <row r="236" spans="2:16" x14ac:dyDescent="0.3">
      <c r="B236" s="66"/>
      <c r="D236" s="95" t="s">
        <v>308</v>
      </c>
      <c r="E236" s="95"/>
      <c r="F236" s="95"/>
      <c r="G236" s="95"/>
      <c r="H236" s="95" t="s">
        <v>262</v>
      </c>
      <c r="I236" s="95"/>
      <c r="J236" s="95"/>
      <c r="K236" s="95"/>
      <c r="L236" s="95"/>
      <c r="M236" s="95"/>
      <c r="N236" s="95"/>
      <c r="P236" s="65"/>
    </row>
    <row r="237" spans="2:16" x14ac:dyDescent="0.3">
      <c r="B237" s="66"/>
      <c r="D237" s="95" t="s">
        <v>309</v>
      </c>
      <c r="E237" s="95"/>
      <c r="F237" s="95"/>
      <c r="G237" s="95"/>
      <c r="H237" s="95"/>
      <c r="I237" s="95"/>
      <c r="J237" s="95"/>
      <c r="K237" s="95"/>
      <c r="L237" s="95"/>
      <c r="M237" s="95"/>
      <c r="N237" s="95"/>
      <c r="P237" s="65"/>
    </row>
    <row r="238" spans="2:16" x14ac:dyDescent="0.3">
      <c r="B238" s="66"/>
      <c r="D238" s="95" t="s">
        <v>310</v>
      </c>
      <c r="E238" s="95"/>
      <c r="F238" s="95"/>
      <c r="G238" s="95"/>
      <c r="H238" s="95"/>
      <c r="I238" s="95"/>
      <c r="J238" s="95"/>
      <c r="K238" s="95"/>
      <c r="L238" s="95"/>
      <c r="M238" s="95"/>
      <c r="N238" s="95"/>
      <c r="P238" s="65"/>
    </row>
    <row r="239" spans="2:16" x14ac:dyDescent="0.3">
      <c r="B239" s="66"/>
      <c r="D239" s="95" t="s">
        <v>311</v>
      </c>
      <c r="E239" s="95"/>
      <c r="F239" s="95"/>
      <c r="G239" s="95"/>
      <c r="H239" s="95"/>
      <c r="I239" s="95"/>
      <c r="J239" s="95"/>
      <c r="K239" s="95"/>
      <c r="L239" s="95"/>
      <c r="M239" s="95"/>
      <c r="N239" s="95"/>
      <c r="P239" s="65"/>
    </row>
    <row r="240" spans="2:16" ht="15" customHeight="1" x14ac:dyDescent="0.3">
      <c r="B240" s="66"/>
      <c r="D240" s="95"/>
      <c r="E240" s="95"/>
      <c r="F240" s="95" t="s">
        <v>312</v>
      </c>
      <c r="G240" s="95" t="s">
        <v>313</v>
      </c>
      <c r="H240" s="95"/>
      <c r="I240" s="95"/>
      <c r="J240" s="95"/>
      <c r="K240" s="95"/>
      <c r="L240" s="95"/>
      <c r="M240" s="95"/>
      <c r="N240" s="95"/>
      <c r="P240" s="65"/>
    </row>
    <row r="241" spans="2:16" x14ac:dyDescent="0.3">
      <c r="B241" s="66"/>
      <c r="D241" s="95"/>
      <c r="E241" s="95"/>
      <c r="F241" s="95" t="s">
        <v>10</v>
      </c>
      <c r="G241" s="113" t="e">
        <f>F232/K230</f>
        <v>#REF!</v>
      </c>
      <c r="H241" s="95" t="s">
        <v>262</v>
      </c>
      <c r="I241" s="95" t="s">
        <v>314</v>
      </c>
      <c r="J241" s="95"/>
      <c r="K241" s="95">
        <v>0.73550000000000004</v>
      </c>
      <c r="L241" s="95"/>
      <c r="M241" s="95"/>
      <c r="N241" s="95" t="s">
        <v>315</v>
      </c>
      <c r="P241" s="65"/>
    </row>
    <row r="242" spans="2:16" ht="15.6" x14ac:dyDescent="0.3">
      <c r="B242" s="66"/>
      <c r="F242" s="59" t="s">
        <v>10</v>
      </c>
      <c r="G242" s="81" t="e">
        <f>G241*K241</f>
        <v>#REF!</v>
      </c>
      <c r="H242" s="59" t="s">
        <v>260</v>
      </c>
      <c r="P242" s="65"/>
    </row>
    <row r="243" spans="2:16" x14ac:dyDescent="0.3">
      <c r="B243" s="66"/>
      <c r="P243" s="65"/>
    </row>
    <row r="244" spans="2:16" x14ac:dyDescent="0.3">
      <c r="B244" s="66"/>
      <c r="D244" s="95" t="s">
        <v>316</v>
      </c>
      <c r="E244" s="95"/>
      <c r="P244" s="65"/>
    </row>
    <row r="245" spans="2:16" x14ac:dyDescent="0.3">
      <c r="B245" s="66"/>
      <c r="D245" s="59" t="s">
        <v>317</v>
      </c>
      <c r="G245" s="26"/>
      <c r="H245" s="26"/>
      <c r="I245" s="26"/>
      <c r="N245" s="95"/>
      <c r="P245" s="65"/>
    </row>
    <row r="246" spans="2:16" x14ac:dyDescent="0.3">
      <c r="B246" s="66"/>
      <c r="D246" s="59" t="s">
        <v>318</v>
      </c>
      <c r="G246" s="95"/>
      <c r="H246" s="95"/>
      <c r="I246" s="95"/>
      <c r="J246" s="95"/>
      <c r="K246" s="114"/>
      <c r="L246" s="114"/>
      <c r="M246" s="114"/>
      <c r="N246" s="114"/>
      <c r="P246" s="65"/>
    </row>
    <row r="247" spans="2:16" x14ac:dyDescent="0.3">
      <c r="B247" s="66"/>
      <c r="D247" s="59" t="s">
        <v>319</v>
      </c>
      <c r="K247" s="114"/>
      <c r="L247" s="114"/>
      <c r="M247" s="114"/>
      <c r="P247" s="65"/>
    </row>
    <row r="248" spans="2:16" ht="15.6" x14ac:dyDescent="0.3">
      <c r="B248" s="66"/>
      <c r="F248" s="95" t="s">
        <v>320</v>
      </c>
      <c r="G248" s="95" t="s">
        <v>321</v>
      </c>
      <c r="H248" s="26"/>
      <c r="I248" s="95"/>
      <c r="P248" s="65"/>
    </row>
    <row r="249" spans="2:16" x14ac:dyDescent="0.3">
      <c r="B249" s="66"/>
      <c r="F249" s="95" t="s">
        <v>10</v>
      </c>
      <c r="G249" s="72" t="e">
        <f>G241/0.9</f>
        <v>#REF!</v>
      </c>
      <c r="H249" s="95" t="s">
        <v>262</v>
      </c>
      <c r="P249" s="65"/>
    </row>
    <row r="250" spans="2:16" ht="15.6" x14ac:dyDescent="0.3">
      <c r="B250" s="66"/>
      <c r="F250" s="95" t="s">
        <v>10</v>
      </c>
      <c r="G250" s="81" t="e">
        <f>G249*K241</f>
        <v>#REF!</v>
      </c>
      <c r="H250" s="115" t="s">
        <v>260</v>
      </c>
      <c r="I250" s="95"/>
      <c r="J250" s="95"/>
      <c r="P250" s="65"/>
    </row>
    <row r="251" spans="2:16" x14ac:dyDescent="0.3">
      <c r="B251" s="73"/>
      <c r="C251" s="74"/>
      <c r="D251" s="74"/>
      <c r="E251" s="74"/>
      <c r="F251" s="74"/>
      <c r="G251" s="74"/>
      <c r="H251" s="74"/>
      <c r="I251" s="74"/>
      <c r="J251" s="74"/>
      <c r="K251" s="74"/>
      <c r="L251" s="74"/>
      <c r="M251" s="74"/>
      <c r="N251" s="74"/>
      <c r="O251" s="74"/>
      <c r="P251" s="76"/>
    </row>
    <row r="253" spans="2:16" x14ac:dyDescent="0.3">
      <c r="B253" s="59" t="s">
        <v>322</v>
      </c>
    </row>
    <row r="254" spans="2:16" x14ac:dyDescent="0.3">
      <c r="B254" s="59" t="s">
        <v>323</v>
      </c>
      <c r="C254" s="59" t="s">
        <v>10</v>
      </c>
      <c r="D254" s="59">
        <v>0.85</v>
      </c>
      <c r="E254" s="59" t="s">
        <v>324</v>
      </c>
    </row>
    <row r="255" spans="2:16" x14ac:dyDescent="0.3">
      <c r="B255" s="59" t="s">
        <v>325</v>
      </c>
      <c r="C255" s="59" t="s">
        <v>10</v>
      </c>
      <c r="D255" s="59" t="e">
        <f>F29</f>
        <v>#REF!</v>
      </c>
    </row>
    <row r="256" spans="2:16" x14ac:dyDescent="0.3">
      <c r="B256" s="59" t="s">
        <v>326</v>
      </c>
      <c r="C256" s="59" t="s">
        <v>10</v>
      </c>
      <c r="D256" s="59" t="s">
        <v>327</v>
      </c>
    </row>
    <row r="257" spans="3:5" x14ac:dyDescent="0.3">
      <c r="C257" s="59" t="s">
        <v>10</v>
      </c>
      <c r="D257" s="59" t="e">
        <f>D254 * D255</f>
        <v>#REF!</v>
      </c>
      <c r="E257" s="59" t="s">
        <v>134</v>
      </c>
    </row>
  </sheetData>
  <mergeCells count="10">
    <mergeCell ref="F100:H100"/>
    <mergeCell ref="D111:F111"/>
    <mergeCell ref="D119:H119"/>
    <mergeCell ref="C154:P154"/>
    <mergeCell ref="D173:K176"/>
    <mergeCell ref="B2:D2"/>
    <mergeCell ref="F2:G2"/>
    <mergeCell ref="G36:P36"/>
    <mergeCell ref="D45:F45"/>
    <mergeCell ref="D99:G99"/>
  </mergeCells>
  <pageMargins left="1" right="1" top="1" bottom="1" header="0.511811023622047" footer="0.511811023622047"/>
  <pageSetup paperSize="9" fitToHeight="0" orientation="portrait" horizontalDpi="300" verticalDpi="300"/>
  <rowBreaks count="3" manualBreakCount="3">
    <brk id="93" max="16383" man="1"/>
    <brk id="152" max="16383" man="1"/>
    <brk id="208" max="16383"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W709"/>
  <sheetViews>
    <sheetView showGridLines="0" topLeftCell="A191" zoomScale="85" zoomScaleNormal="85" workbookViewId="0">
      <selection activeCell="E6" sqref="E6"/>
    </sheetView>
  </sheetViews>
  <sheetFormatPr defaultColWidth="8" defaultRowHeight="15.6" x14ac:dyDescent="0.3"/>
  <cols>
    <col min="1" max="1" width="3.8984375" style="116" customWidth="1"/>
    <col min="2" max="2" width="3.69921875" style="116" customWidth="1"/>
    <col min="3" max="3" width="10.19921875" style="116" customWidth="1"/>
    <col min="4" max="4" width="13.69921875" style="116" customWidth="1"/>
    <col min="5" max="5" width="12.5" style="116" customWidth="1"/>
    <col min="6" max="6" width="12.8984375" style="116" customWidth="1"/>
    <col min="7" max="7" width="10" style="116" customWidth="1"/>
    <col min="8" max="8" width="9.09765625" style="116" customWidth="1"/>
    <col min="9" max="9" width="11.3984375" style="116" customWidth="1"/>
    <col min="10" max="10" width="9.8984375" style="116" customWidth="1"/>
    <col min="11" max="11" width="12.8984375" style="116" customWidth="1"/>
    <col min="12" max="16384" width="8" style="116"/>
  </cols>
  <sheetData>
    <row r="2" spans="2:23" x14ac:dyDescent="0.3">
      <c r="B2" s="1251" t="s">
        <v>114</v>
      </c>
      <c r="C2" s="1251"/>
      <c r="D2" s="1251"/>
      <c r="E2" s="1252" t="s">
        <v>328</v>
      </c>
      <c r="F2" s="1252"/>
      <c r="G2" s="118"/>
      <c r="I2" s="119" t="s">
        <v>329</v>
      </c>
      <c r="J2" s="120"/>
      <c r="K2" s="121"/>
    </row>
    <row r="3" spans="2:23" x14ac:dyDescent="0.3">
      <c r="B3" s="122"/>
      <c r="C3" s="123"/>
      <c r="D3" s="123"/>
      <c r="E3" s="124"/>
      <c r="F3" s="124"/>
      <c r="G3" s="125"/>
      <c r="I3" s="126" t="s">
        <v>126</v>
      </c>
      <c r="K3" s="125"/>
    </row>
    <row r="4" spans="2:23" ht="15.75" customHeight="1" x14ac:dyDescent="0.3">
      <c r="B4" s="1253" t="s">
        <v>116</v>
      </c>
      <c r="C4" s="1253"/>
      <c r="D4" s="1253"/>
      <c r="E4" s="1254" t="s">
        <v>330</v>
      </c>
      <c r="F4" s="1254"/>
      <c r="G4" s="125"/>
      <c r="I4" s="126" t="s">
        <v>128</v>
      </c>
      <c r="J4" s="128">
        <v>0.51444400000000001</v>
      </c>
      <c r="K4" s="125" t="s">
        <v>129</v>
      </c>
    </row>
    <row r="5" spans="2:23" ht="14.25" customHeight="1" x14ac:dyDescent="0.3">
      <c r="B5" s="1253" t="s">
        <v>118</v>
      </c>
      <c r="C5" s="1253"/>
      <c r="D5" s="1253"/>
      <c r="E5" s="129" t="e">
        <f>HARVARLD!F6</f>
        <v>#REF!</v>
      </c>
      <c r="F5" s="129"/>
      <c r="G5" s="125" t="s">
        <v>11</v>
      </c>
      <c r="I5" s="126" t="s">
        <v>331</v>
      </c>
      <c r="J5" s="130">
        <f>E11*J4</f>
        <v>8.2311040000000002</v>
      </c>
      <c r="K5" s="125" t="s">
        <v>129</v>
      </c>
      <c r="P5" s="129"/>
      <c r="Q5" s="131"/>
      <c r="R5" s="129"/>
      <c r="S5" s="129"/>
      <c r="T5" s="129"/>
      <c r="U5" s="129"/>
      <c r="V5" s="129"/>
      <c r="W5" s="129"/>
    </row>
    <row r="6" spans="2:23" ht="14.25" customHeight="1" x14ac:dyDescent="0.3">
      <c r="B6" s="1253" t="s">
        <v>121</v>
      </c>
      <c r="C6" s="1253"/>
      <c r="D6" s="1253"/>
      <c r="E6" s="129" t="e">
        <f>HARVARLD!F8</f>
        <v>#REF!</v>
      </c>
      <c r="F6" s="129"/>
      <c r="G6" s="125" t="s">
        <v>11</v>
      </c>
      <c r="I6" s="126"/>
      <c r="K6" s="125"/>
      <c r="P6" s="129"/>
      <c r="Q6" s="129"/>
      <c r="R6" s="129"/>
      <c r="S6" s="129"/>
      <c r="T6" s="129"/>
      <c r="U6" s="129"/>
      <c r="V6" s="129"/>
      <c r="W6" s="129"/>
    </row>
    <row r="7" spans="2:23" ht="14.25" customHeight="1" x14ac:dyDescent="0.3">
      <c r="B7" s="1253" t="s">
        <v>124</v>
      </c>
      <c r="C7" s="1253"/>
      <c r="D7" s="1253"/>
      <c r="E7" s="132" t="e">
        <f>HARVARLD!F14</f>
        <v>#REF!</v>
      </c>
      <c r="F7" s="132"/>
      <c r="G7" s="125" t="s">
        <v>11</v>
      </c>
      <c r="I7" s="126" t="s">
        <v>131</v>
      </c>
      <c r="J7" s="116">
        <v>9.81</v>
      </c>
      <c r="K7" s="125" t="s">
        <v>132</v>
      </c>
      <c r="P7" s="129"/>
      <c r="Q7" s="129"/>
      <c r="R7" s="129"/>
      <c r="S7" s="129"/>
      <c r="T7" s="129"/>
      <c r="U7" s="129"/>
      <c r="V7" s="129"/>
      <c r="W7" s="129"/>
    </row>
    <row r="8" spans="2:23" ht="15.75" customHeight="1" x14ac:dyDescent="0.3">
      <c r="B8" s="1253" t="s">
        <v>12</v>
      </c>
      <c r="C8" s="1253"/>
      <c r="D8" s="1253"/>
      <c r="E8" s="129">
        <f>HARVARLD!F16</f>
        <v>23.7</v>
      </c>
      <c r="F8" s="129"/>
      <c r="G8" s="125" t="s">
        <v>11</v>
      </c>
      <c r="I8" s="126" t="s">
        <v>138</v>
      </c>
      <c r="J8" s="133">
        <f>HARVARLD!N30</f>
        <v>5.0000000000000001E-3</v>
      </c>
      <c r="K8" s="125" t="s">
        <v>332</v>
      </c>
    </row>
    <row r="9" spans="2:23" ht="15.75" customHeight="1" x14ac:dyDescent="0.3">
      <c r="B9" s="1253" t="s">
        <v>14</v>
      </c>
      <c r="C9" s="1253"/>
      <c r="D9" s="1253"/>
      <c r="E9" s="129">
        <f>HARVARLD!F23</f>
        <v>9.9469999999999992</v>
      </c>
      <c r="F9" s="129"/>
      <c r="G9" s="125" t="s">
        <v>11</v>
      </c>
      <c r="I9" s="126" t="s">
        <v>333</v>
      </c>
      <c r="J9" s="116">
        <v>1.026</v>
      </c>
      <c r="K9" s="125"/>
    </row>
    <row r="10" spans="2:23" ht="15.75" customHeight="1" x14ac:dyDescent="0.3">
      <c r="B10" s="126" t="s">
        <v>13</v>
      </c>
      <c r="E10" s="129">
        <f>HARVARLD!F25</f>
        <v>13.34</v>
      </c>
      <c r="F10" s="129"/>
      <c r="G10" s="125" t="s">
        <v>11</v>
      </c>
      <c r="I10" s="134" t="s">
        <v>263</v>
      </c>
      <c r="J10" s="135">
        <f>HARVARLD!I184</f>
        <v>1.3596193065941535</v>
      </c>
      <c r="K10" s="136" t="s">
        <v>262</v>
      </c>
    </row>
    <row r="11" spans="2:23" ht="15.75" customHeight="1" x14ac:dyDescent="0.3">
      <c r="B11" s="1253" t="s">
        <v>130</v>
      </c>
      <c r="C11" s="1253"/>
      <c r="D11" s="1253"/>
      <c r="E11" s="129">
        <f>HARVARLD!F27</f>
        <v>16</v>
      </c>
      <c r="F11" s="129"/>
      <c r="G11" s="125" t="s">
        <v>16</v>
      </c>
    </row>
    <row r="12" spans="2:23" ht="15.75" customHeight="1" x14ac:dyDescent="0.3">
      <c r="B12" s="1253" t="s">
        <v>19</v>
      </c>
      <c r="C12" s="1253"/>
      <c r="D12" s="1253"/>
      <c r="E12" s="129" t="e">
        <f>HARVARLD!F28</f>
        <v>#REF!</v>
      </c>
      <c r="F12" s="129"/>
      <c r="G12" s="125" t="s">
        <v>20</v>
      </c>
    </row>
    <row r="13" spans="2:23" ht="15.75" customHeight="1" x14ac:dyDescent="0.3">
      <c r="B13" s="126" t="s">
        <v>137</v>
      </c>
      <c r="E13" s="129">
        <f>HARVARLD!F30</f>
        <v>0.98199999999999998</v>
      </c>
      <c r="F13" s="129"/>
      <c r="G13" s="125"/>
    </row>
    <row r="14" spans="2:23" ht="15.75" customHeight="1" x14ac:dyDescent="0.3">
      <c r="B14" s="126" t="s">
        <v>140</v>
      </c>
      <c r="E14" s="129">
        <f>HARVARLD!F31</f>
        <v>0.68</v>
      </c>
      <c r="F14" s="129"/>
      <c r="G14" s="125"/>
      <c r="I14" s="116" t="e">
        <f>E7*E8*E9*E14</f>
        <v>#REF!</v>
      </c>
      <c r="J14" s="137" t="e">
        <f>I14*J9</f>
        <v>#REF!</v>
      </c>
    </row>
    <row r="15" spans="2:23" ht="15.75" customHeight="1" x14ac:dyDescent="0.3">
      <c r="B15" s="126" t="s">
        <v>141</v>
      </c>
      <c r="E15" s="129">
        <f>HARVARLD!F32</f>
        <v>0.69</v>
      </c>
      <c r="F15" s="129"/>
      <c r="G15" s="125"/>
    </row>
    <row r="16" spans="2:23" ht="15.75" customHeight="1" x14ac:dyDescent="0.3">
      <c r="B16" s="1255" t="s">
        <v>334</v>
      </c>
      <c r="C16" s="1255"/>
      <c r="D16" s="1255"/>
      <c r="E16" s="129" t="e">
        <f>J8*E7</f>
        <v>#REF!</v>
      </c>
      <c r="F16" s="129"/>
      <c r="G16" s="125"/>
    </row>
    <row r="17" spans="2:8" ht="15.75" customHeight="1" x14ac:dyDescent="0.3">
      <c r="B17" s="1255" t="s">
        <v>335</v>
      </c>
      <c r="C17" s="1255"/>
      <c r="D17" s="1255"/>
      <c r="E17" s="129" t="e">
        <f>'[2]Lines Plan'!$B$9</f>
        <v>#REF!</v>
      </c>
      <c r="F17" s="129"/>
      <c r="G17" s="125"/>
    </row>
    <row r="18" spans="2:8" ht="15.75" customHeight="1" x14ac:dyDescent="0.3">
      <c r="B18" s="1251" t="s">
        <v>336</v>
      </c>
      <c r="C18" s="1251"/>
      <c r="D18" s="1251"/>
      <c r="E18" s="138"/>
      <c r="F18" s="138"/>
      <c r="G18" s="138"/>
      <c r="H18" s="118"/>
    </row>
    <row r="19" spans="2:8" x14ac:dyDescent="0.3">
      <c r="B19" s="139">
        <v>1</v>
      </c>
      <c r="C19" s="140" t="s">
        <v>337</v>
      </c>
      <c r="D19" s="141"/>
      <c r="E19" s="141"/>
      <c r="F19" s="141"/>
      <c r="G19" s="141"/>
      <c r="H19" s="142"/>
    </row>
    <row r="20" spans="2:8" x14ac:dyDescent="0.3">
      <c r="B20" s="143"/>
      <c r="C20" s="144" t="s">
        <v>148</v>
      </c>
      <c r="D20" s="145" t="s">
        <v>338</v>
      </c>
      <c r="F20" s="144"/>
      <c r="G20" s="145"/>
      <c r="H20" s="125"/>
    </row>
    <row r="21" spans="2:8" x14ac:dyDescent="0.3">
      <c r="B21" s="143"/>
      <c r="C21" s="144" t="s">
        <v>10</v>
      </c>
      <c r="D21" s="130" t="e">
        <f>J5/(J7*E5)^(1/2)</f>
        <v>#REF!</v>
      </c>
      <c r="F21" s="144"/>
      <c r="H21" s="125"/>
    </row>
    <row r="22" spans="2:8" x14ac:dyDescent="0.3">
      <c r="B22" s="143"/>
      <c r="C22" s="144"/>
      <c r="D22" s="130"/>
      <c r="F22" s="144"/>
      <c r="H22" s="125"/>
    </row>
    <row r="23" spans="2:8" x14ac:dyDescent="0.3">
      <c r="B23" s="143"/>
      <c r="C23" s="144" t="s">
        <v>339</v>
      </c>
      <c r="D23" s="146" t="s">
        <v>340</v>
      </c>
      <c r="F23" s="144"/>
      <c r="H23" s="125"/>
    </row>
    <row r="24" spans="2:8" x14ac:dyDescent="0.3">
      <c r="B24" s="143"/>
      <c r="C24" s="144" t="s">
        <v>10</v>
      </c>
      <c r="D24" s="130">
        <f>(0.18)+(0.86*E15)</f>
        <v>0.77339999999999987</v>
      </c>
      <c r="F24" s="144"/>
      <c r="H24" s="125"/>
    </row>
    <row r="25" spans="2:8" x14ac:dyDescent="0.3">
      <c r="B25" s="143"/>
      <c r="H25" s="125"/>
    </row>
    <row r="26" spans="2:8" x14ac:dyDescent="0.3">
      <c r="B26" s="147">
        <v>2</v>
      </c>
      <c r="C26" s="120" t="s">
        <v>341</v>
      </c>
      <c r="D26" s="138"/>
      <c r="E26" s="138"/>
      <c r="F26" s="138"/>
      <c r="G26" s="138"/>
      <c r="H26" s="118"/>
    </row>
    <row r="27" spans="2:8" x14ac:dyDescent="0.3">
      <c r="B27" s="143"/>
      <c r="C27" s="144" t="s">
        <v>342</v>
      </c>
      <c r="D27" s="145" t="s">
        <v>343</v>
      </c>
      <c r="H27" s="125"/>
    </row>
    <row r="28" spans="2:8" x14ac:dyDescent="0.3">
      <c r="B28" s="143"/>
      <c r="C28" s="144" t="s">
        <v>10</v>
      </c>
      <c r="D28" s="116" t="e">
        <f>E6*E8*E9*E14</f>
        <v>#REF!</v>
      </c>
      <c r="H28" s="125"/>
    </row>
    <row r="29" spans="2:8" x14ac:dyDescent="0.3">
      <c r="B29" s="143"/>
      <c r="H29" s="125"/>
    </row>
    <row r="30" spans="2:8" x14ac:dyDescent="0.3">
      <c r="B30" s="147">
        <v>3</v>
      </c>
      <c r="C30" s="120" t="s">
        <v>344</v>
      </c>
      <c r="D30" s="138"/>
      <c r="E30" s="138"/>
      <c r="F30" s="138"/>
      <c r="G30" s="138"/>
      <c r="H30" s="118"/>
    </row>
    <row r="31" spans="2:8" x14ac:dyDescent="0.3">
      <c r="B31" s="143"/>
      <c r="C31" s="144" t="s">
        <v>196</v>
      </c>
      <c r="D31" s="145" t="s">
        <v>345</v>
      </c>
      <c r="H31" s="125"/>
    </row>
    <row r="32" spans="2:8" x14ac:dyDescent="0.3">
      <c r="B32" s="143"/>
      <c r="C32" s="144" t="s">
        <v>10</v>
      </c>
      <c r="D32" s="123" t="e">
        <f>D28*J9</f>
        <v>#REF!</v>
      </c>
      <c r="H32" s="125"/>
    </row>
    <row r="33" spans="2:11" x14ac:dyDescent="0.3">
      <c r="B33" s="148"/>
      <c r="C33" s="149"/>
      <c r="D33" s="135"/>
      <c r="E33" s="135"/>
      <c r="F33" s="135"/>
      <c r="G33" s="135"/>
      <c r="H33" s="136"/>
    </row>
    <row r="34" spans="2:11" x14ac:dyDescent="0.3">
      <c r="B34" s="139">
        <v>4</v>
      </c>
      <c r="C34" s="150" t="s">
        <v>346</v>
      </c>
      <c r="D34" s="141"/>
      <c r="E34" s="141"/>
      <c r="F34" s="141"/>
      <c r="G34" s="141"/>
      <c r="H34" s="142"/>
    </row>
    <row r="35" spans="2:11" x14ac:dyDescent="0.3">
      <c r="B35" s="143"/>
      <c r="C35" s="144" t="s">
        <v>152</v>
      </c>
      <c r="D35" s="116" t="s">
        <v>347</v>
      </c>
      <c r="H35" s="125"/>
    </row>
    <row r="36" spans="2:11" x14ac:dyDescent="0.3">
      <c r="B36" s="143"/>
      <c r="C36" s="144" t="s">
        <v>10</v>
      </c>
      <c r="D36" s="123" t="e">
        <f>E6*(2*(E9)+E8)*(E13^0.5)*(0.453+0.4425*(E14)-0.2862*(E13)-0.003467*(E8/E9)+0.396*(D24))+0</f>
        <v>#REF!</v>
      </c>
      <c r="H36" s="125"/>
    </row>
    <row r="37" spans="2:11" x14ac:dyDescent="0.3">
      <c r="B37" s="143"/>
      <c r="C37" s="144"/>
      <c r="H37" s="125"/>
    </row>
    <row r="38" spans="2:11" x14ac:dyDescent="0.3">
      <c r="B38" s="147">
        <v>5</v>
      </c>
      <c r="C38" s="120" t="s">
        <v>348</v>
      </c>
      <c r="D38" s="138"/>
      <c r="E38" s="138"/>
      <c r="F38" s="138"/>
      <c r="G38" s="138"/>
      <c r="H38" s="138"/>
      <c r="I38" s="138"/>
      <c r="J38" s="138"/>
      <c r="K38" s="118"/>
    </row>
    <row r="39" spans="2:11" x14ac:dyDescent="0.3">
      <c r="B39" s="151" t="s">
        <v>174</v>
      </c>
      <c r="C39" s="152" t="s">
        <v>349</v>
      </c>
      <c r="K39" s="125"/>
    </row>
    <row r="40" spans="2:11" x14ac:dyDescent="0.3">
      <c r="B40" s="143"/>
      <c r="C40" s="144" t="s">
        <v>144</v>
      </c>
      <c r="D40" s="145" t="s">
        <v>350</v>
      </c>
      <c r="K40" s="125"/>
    </row>
    <row r="41" spans="2:11" x14ac:dyDescent="0.3">
      <c r="B41" s="143"/>
      <c r="C41" s="144" t="s">
        <v>10</v>
      </c>
      <c r="D41" s="123" t="e">
        <f>(J5*E6)/(0.8847*10^-6)</f>
        <v>#REF!</v>
      </c>
      <c r="K41" s="125"/>
    </row>
    <row r="42" spans="2:11" x14ac:dyDescent="0.3">
      <c r="B42" s="143"/>
      <c r="K42" s="125"/>
    </row>
    <row r="43" spans="2:11" x14ac:dyDescent="0.3">
      <c r="B43" s="151" t="s">
        <v>175</v>
      </c>
      <c r="C43" s="152" t="s">
        <v>351</v>
      </c>
      <c r="K43" s="125"/>
    </row>
    <row r="44" spans="2:11" ht="17.399999999999999" x14ac:dyDescent="0.3">
      <c r="B44" s="143"/>
      <c r="C44" s="144" t="s">
        <v>352</v>
      </c>
      <c r="D44" s="145" t="s">
        <v>353</v>
      </c>
      <c r="G44" s="153" t="s">
        <v>354</v>
      </c>
      <c r="H44" s="154" t="s">
        <v>355</v>
      </c>
      <c r="I44" s="154"/>
      <c r="J44" s="155"/>
      <c r="K44" s="125"/>
    </row>
    <row r="45" spans="2:11" x14ac:dyDescent="0.3">
      <c r="B45" s="143"/>
      <c r="C45" s="144" t="s">
        <v>10</v>
      </c>
      <c r="D45" s="123" t="e">
        <f>E6*(1-E15+0.06*E15*E16/(4*E15-1))</f>
        <v>#REF!</v>
      </c>
      <c r="G45" s="153" t="s">
        <v>354</v>
      </c>
      <c r="H45" s="154" t="s">
        <v>356</v>
      </c>
      <c r="I45" s="154"/>
      <c r="J45" s="155"/>
      <c r="K45" s="125"/>
    </row>
    <row r="46" spans="2:11" ht="17.399999999999999" x14ac:dyDescent="0.3">
      <c r="B46" s="143"/>
      <c r="C46" s="144"/>
      <c r="D46" s="123"/>
      <c r="G46" s="153" t="s">
        <v>354</v>
      </c>
      <c r="H46" s="156">
        <f>0.8847*10^-6</f>
        <v>8.8469999999999997E-7</v>
      </c>
      <c r="I46" s="154" t="s">
        <v>357</v>
      </c>
      <c r="J46" s="155"/>
      <c r="K46" s="125"/>
    </row>
    <row r="47" spans="2:11" x14ac:dyDescent="0.3">
      <c r="B47" s="151" t="s">
        <v>358</v>
      </c>
      <c r="C47" s="157" t="s">
        <v>359</v>
      </c>
      <c r="D47" s="123"/>
      <c r="G47" s="153"/>
      <c r="H47" s="156"/>
      <c r="I47" s="154"/>
      <c r="J47" s="155"/>
      <c r="K47" s="125"/>
    </row>
    <row r="48" spans="2:11" ht="18" x14ac:dyDescent="0.4">
      <c r="B48" s="143"/>
      <c r="C48" s="153" t="s">
        <v>360</v>
      </c>
      <c r="D48" s="154" t="s">
        <v>361</v>
      </c>
      <c r="E48" s="155"/>
      <c r="G48" s="153"/>
      <c r="H48" s="156"/>
      <c r="I48" s="154"/>
      <c r="J48" s="155"/>
      <c r="K48" s="125"/>
    </row>
    <row r="49" spans="2:11" x14ac:dyDescent="0.3">
      <c r="B49" s="143"/>
      <c r="C49" s="153" t="s">
        <v>10</v>
      </c>
      <c r="D49" s="158" t="e">
        <f>0.075/(LOG(D41)-2)^2</f>
        <v>#REF!</v>
      </c>
      <c r="E49" s="155"/>
      <c r="G49" s="153"/>
      <c r="H49" s="156"/>
      <c r="I49" s="154"/>
      <c r="J49" s="155"/>
      <c r="K49" s="125"/>
    </row>
    <row r="50" spans="2:11" x14ac:dyDescent="0.3">
      <c r="B50" s="143"/>
      <c r="C50" s="155"/>
      <c r="E50" s="155"/>
      <c r="G50" s="153"/>
      <c r="H50" s="156"/>
      <c r="I50" s="154"/>
      <c r="J50" s="155"/>
      <c r="K50" s="125"/>
    </row>
    <row r="51" spans="2:11" x14ac:dyDescent="0.3">
      <c r="B51" s="143"/>
      <c r="K51" s="125"/>
    </row>
    <row r="52" spans="2:11" x14ac:dyDescent="0.3">
      <c r="B52" s="151" t="s">
        <v>362</v>
      </c>
      <c r="C52" s="152" t="s">
        <v>363</v>
      </c>
      <c r="K52" s="125"/>
    </row>
    <row r="53" spans="2:11" x14ac:dyDescent="0.3">
      <c r="B53" s="143"/>
      <c r="K53" s="125"/>
    </row>
    <row r="54" spans="2:11" x14ac:dyDescent="0.3">
      <c r="B54" s="143"/>
      <c r="C54" s="159" t="s">
        <v>364</v>
      </c>
      <c r="D54" s="1256" t="s">
        <v>365</v>
      </c>
      <c r="E54" s="1256"/>
      <c r="F54" s="1256"/>
      <c r="K54" s="125"/>
    </row>
    <row r="55" spans="2:11" x14ac:dyDescent="0.3">
      <c r="B55" s="143"/>
      <c r="C55" s="126">
        <v>-25</v>
      </c>
      <c r="D55" s="1257" t="s">
        <v>366</v>
      </c>
      <c r="E55" s="1257"/>
      <c r="F55" s="1257"/>
      <c r="K55" s="125"/>
    </row>
    <row r="56" spans="2:11" x14ac:dyDescent="0.3">
      <c r="B56" s="143"/>
      <c r="C56" s="126">
        <v>-8</v>
      </c>
      <c r="D56" s="1257" t="s">
        <v>367</v>
      </c>
      <c r="E56" s="1257"/>
      <c r="F56" s="1257"/>
      <c r="K56" s="125"/>
    </row>
    <row r="57" spans="2:11" x14ac:dyDescent="0.3">
      <c r="B57" s="143"/>
      <c r="C57" s="126">
        <v>0</v>
      </c>
      <c r="D57" s="1257" t="s">
        <v>368</v>
      </c>
      <c r="E57" s="1257"/>
      <c r="F57" s="1257"/>
      <c r="K57" s="125"/>
    </row>
    <row r="58" spans="2:11" x14ac:dyDescent="0.3">
      <c r="B58" s="143"/>
      <c r="C58" s="134">
        <v>10</v>
      </c>
      <c r="D58" s="1258" t="s">
        <v>369</v>
      </c>
      <c r="E58" s="1258"/>
      <c r="F58" s="1258"/>
      <c r="K58" s="125"/>
    </row>
    <row r="59" spans="2:11" x14ac:dyDescent="0.3">
      <c r="B59" s="143"/>
      <c r="D59" s="123"/>
      <c r="E59" s="123"/>
      <c r="F59" s="123"/>
      <c r="K59" s="125"/>
    </row>
    <row r="60" spans="2:11" x14ac:dyDescent="0.3">
      <c r="B60" s="151" t="s">
        <v>370</v>
      </c>
      <c r="C60" s="152" t="s">
        <v>371</v>
      </c>
      <c r="D60" s="123"/>
      <c r="E60" s="123"/>
      <c r="F60" s="123"/>
      <c r="K60" s="125"/>
    </row>
    <row r="61" spans="2:11" x14ac:dyDescent="0.3">
      <c r="B61" s="143"/>
      <c r="K61" s="125"/>
    </row>
    <row r="62" spans="2:11" x14ac:dyDescent="0.3">
      <c r="B62" s="143"/>
      <c r="K62" s="125"/>
    </row>
    <row r="63" spans="2:11" x14ac:dyDescent="0.3">
      <c r="B63" s="143"/>
      <c r="K63" s="125"/>
    </row>
    <row r="64" spans="2:11" x14ac:dyDescent="0.3">
      <c r="B64" s="143"/>
      <c r="K64" s="125"/>
    </row>
    <row r="65" spans="2:11" x14ac:dyDescent="0.3">
      <c r="B65" s="143"/>
      <c r="K65" s="125"/>
    </row>
    <row r="66" spans="2:11" x14ac:dyDescent="0.3">
      <c r="B66" s="143"/>
      <c r="K66" s="125"/>
    </row>
    <row r="67" spans="2:11" x14ac:dyDescent="0.3">
      <c r="B67" s="143"/>
      <c r="K67" s="125"/>
    </row>
    <row r="68" spans="2:11" x14ac:dyDescent="0.3">
      <c r="B68" s="143"/>
      <c r="K68" s="125"/>
    </row>
    <row r="69" spans="2:11" x14ac:dyDescent="0.3">
      <c r="B69" s="143"/>
      <c r="K69" s="125"/>
    </row>
    <row r="70" spans="2:11" x14ac:dyDescent="0.3">
      <c r="B70" s="143"/>
      <c r="K70" s="125"/>
    </row>
    <row r="71" spans="2:11" x14ac:dyDescent="0.3">
      <c r="B71" s="143"/>
      <c r="K71" s="125"/>
    </row>
    <row r="72" spans="2:11" x14ac:dyDescent="0.3">
      <c r="B72" s="143"/>
      <c r="K72" s="125"/>
    </row>
    <row r="73" spans="2:11" x14ac:dyDescent="0.3">
      <c r="B73" s="143"/>
      <c r="K73" s="125"/>
    </row>
    <row r="74" spans="2:11" x14ac:dyDescent="0.3">
      <c r="B74" s="143"/>
      <c r="K74" s="125"/>
    </row>
    <row r="75" spans="2:11" x14ac:dyDescent="0.3">
      <c r="B75" s="143"/>
      <c r="K75" s="125"/>
    </row>
    <row r="76" spans="2:11" ht="15.75" customHeight="1" x14ac:dyDescent="0.3">
      <c r="B76" s="143"/>
      <c r="C76" s="1259" t="s">
        <v>372</v>
      </c>
      <c r="D76" s="1259"/>
      <c r="E76" s="1259"/>
      <c r="K76" s="125"/>
    </row>
    <row r="77" spans="2:11" ht="15.75" customHeight="1" x14ac:dyDescent="0.3">
      <c r="B77" s="143"/>
      <c r="C77" s="124"/>
      <c r="D77" s="124"/>
      <c r="E77" s="124"/>
      <c r="K77" s="125"/>
    </row>
    <row r="78" spans="2:11" ht="15.75" customHeight="1" x14ac:dyDescent="0.3">
      <c r="B78" s="143"/>
      <c r="C78" s="124" t="s">
        <v>373</v>
      </c>
      <c r="D78" s="160" t="s">
        <v>374</v>
      </c>
      <c r="E78" s="124"/>
      <c r="K78" s="125"/>
    </row>
    <row r="79" spans="2:11" ht="15.75" customHeight="1" x14ac:dyDescent="0.3">
      <c r="B79" s="143"/>
      <c r="C79" s="124" t="s">
        <v>10</v>
      </c>
      <c r="D79" s="123">
        <f>1+0.011*8</f>
        <v>1.0880000000000001</v>
      </c>
      <c r="E79" s="124"/>
      <c r="K79" s="125"/>
    </row>
    <row r="80" spans="2:11" ht="15.75" customHeight="1" x14ac:dyDescent="0.3">
      <c r="B80" s="143"/>
      <c r="D80" s="123"/>
      <c r="E80" s="124"/>
      <c r="K80" s="125"/>
    </row>
    <row r="81" spans="2:11" ht="15.75" customHeight="1" x14ac:dyDescent="0.3">
      <c r="B81" s="151" t="s">
        <v>375</v>
      </c>
      <c r="C81" s="157" t="s">
        <v>376</v>
      </c>
      <c r="D81" s="123"/>
      <c r="E81" s="124"/>
      <c r="K81" s="125"/>
    </row>
    <row r="82" spans="2:11" ht="15.75" customHeight="1" x14ac:dyDescent="0.3">
      <c r="B82" s="143"/>
      <c r="C82" s="124" t="s">
        <v>377</v>
      </c>
      <c r="D82" s="160" t="s">
        <v>378</v>
      </c>
      <c r="E82" s="124"/>
      <c r="K82" s="125"/>
    </row>
    <row r="83" spans="2:11" ht="15.75" customHeight="1" x14ac:dyDescent="0.3">
      <c r="B83" s="143"/>
      <c r="C83" s="124" t="s">
        <v>10</v>
      </c>
      <c r="D83" s="123" t="e">
        <f>0.93+(0.487118*D79*((E8/E6)^1.06806))*(E9/E6)^0.46106*(E6/D45)^0.121563*(E6^3/D28)^0.36486*(1-E15)^(-0.604248)</f>
        <v>#REF!</v>
      </c>
      <c r="E83" s="124"/>
      <c r="K83" s="125"/>
    </row>
    <row r="84" spans="2:11" ht="15.75" customHeight="1" x14ac:dyDescent="0.3">
      <c r="B84" s="143"/>
      <c r="C84" s="124"/>
      <c r="D84" s="123"/>
      <c r="E84" s="124"/>
      <c r="K84" s="125"/>
    </row>
    <row r="85" spans="2:11" ht="15.75" customHeight="1" x14ac:dyDescent="0.3">
      <c r="B85" s="151" t="s">
        <v>379</v>
      </c>
      <c r="C85" s="157" t="s">
        <v>380</v>
      </c>
      <c r="D85" s="123"/>
      <c r="E85" s="124"/>
      <c r="K85" s="125"/>
    </row>
    <row r="86" spans="2:11" ht="15.75" customHeight="1" x14ac:dyDescent="0.3">
      <c r="B86" s="143"/>
      <c r="C86" s="124" t="s">
        <v>381</v>
      </c>
      <c r="D86" s="160" t="s">
        <v>382</v>
      </c>
      <c r="E86" s="124"/>
      <c r="K86" s="125"/>
    </row>
    <row r="87" spans="2:11" ht="15.75" customHeight="1" x14ac:dyDescent="0.3">
      <c r="B87" s="143"/>
      <c r="C87" s="124" t="s">
        <v>10</v>
      </c>
      <c r="D87" s="123" t="e">
        <f>0.5*(J9*D49*D83*D36*(J5^2))</f>
        <v>#REF!</v>
      </c>
      <c r="E87" s="124"/>
      <c r="K87" s="125"/>
    </row>
    <row r="88" spans="2:11" ht="15.75" customHeight="1" x14ac:dyDescent="0.3">
      <c r="B88" s="148"/>
      <c r="C88" s="161"/>
      <c r="D88" s="161"/>
      <c r="E88" s="161"/>
      <c r="F88" s="135"/>
      <c r="G88" s="135"/>
      <c r="H88" s="135"/>
      <c r="I88" s="135"/>
      <c r="J88" s="135"/>
      <c r="K88" s="136"/>
    </row>
    <row r="89" spans="2:11" ht="15.75" customHeight="1" x14ac:dyDescent="0.3">
      <c r="B89" s="147">
        <v>6</v>
      </c>
      <c r="C89" s="162" t="s">
        <v>383</v>
      </c>
      <c r="D89" s="117"/>
      <c r="E89" s="117"/>
      <c r="F89" s="120"/>
      <c r="G89" s="120"/>
      <c r="H89" s="121"/>
    </row>
    <row r="90" spans="2:11" ht="15.75" customHeight="1" x14ac:dyDescent="0.4">
      <c r="B90" s="143"/>
      <c r="C90" s="163" t="s">
        <v>384</v>
      </c>
      <c r="D90" s="164" t="s">
        <v>385</v>
      </c>
      <c r="H90" s="125"/>
    </row>
    <row r="91" spans="2:11" ht="15.75" customHeight="1" x14ac:dyDescent="0.3">
      <c r="B91" s="143"/>
      <c r="C91" s="123"/>
      <c r="D91" s="124"/>
      <c r="E91" s="124"/>
      <c r="H91" s="125"/>
    </row>
    <row r="92" spans="2:11" ht="15.75" customHeight="1" x14ac:dyDescent="0.3">
      <c r="B92" s="143"/>
      <c r="C92" s="1260" t="s">
        <v>386</v>
      </c>
      <c r="D92" s="1260"/>
      <c r="E92" s="1260"/>
      <c r="H92" s="125"/>
    </row>
    <row r="93" spans="2:11" ht="15.75" customHeight="1" x14ac:dyDescent="0.3">
      <c r="B93" s="143"/>
      <c r="C93" s="165" t="s">
        <v>387</v>
      </c>
      <c r="D93" s="1257" t="s">
        <v>388</v>
      </c>
      <c r="E93" s="1257"/>
      <c r="H93" s="125"/>
    </row>
    <row r="94" spans="2:11" ht="15.75" customHeight="1" x14ac:dyDescent="0.3">
      <c r="B94" s="143"/>
      <c r="C94" s="165" t="s">
        <v>389</v>
      </c>
      <c r="D94" s="1257" t="s">
        <v>390</v>
      </c>
      <c r="E94" s="1257"/>
      <c r="H94" s="125"/>
    </row>
    <row r="95" spans="2:11" ht="15.75" customHeight="1" x14ac:dyDescent="0.3">
      <c r="B95" s="143"/>
      <c r="C95" s="165" t="s">
        <v>391</v>
      </c>
      <c r="D95" s="1257" t="s">
        <v>392</v>
      </c>
      <c r="E95" s="1257"/>
      <c r="H95" s="125"/>
    </row>
    <row r="96" spans="2:11" ht="15.75" customHeight="1" x14ac:dyDescent="0.3">
      <c r="B96" s="143"/>
      <c r="C96" s="165">
        <v>3</v>
      </c>
      <c r="D96" s="1257" t="s">
        <v>393</v>
      </c>
      <c r="E96" s="1257"/>
      <c r="H96" s="125"/>
    </row>
    <row r="97" spans="2:8" ht="15.75" customHeight="1" x14ac:dyDescent="0.3">
      <c r="B97" s="143"/>
      <c r="C97" s="165" t="s">
        <v>394</v>
      </c>
      <c r="D97" s="1257" t="s">
        <v>395</v>
      </c>
      <c r="E97" s="1257"/>
      <c r="H97" s="125"/>
    </row>
    <row r="98" spans="2:8" ht="15.75" customHeight="1" x14ac:dyDescent="0.3">
      <c r="B98" s="143"/>
      <c r="C98" s="165">
        <v>3</v>
      </c>
      <c r="D98" s="1257" t="s">
        <v>396</v>
      </c>
      <c r="E98" s="1257"/>
      <c r="H98" s="125"/>
    </row>
    <row r="99" spans="2:8" ht="15.75" customHeight="1" x14ac:dyDescent="0.3">
      <c r="B99" s="143"/>
      <c r="C99" s="165">
        <v>2</v>
      </c>
      <c r="D99" s="1257" t="s">
        <v>397</v>
      </c>
      <c r="E99" s="1257"/>
      <c r="H99" s="125"/>
    </row>
    <row r="100" spans="2:8" ht="15.75" customHeight="1" x14ac:dyDescent="0.3">
      <c r="B100" s="143"/>
      <c r="C100" s="165" t="s">
        <v>398</v>
      </c>
      <c r="D100" s="1257" t="s">
        <v>399</v>
      </c>
      <c r="E100" s="1257"/>
      <c r="H100" s="125"/>
    </row>
    <row r="101" spans="2:8" ht="15.75" customHeight="1" x14ac:dyDescent="0.3">
      <c r="B101" s="143"/>
      <c r="C101" s="165" t="s">
        <v>391</v>
      </c>
      <c r="D101" s="1257" t="s">
        <v>400</v>
      </c>
      <c r="E101" s="1257"/>
      <c r="H101" s="125"/>
    </row>
    <row r="102" spans="2:8" x14ac:dyDescent="0.3">
      <c r="B102" s="143"/>
      <c r="C102" s="165" t="s">
        <v>401</v>
      </c>
      <c r="D102" s="1257" t="s">
        <v>402</v>
      </c>
      <c r="E102" s="1257"/>
      <c r="H102" s="125"/>
    </row>
    <row r="103" spans="2:8" ht="15.75" customHeight="1" x14ac:dyDescent="0.3">
      <c r="B103" s="143"/>
      <c r="C103" s="166" t="s">
        <v>403</v>
      </c>
      <c r="D103" s="1258" t="s">
        <v>404</v>
      </c>
      <c r="E103" s="1258"/>
      <c r="H103" s="125"/>
    </row>
    <row r="104" spans="2:8" x14ac:dyDescent="0.3">
      <c r="B104" s="143"/>
      <c r="H104" s="125"/>
    </row>
    <row r="105" spans="2:8" ht="18" x14ac:dyDescent="0.4">
      <c r="B105" s="151" t="s">
        <v>174</v>
      </c>
      <c r="C105" s="167" t="s">
        <v>405</v>
      </c>
      <c r="D105" s="155"/>
      <c r="E105" s="155"/>
      <c r="F105" s="155"/>
      <c r="G105" s="155"/>
      <c r="H105" s="168"/>
    </row>
    <row r="106" spans="2:8" x14ac:dyDescent="0.3">
      <c r="B106" s="143"/>
      <c r="C106" s="153" t="s">
        <v>406</v>
      </c>
      <c r="D106" s="169" t="s">
        <v>407</v>
      </c>
      <c r="E106" s="154"/>
      <c r="H106" s="125"/>
    </row>
    <row r="107" spans="2:8" x14ac:dyDescent="0.3">
      <c r="B107" s="143"/>
      <c r="C107" s="153" t="s">
        <v>10</v>
      </c>
      <c r="D107" s="170">
        <f>1.5*(22/7)*(D110^2)</f>
        <v>6.7168032623999974</v>
      </c>
      <c r="E107" s="171" t="s">
        <v>408</v>
      </c>
      <c r="H107" s="125"/>
    </row>
    <row r="108" spans="2:8" x14ac:dyDescent="0.3">
      <c r="B108" s="143"/>
      <c r="D108" s="131"/>
      <c r="H108" s="125"/>
    </row>
    <row r="109" spans="2:8" x14ac:dyDescent="0.3">
      <c r="B109" s="143"/>
      <c r="C109" s="153" t="s">
        <v>409</v>
      </c>
      <c r="D109" s="169" t="s">
        <v>410</v>
      </c>
      <c r="E109" s="155"/>
      <c r="H109" s="125"/>
    </row>
    <row r="110" spans="2:8" x14ac:dyDescent="0.3">
      <c r="B110" s="143"/>
      <c r="C110" s="153" t="s">
        <v>10</v>
      </c>
      <c r="D110" s="169">
        <f>0.12*E9</f>
        <v>1.1936399999999998</v>
      </c>
      <c r="E110" s="155" t="s">
        <v>11</v>
      </c>
      <c r="H110" s="125"/>
    </row>
    <row r="111" spans="2:8" x14ac:dyDescent="0.3">
      <c r="B111" s="143"/>
      <c r="H111" s="125"/>
    </row>
    <row r="112" spans="2:8" ht="18" x14ac:dyDescent="0.4">
      <c r="B112" s="143"/>
      <c r="C112" s="172" t="s">
        <v>411</v>
      </c>
      <c r="D112" s="173" t="s">
        <v>412</v>
      </c>
      <c r="E112" s="155"/>
      <c r="F112" s="155"/>
      <c r="G112" s="155"/>
      <c r="H112" s="168"/>
    </row>
    <row r="113" spans="2:8" x14ac:dyDescent="0.3">
      <c r="B113" s="143"/>
      <c r="C113" s="172" t="s">
        <v>10</v>
      </c>
      <c r="D113" s="154" t="s">
        <v>413</v>
      </c>
      <c r="E113" s="154"/>
      <c r="F113" s="154"/>
      <c r="G113" s="155"/>
      <c r="H113" s="168"/>
    </row>
    <row r="114" spans="2:8" x14ac:dyDescent="0.3">
      <c r="B114" s="143"/>
      <c r="C114" s="172" t="s">
        <v>10</v>
      </c>
      <c r="D114" s="173" t="s">
        <v>414</v>
      </c>
      <c r="E114" s="173"/>
      <c r="F114" s="173"/>
      <c r="G114" s="155"/>
      <c r="H114" s="168"/>
    </row>
    <row r="115" spans="2:8" x14ac:dyDescent="0.3">
      <c r="B115" s="143"/>
      <c r="C115" s="172" t="s">
        <v>10</v>
      </c>
      <c r="D115" s="173" t="s">
        <v>415</v>
      </c>
      <c r="E115" s="173"/>
      <c r="F115" s="173"/>
      <c r="G115" s="155"/>
      <c r="H115" s="168"/>
    </row>
    <row r="116" spans="2:8" ht="18" x14ac:dyDescent="0.4">
      <c r="B116" s="143"/>
      <c r="C116" s="172" t="s">
        <v>416</v>
      </c>
      <c r="D116" s="173" t="s">
        <v>417</v>
      </c>
      <c r="E116" s="173"/>
      <c r="F116" s="173"/>
      <c r="G116" s="155"/>
      <c r="H116" s="168"/>
    </row>
    <row r="117" spans="2:8" x14ac:dyDescent="0.3">
      <c r="B117" s="143"/>
      <c r="C117" s="172" t="s">
        <v>10</v>
      </c>
      <c r="D117" s="173" t="s">
        <v>413</v>
      </c>
      <c r="E117" s="173"/>
      <c r="F117" s="173"/>
      <c r="G117" s="155"/>
      <c r="H117" s="168"/>
    </row>
    <row r="118" spans="2:8" x14ac:dyDescent="0.3">
      <c r="B118" s="143"/>
      <c r="C118" s="172" t="s">
        <v>10</v>
      </c>
      <c r="D118" s="173" t="s">
        <v>418</v>
      </c>
      <c r="E118" s="173"/>
      <c r="F118" s="173"/>
      <c r="G118" s="155"/>
      <c r="H118" s="168"/>
    </row>
    <row r="119" spans="2:8" x14ac:dyDescent="0.3">
      <c r="B119" s="143"/>
      <c r="C119" s="172" t="s">
        <v>10</v>
      </c>
      <c r="D119" s="173" t="s">
        <v>419</v>
      </c>
      <c r="E119" s="173"/>
      <c r="F119" s="173"/>
      <c r="G119" s="155"/>
      <c r="H119" s="168"/>
    </row>
    <row r="120" spans="2:8" x14ac:dyDescent="0.3">
      <c r="B120" s="143"/>
      <c r="C120" s="172" t="s">
        <v>10</v>
      </c>
      <c r="D120" s="173" t="s">
        <v>420</v>
      </c>
      <c r="E120" s="155"/>
      <c r="F120" s="155"/>
      <c r="G120" s="155"/>
      <c r="H120" s="168"/>
    </row>
    <row r="121" spans="2:8" ht="18" x14ac:dyDescent="0.4">
      <c r="B121" s="143"/>
      <c r="C121" s="172" t="s">
        <v>421</v>
      </c>
      <c r="D121" s="173" t="s">
        <v>422</v>
      </c>
      <c r="E121" s="173"/>
      <c r="F121" s="173"/>
      <c r="G121" s="173"/>
      <c r="H121" s="168"/>
    </row>
    <row r="122" spans="2:8" x14ac:dyDescent="0.3">
      <c r="B122" s="143"/>
      <c r="C122" s="172" t="s">
        <v>10</v>
      </c>
      <c r="D122" s="173" t="s">
        <v>423</v>
      </c>
      <c r="E122" s="173"/>
      <c r="F122" s="173"/>
      <c r="G122" s="173"/>
      <c r="H122" s="168"/>
    </row>
    <row r="123" spans="2:8" x14ac:dyDescent="0.3">
      <c r="B123" s="143"/>
      <c r="C123" s="172" t="s">
        <v>10</v>
      </c>
      <c r="D123" s="173" t="s">
        <v>424</v>
      </c>
      <c r="E123" s="173"/>
      <c r="F123" s="173"/>
      <c r="G123" s="173"/>
      <c r="H123" s="168"/>
    </row>
    <row r="124" spans="2:8" ht="18" x14ac:dyDescent="0.4">
      <c r="B124" s="143"/>
      <c r="C124" s="172" t="s">
        <v>425</v>
      </c>
      <c r="D124" s="173" t="s">
        <v>426</v>
      </c>
      <c r="E124" s="173"/>
      <c r="F124" s="173"/>
      <c r="G124" s="173"/>
      <c r="H124" s="168"/>
    </row>
    <row r="125" spans="2:8" x14ac:dyDescent="0.3">
      <c r="B125" s="143"/>
      <c r="C125" s="172" t="s">
        <v>10</v>
      </c>
      <c r="D125" s="173" t="s">
        <v>427</v>
      </c>
      <c r="E125" s="173"/>
      <c r="F125" s="173"/>
      <c r="G125" s="173"/>
      <c r="H125" s="168"/>
    </row>
    <row r="126" spans="2:8" x14ac:dyDescent="0.3">
      <c r="B126" s="143"/>
      <c r="C126" s="172" t="s">
        <v>10</v>
      </c>
      <c r="D126" s="173" t="s">
        <v>428</v>
      </c>
      <c r="E126" s="173"/>
      <c r="F126" s="173"/>
      <c r="G126" s="173"/>
      <c r="H126" s="168"/>
    </row>
    <row r="127" spans="2:8" x14ac:dyDescent="0.3">
      <c r="B127" s="143"/>
      <c r="C127" s="172"/>
      <c r="D127" s="173"/>
      <c r="E127" s="173"/>
      <c r="F127" s="173"/>
      <c r="G127" s="173"/>
      <c r="H127" s="168"/>
    </row>
    <row r="128" spans="2:8" ht="18" x14ac:dyDescent="0.4">
      <c r="B128" s="143"/>
      <c r="C128" s="154" t="s">
        <v>429</v>
      </c>
      <c r="D128" s="172" t="s">
        <v>411</v>
      </c>
      <c r="E128" s="174">
        <v>1</v>
      </c>
      <c r="F128" s="155" t="s">
        <v>430</v>
      </c>
      <c r="G128" s="155"/>
      <c r="H128" s="168"/>
    </row>
    <row r="129" spans="2:8" ht="18" x14ac:dyDescent="0.4">
      <c r="B129" s="143"/>
      <c r="C129" s="155"/>
      <c r="D129" s="172" t="s">
        <v>416</v>
      </c>
      <c r="E129" s="174">
        <v>1</v>
      </c>
      <c r="F129" s="155" t="s">
        <v>431</v>
      </c>
      <c r="G129" s="155"/>
      <c r="H129" s="168"/>
    </row>
    <row r="130" spans="2:8" ht="18" x14ac:dyDescent="0.4">
      <c r="B130" s="143"/>
      <c r="C130" s="155"/>
      <c r="D130" s="172" t="s">
        <v>421</v>
      </c>
      <c r="E130" s="174">
        <v>1</v>
      </c>
      <c r="F130" s="155" t="s">
        <v>432</v>
      </c>
      <c r="G130" s="155"/>
      <c r="H130" s="168"/>
    </row>
    <row r="131" spans="2:8" ht="18" x14ac:dyDescent="0.4">
      <c r="B131" s="143"/>
      <c r="C131" s="155"/>
      <c r="D131" s="172" t="s">
        <v>425</v>
      </c>
      <c r="E131" s="174">
        <v>1</v>
      </c>
      <c r="F131" s="155" t="s">
        <v>433</v>
      </c>
      <c r="G131" s="155"/>
      <c r="H131" s="168"/>
    </row>
    <row r="132" spans="2:8" x14ac:dyDescent="0.3">
      <c r="B132" s="143"/>
      <c r="F132" s="173"/>
      <c r="G132" s="173"/>
      <c r="H132" s="168"/>
    </row>
    <row r="133" spans="2:8" x14ac:dyDescent="0.3">
      <c r="B133" s="143"/>
      <c r="C133" s="153" t="s">
        <v>434</v>
      </c>
      <c r="D133" s="145" t="s">
        <v>435</v>
      </c>
      <c r="F133" s="173"/>
      <c r="G133" s="173"/>
      <c r="H133" s="168"/>
    </row>
    <row r="134" spans="2:8" x14ac:dyDescent="0.3">
      <c r="B134" s="143"/>
      <c r="C134" s="144" t="s">
        <v>10</v>
      </c>
      <c r="D134" s="123" t="e">
        <f>0.9*1*1*1*(1.75*E6*E9/100)</f>
        <v>#REF!</v>
      </c>
      <c r="F134" s="173"/>
      <c r="G134" s="173"/>
      <c r="H134" s="168"/>
    </row>
    <row r="135" spans="2:8" x14ac:dyDescent="0.3">
      <c r="B135" s="143"/>
      <c r="C135" s="172"/>
      <c r="D135" s="175"/>
      <c r="E135" s="173"/>
      <c r="F135" s="173"/>
      <c r="G135" s="173"/>
      <c r="H135" s="168"/>
    </row>
    <row r="136" spans="2:8" x14ac:dyDescent="0.3">
      <c r="B136" s="143"/>
      <c r="C136" s="172" t="s">
        <v>436</v>
      </c>
      <c r="D136" s="175" t="s">
        <v>437</v>
      </c>
      <c r="E136" s="173"/>
      <c r="F136" s="173"/>
      <c r="G136" s="173"/>
      <c r="H136" s="168"/>
    </row>
    <row r="137" spans="2:8" x14ac:dyDescent="0.3">
      <c r="B137" s="143"/>
      <c r="C137" s="172" t="s">
        <v>10</v>
      </c>
      <c r="D137" s="176" t="e">
        <f>D107+D134</f>
        <v>#REF!</v>
      </c>
      <c r="E137" s="173"/>
      <c r="F137" s="173"/>
      <c r="G137" s="173"/>
      <c r="H137" s="168"/>
    </row>
    <row r="138" spans="2:8" x14ac:dyDescent="0.3">
      <c r="B138" s="143"/>
      <c r="F138" s="173"/>
      <c r="G138" s="173"/>
      <c r="H138" s="168"/>
    </row>
    <row r="139" spans="2:8" ht="15" customHeight="1" x14ac:dyDescent="0.3">
      <c r="B139" s="143"/>
      <c r="C139" s="1261" t="s">
        <v>438</v>
      </c>
      <c r="D139" s="1261"/>
      <c r="E139" s="177" t="s">
        <v>439</v>
      </c>
      <c r="F139" s="1262" t="s">
        <v>440</v>
      </c>
      <c r="G139" s="1263" t="s">
        <v>441</v>
      </c>
      <c r="H139" s="168"/>
    </row>
    <row r="140" spans="2:8" x14ac:dyDescent="0.3">
      <c r="B140" s="143"/>
      <c r="C140" s="1261"/>
      <c r="D140" s="1261"/>
      <c r="E140" s="178" t="s">
        <v>442</v>
      </c>
      <c r="F140" s="1262"/>
      <c r="G140" s="1263"/>
      <c r="H140" s="168"/>
    </row>
    <row r="141" spans="2:8" x14ac:dyDescent="0.3">
      <c r="B141" s="143"/>
      <c r="C141" s="1264" t="s">
        <v>443</v>
      </c>
      <c r="D141" s="1264"/>
      <c r="E141" s="179" t="e">
        <f>D134</f>
        <v>#REF!</v>
      </c>
      <c r="F141" s="179">
        <v>1.5</v>
      </c>
      <c r="G141" s="180" t="e">
        <f>(E141*F141)</f>
        <v>#REF!</v>
      </c>
      <c r="H141" s="168"/>
    </row>
    <row r="142" spans="2:8" x14ac:dyDescent="0.3">
      <c r="B142" s="143"/>
      <c r="C142" s="1265" t="s">
        <v>444</v>
      </c>
      <c r="D142" s="1265"/>
      <c r="E142" s="179">
        <f>D107</f>
        <v>6.7168032623999974</v>
      </c>
      <c r="F142" s="179">
        <v>2</v>
      </c>
      <c r="G142" s="180">
        <f>(E142*F142)</f>
        <v>13.433606524799995</v>
      </c>
      <c r="H142" s="168"/>
    </row>
    <row r="143" spans="2:8" x14ac:dyDescent="0.3">
      <c r="B143" s="143"/>
      <c r="C143" s="1266" t="s">
        <v>445</v>
      </c>
      <c r="D143" s="1266"/>
      <c r="E143" s="181" t="e">
        <f>SUM(E141:E142)</f>
        <v>#REF!</v>
      </c>
      <c r="F143" s="181">
        <f>SUM(F141:F142)</f>
        <v>3.5</v>
      </c>
      <c r="G143" s="182" t="e">
        <f>SUM(G141:G142)</f>
        <v>#REF!</v>
      </c>
      <c r="H143" s="168"/>
    </row>
    <row r="144" spans="2:8" x14ac:dyDescent="0.3">
      <c r="B144" s="143"/>
      <c r="C144" s="172"/>
      <c r="D144" s="173"/>
      <c r="E144" s="173"/>
      <c r="F144" s="173"/>
      <c r="G144" s="173"/>
      <c r="H144" s="168"/>
    </row>
    <row r="145" spans="2:9" x14ac:dyDescent="0.3">
      <c r="B145" s="143"/>
      <c r="C145" s="172" t="s">
        <v>446</v>
      </c>
      <c r="D145" s="173" t="s">
        <v>447</v>
      </c>
      <c r="E145" s="173"/>
      <c r="F145" s="173"/>
      <c r="G145" s="173"/>
      <c r="H145" s="168"/>
    </row>
    <row r="146" spans="2:9" x14ac:dyDescent="0.3">
      <c r="B146" s="143"/>
      <c r="C146" s="172" t="s">
        <v>10</v>
      </c>
      <c r="D146" s="173" t="e">
        <f>G143/E143</f>
        <v>#REF!</v>
      </c>
      <c r="E146" s="173"/>
      <c r="F146" s="173"/>
      <c r="G146" s="173"/>
      <c r="H146" s="168"/>
    </row>
    <row r="147" spans="2:9" x14ac:dyDescent="0.3">
      <c r="B147" s="143"/>
      <c r="C147" s="172"/>
      <c r="D147" s="173"/>
      <c r="E147" s="173"/>
      <c r="F147" s="173"/>
      <c r="G147" s="173"/>
      <c r="H147" s="168"/>
    </row>
    <row r="148" spans="2:9" x14ac:dyDescent="0.3">
      <c r="B148" s="143"/>
      <c r="C148" s="172" t="s">
        <v>448</v>
      </c>
      <c r="D148" s="173" t="s">
        <v>449</v>
      </c>
      <c r="E148" s="173"/>
      <c r="F148" s="173"/>
      <c r="G148" s="173"/>
      <c r="H148" s="168"/>
    </row>
    <row r="149" spans="2:9" x14ac:dyDescent="0.3">
      <c r="B149" s="143"/>
      <c r="C149" s="172" t="s">
        <v>10</v>
      </c>
      <c r="D149" s="173" t="e">
        <f>0.5*J9*(J5^2)*D134*D146*D49</f>
        <v>#REF!</v>
      </c>
      <c r="E149" s="173"/>
      <c r="F149" s="173"/>
      <c r="G149" s="173"/>
      <c r="H149" s="168"/>
    </row>
    <row r="150" spans="2:9" x14ac:dyDescent="0.3">
      <c r="B150" s="143"/>
      <c r="C150" s="172"/>
      <c r="D150" s="173"/>
      <c r="E150" s="173"/>
      <c r="F150" s="173"/>
      <c r="G150" s="173"/>
      <c r="H150" s="168"/>
    </row>
    <row r="151" spans="2:9" x14ac:dyDescent="0.3">
      <c r="B151" s="151" t="s">
        <v>370</v>
      </c>
      <c r="C151" s="183" t="s">
        <v>450</v>
      </c>
      <c r="D151" s="173"/>
      <c r="E151" s="173"/>
      <c r="F151" s="173"/>
      <c r="G151" s="173"/>
      <c r="H151" s="168"/>
    </row>
    <row r="152" spans="2:9" x14ac:dyDescent="0.3">
      <c r="B152" s="143"/>
      <c r="C152" s="144" t="s">
        <v>148</v>
      </c>
      <c r="D152" s="145" t="s">
        <v>338</v>
      </c>
      <c r="E152" s="173"/>
      <c r="F152" s="173"/>
      <c r="G152" s="173"/>
      <c r="H152" s="168"/>
    </row>
    <row r="153" spans="2:9" x14ac:dyDescent="0.3">
      <c r="B153" s="143"/>
      <c r="C153" s="144" t="s">
        <v>10</v>
      </c>
      <c r="D153" s="130" t="e">
        <f>J5/(J7*E5)^(1/2)</f>
        <v>#REF!</v>
      </c>
      <c r="E153" s="173"/>
      <c r="F153" s="173"/>
      <c r="G153" s="173"/>
      <c r="H153" s="168"/>
    </row>
    <row r="154" spans="2:9" x14ac:dyDescent="0.3">
      <c r="B154" s="143"/>
      <c r="C154" s="172"/>
      <c r="D154" s="173"/>
      <c r="E154" s="173"/>
      <c r="F154" s="173"/>
      <c r="G154" s="173"/>
      <c r="H154" s="168"/>
    </row>
    <row r="155" spans="2:9" x14ac:dyDescent="0.3">
      <c r="B155" s="143"/>
      <c r="C155" s="172" t="s">
        <v>451</v>
      </c>
      <c r="D155" s="173" t="s">
        <v>452</v>
      </c>
      <c r="E155" s="173"/>
      <c r="F155" s="173"/>
      <c r="G155" s="173"/>
      <c r="H155" s="168"/>
    </row>
    <row r="156" spans="2:9" x14ac:dyDescent="0.3">
      <c r="B156" s="143"/>
      <c r="C156" s="172" t="s">
        <v>10</v>
      </c>
      <c r="D156" s="173" t="e">
        <f>E8/E6</f>
        <v>#REF!</v>
      </c>
      <c r="E156" s="173"/>
      <c r="F156" s="173"/>
      <c r="G156" s="173"/>
      <c r="H156" s="168"/>
    </row>
    <row r="157" spans="2:9" x14ac:dyDescent="0.3">
      <c r="B157" s="143"/>
      <c r="C157" s="172"/>
      <c r="D157" s="173"/>
      <c r="E157" s="173"/>
      <c r="F157" s="173"/>
      <c r="G157" s="173"/>
      <c r="H157" s="168"/>
    </row>
    <row r="158" spans="2:9" ht="15" customHeight="1" x14ac:dyDescent="0.3">
      <c r="B158" s="143"/>
      <c r="C158" s="184" t="s">
        <v>453</v>
      </c>
      <c r="D158" s="1267" t="s">
        <v>454</v>
      </c>
      <c r="E158" s="1267"/>
      <c r="F158" s="1267"/>
      <c r="G158" s="1267"/>
      <c r="H158" s="1267"/>
      <c r="I158" s="169"/>
    </row>
    <row r="159" spans="2:9" x14ac:dyDescent="0.3">
      <c r="B159" s="143"/>
      <c r="C159" s="184"/>
      <c r="D159" s="1267"/>
      <c r="E159" s="1267"/>
      <c r="F159" s="1267"/>
      <c r="G159" s="1267"/>
      <c r="H159" s="1267"/>
      <c r="I159" s="155"/>
    </row>
    <row r="160" spans="2:9" x14ac:dyDescent="0.3">
      <c r="B160" s="143"/>
      <c r="C160" s="184" t="s">
        <v>10</v>
      </c>
      <c r="D160" s="185" t="e">
        <f>1+89*EXP(-1*((E6/E8)^0.80856)*((1-D24)^0.30484)*((1-E15-0.0225*E16)^0.6367)*((D45/E8)^0.34574)*((100*D28/E6^3)^0.16302))</f>
        <v>#REF!</v>
      </c>
      <c r="G160" s="155"/>
      <c r="H160" s="168"/>
      <c r="I160" s="155"/>
    </row>
    <row r="161" spans="2:10" x14ac:dyDescent="0.3">
      <c r="B161" s="143"/>
      <c r="C161" s="153"/>
      <c r="D161" s="155"/>
      <c r="E161" s="186"/>
      <c r="F161" s="187"/>
      <c r="G161" s="187"/>
      <c r="H161" s="188"/>
      <c r="I161" s="187"/>
    </row>
    <row r="162" spans="2:10" ht="18" x14ac:dyDescent="0.4">
      <c r="B162" s="143"/>
      <c r="C162" s="153" t="s">
        <v>455</v>
      </c>
      <c r="D162" s="189" t="s">
        <v>456</v>
      </c>
      <c r="F162" s="187"/>
      <c r="G162" s="187"/>
      <c r="H162" s="188"/>
      <c r="I162" s="187"/>
    </row>
    <row r="163" spans="2:10" x14ac:dyDescent="0.3">
      <c r="B163" s="143"/>
      <c r="C163" s="153" t="s">
        <v>10</v>
      </c>
      <c r="D163" s="185" t="e">
        <f>2223105*(D156^3.78613)*((E9/E8)^1.07961)*((90-D160)^(-1.37565))</f>
        <v>#REF!</v>
      </c>
      <c r="F163" s="155"/>
      <c r="G163" s="155"/>
      <c r="H163" s="168"/>
      <c r="I163" s="155"/>
    </row>
    <row r="164" spans="2:10" x14ac:dyDescent="0.3">
      <c r="B164" s="143"/>
      <c r="C164" s="155"/>
      <c r="F164" s="173"/>
      <c r="G164" s="173"/>
      <c r="H164" s="168"/>
    </row>
    <row r="165" spans="2:10" ht="18" x14ac:dyDescent="0.4">
      <c r="B165" s="143"/>
      <c r="C165" s="153" t="s">
        <v>457</v>
      </c>
      <c r="D165" s="155" t="s">
        <v>458</v>
      </c>
      <c r="F165" s="155"/>
      <c r="G165" s="155"/>
      <c r="H165" s="168"/>
      <c r="I165" s="155"/>
      <c r="J165" s="155"/>
    </row>
    <row r="166" spans="2:10" x14ac:dyDescent="0.3">
      <c r="B166" s="143"/>
      <c r="C166" s="153"/>
      <c r="D166" s="155"/>
      <c r="F166" s="155"/>
      <c r="G166" s="155"/>
      <c r="H166" s="168"/>
      <c r="I166" s="155"/>
      <c r="J166" s="155"/>
    </row>
    <row r="167" spans="2:10" x14ac:dyDescent="0.3">
      <c r="B167" s="143"/>
      <c r="C167" s="155"/>
      <c r="D167" s="155" t="s">
        <v>107</v>
      </c>
      <c r="E167" s="155"/>
      <c r="F167" s="155"/>
      <c r="G167" s="155"/>
      <c r="H167" s="168"/>
      <c r="I167" s="155"/>
      <c r="J167" s="155"/>
    </row>
    <row r="168" spans="2:10" x14ac:dyDescent="0.3">
      <c r="B168" s="143"/>
      <c r="C168" s="153" t="s">
        <v>459</v>
      </c>
      <c r="D168" s="190" t="s">
        <v>460</v>
      </c>
      <c r="E168" s="155"/>
      <c r="F168" s="155"/>
      <c r="G168" s="155"/>
      <c r="H168" s="168"/>
      <c r="I168" s="155"/>
      <c r="J168" s="155"/>
    </row>
    <row r="169" spans="2:10" x14ac:dyDescent="0.3">
      <c r="B169" s="143"/>
      <c r="C169" s="153" t="s">
        <v>461</v>
      </c>
      <c r="D169" s="190" t="s">
        <v>462</v>
      </c>
      <c r="E169" s="155"/>
      <c r="F169" s="155"/>
      <c r="G169" s="155"/>
      <c r="H169" s="168"/>
      <c r="I169" s="155"/>
      <c r="J169" s="155"/>
    </row>
    <row r="170" spans="2:10" x14ac:dyDescent="0.3">
      <c r="B170" s="143"/>
      <c r="C170" s="153" t="s">
        <v>463</v>
      </c>
      <c r="D170" s="190" t="s">
        <v>464</v>
      </c>
      <c r="E170" s="155"/>
      <c r="F170" s="155"/>
      <c r="G170" s="155"/>
      <c r="H170" s="168"/>
      <c r="I170" s="155"/>
      <c r="J170" s="155"/>
    </row>
    <row r="171" spans="2:10" ht="15" customHeight="1" x14ac:dyDescent="0.3">
      <c r="B171" s="143"/>
      <c r="C171" s="153" t="s">
        <v>465</v>
      </c>
      <c r="D171" s="1268" t="s">
        <v>466</v>
      </c>
      <c r="E171" s="1268"/>
      <c r="F171" s="1268"/>
      <c r="G171" s="1268"/>
      <c r="H171" s="168"/>
      <c r="I171" s="155"/>
      <c r="J171" s="155"/>
    </row>
    <row r="172" spans="2:10" x14ac:dyDescent="0.3">
      <c r="B172" s="143"/>
      <c r="D172" s="1268"/>
      <c r="E172" s="1268"/>
      <c r="F172" s="1268"/>
      <c r="G172" s="1268"/>
      <c r="H172" s="168"/>
      <c r="I172" s="155"/>
      <c r="J172" s="155"/>
    </row>
    <row r="173" spans="2:10" x14ac:dyDescent="0.3">
      <c r="B173" s="143"/>
      <c r="C173" s="155"/>
      <c r="D173" s="1268"/>
      <c r="E173" s="1268"/>
      <c r="F173" s="1268"/>
      <c r="G173" s="1268"/>
      <c r="H173" s="168"/>
      <c r="I173" s="155"/>
      <c r="J173" s="155"/>
    </row>
    <row r="174" spans="2:10" ht="18" x14ac:dyDescent="0.4">
      <c r="B174" s="143"/>
      <c r="C174" s="153" t="s">
        <v>467</v>
      </c>
      <c r="D174" s="131">
        <v>0</v>
      </c>
      <c r="H174" s="168"/>
      <c r="I174" s="155"/>
      <c r="J174" s="155"/>
    </row>
    <row r="175" spans="2:10" ht="18" x14ac:dyDescent="0.4">
      <c r="B175" s="143"/>
      <c r="C175" s="153" t="s">
        <v>468</v>
      </c>
      <c r="D175" s="154">
        <v>0</v>
      </c>
      <c r="G175" s="155"/>
      <c r="H175" s="168"/>
      <c r="I175" s="155"/>
      <c r="J175" s="155"/>
    </row>
    <row r="176" spans="2:10" x14ac:dyDescent="0.3">
      <c r="B176" s="143"/>
      <c r="C176" s="155"/>
      <c r="D176" s="155"/>
      <c r="E176" s="155"/>
      <c r="G176" s="155"/>
      <c r="H176" s="168"/>
      <c r="I176" s="155"/>
      <c r="J176" s="155"/>
    </row>
    <row r="177" spans="2:13" ht="15" customHeight="1" x14ac:dyDescent="0.4">
      <c r="B177" s="143"/>
      <c r="C177" s="192" t="s">
        <v>469</v>
      </c>
      <c r="D177" s="1269" t="s">
        <v>470</v>
      </c>
      <c r="E177" s="1269"/>
      <c r="F177" s="1269"/>
      <c r="G177" s="1269"/>
      <c r="H177" s="168"/>
      <c r="I177" s="155"/>
      <c r="J177" s="155"/>
    </row>
    <row r="178" spans="2:13" x14ac:dyDescent="0.3">
      <c r="B178" s="143"/>
      <c r="C178" s="155"/>
      <c r="D178" s="1269"/>
      <c r="E178" s="1269"/>
      <c r="F178" s="1269"/>
      <c r="G178" s="1269"/>
      <c r="H178" s="168"/>
      <c r="I178" s="155"/>
      <c r="J178" s="155"/>
    </row>
    <row r="179" spans="2:13" x14ac:dyDescent="0.3">
      <c r="B179" s="143"/>
      <c r="C179" s="155"/>
      <c r="D179" s="1269"/>
      <c r="E179" s="1269"/>
      <c r="F179" s="1269"/>
      <c r="G179" s="1269"/>
      <c r="H179" s="168"/>
      <c r="I179" s="155"/>
      <c r="J179" s="155"/>
    </row>
    <row r="180" spans="2:13" ht="18" x14ac:dyDescent="0.4">
      <c r="B180" s="143"/>
      <c r="C180" s="192" t="s">
        <v>469</v>
      </c>
      <c r="D180" s="154">
        <v>0</v>
      </c>
      <c r="E180" s="155"/>
      <c r="G180" s="155"/>
      <c r="H180" s="168"/>
      <c r="I180" s="155"/>
      <c r="J180" s="155"/>
    </row>
    <row r="181" spans="2:13" x14ac:dyDescent="0.3">
      <c r="B181" s="143"/>
      <c r="G181" s="155"/>
      <c r="H181" s="168"/>
      <c r="I181" s="155"/>
      <c r="J181" s="155"/>
    </row>
    <row r="182" spans="2:13" ht="18" x14ac:dyDescent="0.4">
      <c r="B182" s="143"/>
      <c r="C182" s="153" t="s">
        <v>471</v>
      </c>
      <c r="D182" s="155" t="s">
        <v>472</v>
      </c>
      <c r="E182" s="155"/>
      <c r="F182" s="155"/>
      <c r="G182" s="155"/>
      <c r="H182" s="168"/>
      <c r="I182" s="155"/>
      <c r="J182" s="155"/>
    </row>
    <row r="183" spans="2:13" ht="18.600000000000001" x14ac:dyDescent="0.4">
      <c r="B183" s="143"/>
      <c r="C183" s="153" t="s">
        <v>10</v>
      </c>
      <c r="D183" s="155" t="s">
        <v>473</v>
      </c>
      <c r="E183" s="155"/>
      <c r="F183" s="155"/>
      <c r="G183" s="155"/>
      <c r="H183" s="168"/>
      <c r="I183" s="155"/>
      <c r="J183" s="155"/>
    </row>
    <row r="184" spans="2:13" x14ac:dyDescent="0.3">
      <c r="B184" s="143"/>
      <c r="C184" s="153" t="s">
        <v>10</v>
      </c>
      <c r="D184" s="154">
        <v>1</v>
      </c>
      <c r="E184" s="155" t="s">
        <v>474</v>
      </c>
      <c r="G184" s="155"/>
      <c r="H184" s="168"/>
      <c r="I184" s="155"/>
      <c r="J184" s="155"/>
    </row>
    <row r="185" spans="2:13" x14ac:dyDescent="0.3">
      <c r="B185" s="143"/>
      <c r="G185" s="155"/>
      <c r="H185" s="168"/>
      <c r="I185" s="155"/>
      <c r="J185" s="155"/>
    </row>
    <row r="186" spans="2:13" ht="18" x14ac:dyDescent="0.4">
      <c r="B186" s="143"/>
      <c r="C186" s="153" t="s">
        <v>475</v>
      </c>
      <c r="D186" s="155" t="s">
        <v>476</v>
      </c>
      <c r="G186" s="155"/>
      <c r="H186" s="168"/>
      <c r="I186" s="155"/>
      <c r="J186" s="155"/>
    </row>
    <row r="187" spans="2:13" x14ac:dyDescent="0.3">
      <c r="B187" s="143"/>
      <c r="C187" s="153" t="s">
        <v>10</v>
      </c>
      <c r="D187" s="154">
        <f>1-0.8*(D180/E8*E9*E13)</f>
        <v>1</v>
      </c>
      <c r="F187" s="155"/>
      <c r="G187" s="155"/>
      <c r="H187" s="168"/>
      <c r="I187" s="155"/>
      <c r="J187" s="155"/>
    </row>
    <row r="188" spans="2:13" x14ac:dyDescent="0.3">
      <c r="B188" s="143"/>
      <c r="H188" s="125"/>
      <c r="M188" s="155"/>
    </row>
    <row r="189" spans="2:13" x14ac:dyDescent="0.3">
      <c r="B189" s="143"/>
      <c r="C189" s="153" t="s">
        <v>477</v>
      </c>
      <c r="D189" s="189" t="s">
        <v>478</v>
      </c>
      <c r="E189" s="155"/>
      <c r="F189" s="153" t="s">
        <v>479</v>
      </c>
      <c r="G189" s="176" t="e">
        <f>E7/E8</f>
        <v>#REF!</v>
      </c>
      <c r="H189" s="125"/>
      <c r="M189" s="155"/>
    </row>
    <row r="190" spans="2:13" x14ac:dyDescent="0.3">
      <c r="B190" s="143"/>
      <c r="D190" s="176" t="e">
        <f>(1.446*E15)-(0.03*G189)</f>
        <v>#REF!</v>
      </c>
      <c r="H190" s="125"/>
      <c r="M190" s="155"/>
    </row>
    <row r="191" spans="2:13" x14ac:dyDescent="0.3">
      <c r="B191" s="143"/>
      <c r="H191" s="125"/>
      <c r="M191" s="155"/>
    </row>
    <row r="192" spans="2:13" ht="18" x14ac:dyDescent="0.4">
      <c r="B192" s="143"/>
      <c r="C192" s="153" t="s">
        <v>480</v>
      </c>
      <c r="D192" s="155" t="s">
        <v>481</v>
      </c>
      <c r="F192" s="155"/>
      <c r="G192" s="155"/>
      <c r="H192" s="168"/>
      <c r="I192" s="155"/>
      <c r="J192" s="155"/>
      <c r="M192" s="155"/>
    </row>
    <row r="193" spans="2:10" x14ac:dyDescent="0.3">
      <c r="B193" s="143"/>
      <c r="C193" s="153" t="s">
        <v>10</v>
      </c>
      <c r="D193" s="176">
        <f>(8.07981*E15)-(13.8673*(E15^2))+(6.984388*(E15^3))</f>
        <v>1.2672816874920008</v>
      </c>
      <c r="F193" s="155"/>
      <c r="G193" s="155"/>
      <c r="H193" s="168"/>
      <c r="I193" s="155"/>
      <c r="J193" s="155"/>
    </row>
    <row r="194" spans="2:10" x14ac:dyDescent="0.3">
      <c r="B194" s="143"/>
      <c r="C194" s="155"/>
      <c r="F194" s="155"/>
      <c r="G194" s="155"/>
      <c r="H194" s="168"/>
    </row>
    <row r="195" spans="2:10" ht="18" x14ac:dyDescent="0.4">
      <c r="B195" s="143"/>
      <c r="C195" s="153" t="s">
        <v>482</v>
      </c>
      <c r="D195" s="154" t="s">
        <v>483</v>
      </c>
      <c r="F195" s="155"/>
      <c r="G195" s="155"/>
      <c r="H195" s="193"/>
      <c r="I195" s="155"/>
      <c r="J195" s="155"/>
    </row>
    <row r="196" spans="2:10" x14ac:dyDescent="0.3">
      <c r="B196" s="143"/>
      <c r="C196" s="153" t="s">
        <v>10</v>
      </c>
      <c r="D196" s="176" t="e">
        <f>(0.0140407*(E6/E9)-(1.75254*((D28^0.3333)/E6))-(4.79323*(E8/E6))-D193)</f>
        <v>#REF!</v>
      </c>
      <c r="F196" s="155"/>
      <c r="G196" s="155"/>
      <c r="H196" s="168"/>
      <c r="I196" s="155"/>
      <c r="J196" s="155"/>
    </row>
    <row r="197" spans="2:10" x14ac:dyDescent="0.3">
      <c r="B197" s="143"/>
      <c r="C197" s="153"/>
      <c r="D197" s="154"/>
      <c r="F197" s="155"/>
      <c r="G197" s="155"/>
      <c r="H197" s="168"/>
      <c r="I197" s="155"/>
      <c r="J197" s="155"/>
    </row>
    <row r="198" spans="2:10" ht="17.399999999999999" x14ac:dyDescent="0.3">
      <c r="B198" s="143"/>
      <c r="C198" s="153" t="s">
        <v>484</v>
      </c>
      <c r="D198" s="176" t="e">
        <f>E6^3/D28</f>
        <v>#REF!</v>
      </c>
      <c r="F198" s="155"/>
      <c r="G198" s="155"/>
      <c r="H198" s="168"/>
      <c r="I198" s="155"/>
      <c r="J198" s="155"/>
    </row>
    <row r="199" spans="2:10" x14ac:dyDescent="0.3">
      <c r="B199" s="143"/>
      <c r="C199" s="153"/>
      <c r="D199" s="154"/>
      <c r="F199" s="155"/>
      <c r="G199" s="155"/>
      <c r="H199" s="168"/>
      <c r="I199" s="155"/>
      <c r="J199" s="155"/>
    </row>
    <row r="200" spans="2:10" ht="18" x14ac:dyDescent="0.4">
      <c r="B200" s="143"/>
      <c r="C200" s="153" t="s">
        <v>485</v>
      </c>
      <c r="D200" s="154">
        <v>-1.6938500000000001</v>
      </c>
      <c r="E200" s="155"/>
      <c r="F200" s="155"/>
      <c r="G200" s="155"/>
      <c r="H200" s="168"/>
      <c r="I200" s="155"/>
      <c r="J200" s="155"/>
    </row>
    <row r="201" spans="2:10" x14ac:dyDescent="0.3">
      <c r="B201" s="143"/>
      <c r="F201" s="155"/>
      <c r="G201" s="155"/>
      <c r="H201" s="168"/>
      <c r="I201" s="155"/>
      <c r="J201" s="155"/>
    </row>
    <row r="202" spans="2:10" ht="18" x14ac:dyDescent="0.4">
      <c r="B202" s="143"/>
      <c r="C202" s="153" t="s">
        <v>486</v>
      </c>
      <c r="D202" s="155" t="s">
        <v>487</v>
      </c>
      <c r="E202" s="155"/>
      <c r="F202" s="155"/>
      <c r="G202" s="155"/>
      <c r="H202" s="168"/>
      <c r="J202" s="155"/>
    </row>
    <row r="203" spans="2:10" x14ac:dyDescent="0.3">
      <c r="B203" s="143"/>
      <c r="C203" s="153" t="s">
        <v>10</v>
      </c>
      <c r="D203" s="185" t="e">
        <f>D200*E15^2*EXP(-0.1*D153^-2)</f>
        <v>#REF!</v>
      </c>
      <c r="E203" s="155"/>
      <c r="F203" s="155"/>
      <c r="G203" s="155"/>
      <c r="H203" s="168"/>
    </row>
    <row r="204" spans="2:10" x14ac:dyDescent="0.3">
      <c r="B204" s="143"/>
      <c r="C204" s="153"/>
      <c r="D204" s="185"/>
      <c r="E204" s="155"/>
      <c r="F204" s="155"/>
      <c r="G204" s="155"/>
      <c r="H204" s="168"/>
    </row>
    <row r="205" spans="2:10" x14ac:dyDescent="0.3">
      <c r="B205" s="143"/>
      <c r="C205" s="153" t="s">
        <v>488</v>
      </c>
      <c r="D205" s="194">
        <v>-0.9</v>
      </c>
      <c r="E205" s="155"/>
      <c r="F205" s="155"/>
      <c r="G205" s="155"/>
      <c r="H205" s="168"/>
    </row>
    <row r="206" spans="2:10" x14ac:dyDescent="0.3">
      <c r="B206" s="143"/>
      <c r="C206" s="153"/>
      <c r="E206" s="155"/>
      <c r="F206" s="155"/>
      <c r="G206" s="155"/>
      <c r="H206" s="168"/>
    </row>
    <row r="207" spans="2:10" ht="18" x14ac:dyDescent="0.3">
      <c r="B207" s="143"/>
      <c r="C207" s="144" t="s">
        <v>489</v>
      </c>
      <c r="D207" s="186" t="s">
        <v>490</v>
      </c>
      <c r="H207" s="125"/>
    </row>
    <row r="208" spans="2:10" x14ac:dyDescent="0.3">
      <c r="B208" s="143"/>
      <c r="C208" s="155"/>
      <c r="D208" s="116" t="e">
        <f>D163*D184*D187*D28*J9*J7*EXP(D196*D153^D205+D203*COS(D190*D153^-2))</f>
        <v>#REF!</v>
      </c>
      <c r="E208" s="155"/>
      <c r="F208" s="155"/>
      <c r="G208" s="155"/>
      <c r="H208" s="168"/>
      <c r="I208" s="155"/>
      <c r="J208" s="155"/>
    </row>
    <row r="209" spans="2:10" x14ac:dyDescent="0.3">
      <c r="B209" s="148"/>
      <c r="C209" s="195"/>
      <c r="D209" s="195"/>
      <c r="E209" s="195"/>
      <c r="F209" s="195"/>
      <c r="G209" s="195"/>
      <c r="H209" s="196"/>
      <c r="I209" s="155"/>
      <c r="J209" s="155"/>
    </row>
    <row r="210" spans="2:10" x14ac:dyDescent="0.3">
      <c r="B210" s="197">
        <v>7</v>
      </c>
      <c r="C210" s="198" t="s">
        <v>491</v>
      </c>
      <c r="D210" s="199"/>
      <c r="E210" s="200"/>
      <c r="F210" s="199"/>
      <c r="G210" s="199"/>
      <c r="H210" s="201"/>
      <c r="I210" s="155"/>
      <c r="J210" s="155"/>
    </row>
    <row r="211" spans="2:10" x14ac:dyDescent="0.3">
      <c r="B211" s="143"/>
      <c r="C211" s="155" t="s">
        <v>492</v>
      </c>
      <c r="D211" s="155"/>
      <c r="E211" s="155"/>
      <c r="F211" s="167"/>
      <c r="G211" s="167"/>
      <c r="H211" s="202"/>
      <c r="I211" s="167"/>
      <c r="J211" s="155"/>
    </row>
    <row r="212" spans="2:10" ht="18" x14ac:dyDescent="0.4">
      <c r="B212" s="143"/>
      <c r="C212" s="153" t="s">
        <v>493</v>
      </c>
      <c r="D212" s="203">
        <v>0</v>
      </c>
      <c r="E212" s="204"/>
      <c r="F212" s="155"/>
      <c r="G212" s="155"/>
      <c r="H212" s="168"/>
      <c r="I212" s="155"/>
      <c r="J212" s="155"/>
    </row>
    <row r="213" spans="2:10" x14ac:dyDescent="0.3">
      <c r="B213" s="205"/>
      <c r="C213" s="195"/>
      <c r="D213" s="195"/>
      <c r="E213" s="195"/>
      <c r="F213" s="195"/>
      <c r="G213" s="195"/>
      <c r="H213" s="196"/>
      <c r="I213" s="155"/>
      <c r="J213" s="155"/>
    </row>
    <row r="214" spans="2:10" x14ac:dyDescent="0.3">
      <c r="B214" s="197">
        <v>8</v>
      </c>
      <c r="C214" s="198" t="s">
        <v>494</v>
      </c>
      <c r="D214" s="199"/>
      <c r="E214" s="199"/>
      <c r="F214" s="199"/>
      <c r="G214" s="199"/>
      <c r="H214" s="201"/>
      <c r="I214" s="155"/>
      <c r="J214" s="155"/>
    </row>
    <row r="215" spans="2:10" ht="18" x14ac:dyDescent="0.4">
      <c r="B215" s="143"/>
      <c r="C215" s="153" t="s">
        <v>495</v>
      </c>
      <c r="D215" s="154" t="s">
        <v>496</v>
      </c>
      <c r="E215" s="155"/>
      <c r="F215" s="155"/>
      <c r="G215" s="155"/>
      <c r="H215" s="168"/>
      <c r="I215" s="155"/>
      <c r="J215" s="155"/>
    </row>
    <row r="216" spans="2:10" ht="18" x14ac:dyDescent="0.4">
      <c r="B216" s="206"/>
      <c r="C216" s="153" t="s">
        <v>495</v>
      </c>
      <c r="D216" s="203">
        <v>0</v>
      </c>
      <c r="H216" s="125"/>
      <c r="J216" s="155"/>
    </row>
    <row r="217" spans="2:10" x14ac:dyDescent="0.3">
      <c r="B217" s="205"/>
      <c r="C217" s="195"/>
      <c r="D217" s="195"/>
      <c r="E217" s="135"/>
      <c r="F217" s="135"/>
      <c r="G217" s="135"/>
      <c r="H217" s="136"/>
      <c r="J217" s="155"/>
    </row>
    <row r="218" spans="2:10" x14ac:dyDescent="0.3">
      <c r="B218" s="197">
        <v>9</v>
      </c>
      <c r="C218" s="198" t="s">
        <v>497</v>
      </c>
      <c r="D218" s="199"/>
      <c r="E218" s="199"/>
      <c r="F218" s="199"/>
      <c r="G218" s="199"/>
      <c r="H218" s="201"/>
      <c r="I218" s="155"/>
    </row>
    <row r="219" spans="2:10" x14ac:dyDescent="0.3">
      <c r="B219" s="126"/>
      <c r="C219" s="154" t="s">
        <v>498</v>
      </c>
      <c r="D219" s="203"/>
      <c r="E219" s="203"/>
      <c r="F219" s="203"/>
      <c r="G219" s="203"/>
      <c r="H219" s="207"/>
      <c r="I219" s="155"/>
    </row>
    <row r="220" spans="2:10" x14ac:dyDescent="0.3">
      <c r="B220" s="206"/>
      <c r="C220" s="155" t="s">
        <v>499</v>
      </c>
      <c r="D220" s="155"/>
      <c r="E220" s="155"/>
      <c r="F220" s="155"/>
      <c r="G220" s="155"/>
      <c r="H220" s="168"/>
    </row>
    <row r="221" spans="2:10" x14ac:dyDescent="0.3">
      <c r="B221" s="206"/>
      <c r="C221" s="153" t="s">
        <v>500</v>
      </c>
      <c r="D221" s="185" t="e">
        <f>E9/E6</f>
        <v>#REF!</v>
      </c>
      <c r="E221" s="155"/>
      <c r="F221" s="155"/>
      <c r="G221" s="155"/>
      <c r="H221" s="168"/>
    </row>
    <row r="222" spans="2:10" x14ac:dyDescent="0.3">
      <c r="B222" s="206"/>
      <c r="C222" s="153"/>
      <c r="E222" s="155"/>
      <c r="F222" s="155"/>
      <c r="G222" s="155"/>
      <c r="H222" s="168"/>
    </row>
    <row r="223" spans="2:10" x14ac:dyDescent="0.3">
      <c r="B223" s="206"/>
      <c r="C223" s="155"/>
      <c r="D223" s="155"/>
      <c r="E223" s="155"/>
      <c r="F223" s="155"/>
      <c r="G223" s="155"/>
      <c r="H223" s="168"/>
    </row>
    <row r="224" spans="2:10" ht="18" x14ac:dyDescent="0.4">
      <c r="B224" s="206"/>
      <c r="C224" s="155" t="s">
        <v>501</v>
      </c>
      <c r="D224" s="155"/>
      <c r="E224" s="155"/>
      <c r="F224" s="155"/>
      <c r="G224" s="155"/>
      <c r="H224" s="168"/>
    </row>
    <row r="225" spans="2:9" x14ac:dyDescent="0.3">
      <c r="B225" s="206"/>
      <c r="C225" s="155" t="s">
        <v>502</v>
      </c>
      <c r="D225" s="155"/>
      <c r="E225" s="155"/>
      <c r="F225" s="155"/>
      <c r="G225" s="155"/>
      <c r="H225" s="168"/>
    </row>
    <row r="226" spans="2:9" ht="18" x14ac:dyDescent="0.4">
      <c r="B226" s="206"/>
      <c r="C226" s="153" t="s">
        <v>503</v>
      </c>
      <c r="D226" s="203">
        <v>0.04</v>
      </c>
      <c r="E226" s="155"/>
      <c r="F226" s="155"/>
      <c r="G226" s="155"/>
      <c r="H226" s="168"/>
    </row>
    <row r="227" spans="2:9" ht="18" x14ac:dyDescent="0.4">
      <c r="B227" s="206"/>
      <c r="C227" s="153" t="s">
        <v>504</v>
      </c>
      <c r="D227" s="154" t="s">
        <v>505</v>
      </c>
      <c r="E227" s="155"/>
      <c r="F227" s="155"/>
      <c r="G227" s="155"/>
      <c r="H227" s="168"/>
    </row>
    <row r="228" spans="2:9" x14ac:dyDescent="0.3">
      <c r="B228" s="206"/>
      <c r="C228" s="153" t="s">
        <v>10</v>
      </c>
      <c r="D228" s="208" t="e">
        <f>0.006*((E6+100)^(-0.16))-0.00205+0.003*(E6/7.5)^0.5*(E14^4)*1*(0.04-D226)</f>
        <v>#REF!</v>
      </c>
      <c r="E228" s="155"/>
      <c r="F228" s="155"/>
      <c r="G228" s="155"/>
      <c r="H228" s="168"/>
    </row>
    <row r="229" spans="2:9" x14ac:dyDescent="0.3">
      <c r="B229" s="205"/>
      <c r="C229" s="195"/>
      <c r="D229" s="195"/>
      <c r="E229" s="195"/>
      <c r="F229" s="195"/>
      <c r="G229" s="195"/>
      <c r="H229" s="196"/>
    </row>
    <row r="230" spans="2:9" ht="18" x14ac:dyDescent="0.4">
      <c r="B230" s="209">
        <v>10</v>
      </c>
      <c r="C230" s="198" t="s">
        <v>506</v>
      </c>
      <c r="D230" s="198"/>
      <c r="E230" s="198"/>
      <c r="F230" s="198"/>
      <c r="G230" s="198"/>
      <c r="H230" s="118"/>
      <c r="I230" s="155"/>
    </row>
    <row r="231" spans="2:9" ht="18" x14ac:dyDescent="0.4">
      <c r="B231" s="206"/>
      <c r="C231" s="153" t="s">
        <v>507</v>
      </c>
      <c r="D231" s="154" t="s">
        <v>508</v>
      </c>
      <c r="E231" s="155"/>
      <c r="F231" s="155"/>
      <c r="G231" s="155"/>
      <c r="H231" s="125"/>
      <c r="I231" s="155"/>
    </row>
    <row r="232" spans="2:9" x14ac:dyDescent="0.3">
      <c r="B232" s="206"/>
      <c r="C232" s="153" t="s">
        <v>10</v>
      </c>
      <c r="D232" s="185" t="e">
        <f>0.5*J9*J5^2*D228*D36</f>
        <v>#REF!</v>
      </c>
      <c r="E232" s="155" t="s">
        <v>251</v>
      </c>
      <c r="F232" s="155"/>
      <c r="G232" s="155"/>
      <c r="H232" s="125"/>
      <c r="I232" s="155"/>
    </row>
    <row r="233" spans="2:9" x14ac:dyDescent="0.3">
      <c r="B233" s="206"/>
      <c r="C233" s="153"/>
      <c r="F233" s="155"/>
      <c r="G233" s="155"/>
      <c r="H233" s="125"/>
      <c r="I233" s="155"/>
    </row>
    <row r="234" spans="2:9" x14ac:dyDescent="0.3">
      <c r="B234" s="206"/>
      <c r="C234" s="155"/>
      <c r="D234" s="153"/>
      <c r="E234" s="155"/>
      <c r="F234" s="155"/>
      <c r="G234" s="155"/>
      <c r="H234" s="168"/>
      <c r="I234" s="155"/>
    </row>
    <row r="235" spans="2:9" ht="18" x14ac:dyDescent="0.3">
      <c r="B235" s="143"/>
      <c r="C235" s="210" t="s">
        <v>509</v>
      </c>
      <c r="D235" s="155"/>
      <c r="E235" s="155"/>
      <c r="F235" s="155"/>
      <c r="G235" s="155"/>
      <c r="H235" s="168"/>
      <c r="I235" s="155"/>
    </row>
    <row r="236" spans="2:9" ht="18" x14ac:dyDescent="0.4">
      <c r="B236" s="143"/>
      <c r="C236" s="184" t="s">
        <v>510</v>
      </c>
      <c r="D236" s="155" t="s">
        <v>511</v>
      </c>
      <c r="E236" s="155"/>
      <c r="F236" s="155"/>
      <c r="H236" s="202"/>
      <c r="I236" s="155"/>
    </row>
    <row r="237" spans="2:9" x14ac:dyDescent="0.3">
      <c r="B237" s="143"/>
      <c r="C237" s="153" t="s">
        <v>10</v>
      </c>
      <c r="D237" s="211" t="e">
        <f>(D87*D83)+D149+D208+D212+D216+D232</f>
        <v>#REF!</v>
      </c>
      <c r="E237" s="155" t="s">
        <v>251</v>
      </c>
      <c r="F237" s="155"/>
      <c r="H237" s="202"/>
      <c r="I237" s="155"/>
    </row>
    <row r="238" spans="2:9" x14ac:dyDescent="0.3">
      <c r="B238" s="143"/>
      <c r="C238" s="153"/>
      <c r="F238" s="155"/>
      <c r="H238" s="202"/>
      <c r="I238" s="155"/>
    </row>
    <row r="239" spans="2:9" x14ac:dyDescent="0.3">
      <c r="B239" s="197">
        <v>11</v>
      </c>
      <c r="C239" s="212" t="s">
        <v>512</v>
      </c>
      <c r="D239" s="213"/>
      <c r="E239" s="213"/>
      <c r="F239" s="213"/>
      <c r="G239" s="213"/>
      <c r="H239" s="214"/>
    </row>
    <row r="240" spans="2:9" x14ac:dyDescent="0.3">
      <c r="B240" s="215"/>
      <c r="C240" s="186"/>
      <c r="D240" s="186"/>
      <c r="E240" s="186"/>
      <c r="F240" s="186"/>
      <c r="G240" s="186"/>
      <c r="H240" s="216"/>
    </row>
    <row r="241" spans="2:8" x14ac:dyDescent="0.3">
      <c r="B241" s="215" t="s">
        <v>513</v>
      </c>
      <c r="C241" s="186"/>
      <c r="D241" s="186"/>
      <c r="E241" s="186"/>
      <c r="F241" s="186"/>
      <c r="G241" s="186"/>
      <c r="H241" s="216"/>
    </row>
    <row r="242" spans="2:8" x14ac:dyDescent="0.3">
      <c r="B242" s="217" t="s">
        <v>514</v>
      </c>
      <c r="C242" s="155"/>
      <c r="D242" s="155"/>
      <c r="E242" s="155"/>
      <c r="F242" s="218"/>
      <c r="G242" s="218"/>
      <c r="H242" s="219"/>
    </row>
    <row r="243" spans="2:8" x14ac:dyDescent="0.3">
      <c r="B243" s="217" t="s">
        <v>515</v>
      </c>
      <c r="C243" s="155"/>
      <c r="D243" s="155"/>
      <c r="E243" s="155"/>
      <c r="F243" s="155"/>
      <c r="G243" s="155"/>
      <c r="H243" s="168"/>
    </row>
    <row r="244" spans="2:8" x14ac:dyDescent="0.3">
      <c r="B244" s="217"/>
      <c r="C244" s="155"/>
      <c r="D244" s="155"/>
      <c r="E244" s="155"/>
      <c r="F244" s="167"/>
      <c r="G244" s="155"/>
      <c r="H244" s="168"/>
    </row>
    <row r="245" spans="2:8" ht="18" x14ac:dyDescent="0.3">
      <c r="B245" s="126"/>
      <c r="C245" s="220" t="s">
        <v>516</v>
      </c>
      <c r="D245" s="221" t="s">
        <v>517</v>
      </c>
      <c r="E245" s="221"/>
      <c r="F245" s="155"/>
      <c r="G245" s="155"/>
      <c r="H245" s="168"/>
    </row>
    <row r="246" spans="2:8" x14ac:dyDescent="0.3">
      <c r="B246" s="222"/>
      <c r="C246" s="223"/>
      <c r="D246" s="224" t="e">
        <f>(1+20%)*D237</f>
        <v>#REF!</v>
      </c>
      <c r="E246" s="204" t="s">
        <v>251</v>
      </c>
      <c r="F246" s="167"/>
      <c r="G246" s="155"/>
      <c r="H246" s="168"/>
    </row>
    <row r="247" spans="2:8" x14ac:dyDescent="0.3">
      <c r="B247" s="225"/>
      <c r="C247" s="226"/>
      <c r="D247" s="135"/>
      <c r="E247" s="135"/>
      <c r="F247" s="195"/>
      <c r="G247" s="195"/>
      <c r="H247" s="196"/>
    </row>
    <row r="249" spans="2:8" x14ac:dyDescent="0.3">
      <c r="B249" s="119" t="s">
        <v>256</v>
      </c>
      <c r="C249" s="138"/>
      <c r="D249" s="138"/>
      <c r="E249" s="138"/>
      <c r="F249" s="138"/>
      <c r="G249" s="138"/>
      <c r="H249" s="118"/>
    </row>
    <row r="250" spans="2:8" x14ac:dyDescent="0.3">
      <c r="B250" s="139">
        <v>1</v>
      </c>
      <c r="C250" s="140" t="s">
        <v>518</v>
      </c>
      <c r="D250" s="141"/>
      <c r="E250" s="141"/>
      <c r="F250" s="141"/>
      <c r="G250" s="141"/>
      <c r="H250" s="142"/>
    </row>
    <row r="251" spans="2:8" x14ac:dyDescent="0.3">
      <c r="B251" s="217" t="s">
        <v>519</v>
      </c>
      <c r="C251" s="155"/>
      <c r="D251" s="155"/>
      <c r="E251" s="155"/>
      <c r="F251" s="155"/>
      <c r="G251" s="155"/>
      <c r="H251" s="168"/>
    </row>
    <row r="252" spans="2:8" x14ac:dyDescent="0.3">
      <c r="B252" s="217" t="s">
        <v>520</v>
      </c>
      <c r="C252" s="155"/>
      <c r="D252" s="155"/>
      <c r="E252" s="155"/>
      <c r="F252" s="155"/>
      <c r="G252" s="155"/>
      <c r="H252" s="168"/>
    </row>
    <row r="253" spans="2:8" ht="18" x14ac:dyDescent="0.4">
      <c r="B253" s="126"/>
      <c r="C253" s="203" t="s">
        <v>521</v>
      </c>
      <c r="D253" s="203" t="s">
        <v>10</v>
      </c>
      <c r="E253" s="155" t="s">
        <v>522</v>
      </c>
      <c r="H253" s="125"/>
    </row>
    <row r="254" spans="2:8" x14ac:dyDescent="0.3">
      <c r="B254" s="126"/>
      <c r="D254" s="203" t="s">
        <v>10</v>
      </c>
      <c r="E254" s="130" t="e">
        <f>D246*J5</f>
        <v>#REF!</v>
      </c>
      <c r="F254" s="116" t="s">
        <v>260</v>
      </c>
      <c r="H254" s="125"/>
    </row>
    <row r="255" spans="2:8" x14ac:dyDescent="0.3">
      <c r="B255" s="126"/>
      <c r="D255" s="203" t="s">
        <v>10</v>
      </c>
      <c r="E255" s="227" t="e">
        <f>E254*J10</f>
        <v>#REF!</v>
      </c>
      <c r="F255" s="116" t="s">
        <v>262</v>
      </c>
      <c r="G255" s="116" t="s">
        <v>523</v>
      </c>
      <c r="H255" s="125"/>
    </row>
    <row r="256" spans="2:8" x14ac:dyDescent="0.3">
      <c r="B256" s="126"/>
      <c r="H256" s="125"/>
    </row>
    <row r="257" spans="2:9" x14ac:dyDescent="0.3">
      <c r="B257" s="147">
        <v>2</v>
      </c>
      <c r="C257" s="120" t="s">
        <v>524</v>
      </c>
      <c r="D257" s="120"/>
      <c r="E257" s="138"/>
      <c r="F257" s="138"/>
      <c r="G257" s="138"/>
      <c r="H257" s="138"/>
      <c r="I257" s="118"/>
    </row>
    <row r="258" spans="2:9" x14ac:dyDescent="0.3">
      <c r="B258" s="126"/>
      <c r="C258" s="153" t="s">
        <v>525</v>
      </c>
      <c r="D258" s="203" t="s">
        <v>10</v>
      </c>
      <c r="E258" s="155" t="s">
        <v>301</v>
      </c>
      <c r="F258" s="155"/>
      <c r="G258" s="155"/>
      <c r="H258" s="155"/>
      <c r="I258" s="125"/>
    </row>
    <row r="259" spans="2:9" x14ac:dyDescent="0.3">
      <c r="B259" s="126"/>
      <c r="C259" s="153" t="s">
        <v>526</v>
      </c>
      <c r="D259" s="155" t="s">
        <v>527</v>
      </c>
      <c r="E259" s="155"/>
      <c r="H259" s="155"/>
      <c r="I259" s="125"/>
    </row>
    <row r="260" spans="2:9" x14ac:dyDescent="0.3">
      <c r="B260" s="126"/>
      <c r="C260" s="153" t="s">
        <v>528</v>
      </c>
      <c r="D260" s="203" t="s">
        <v>10</v>
      </c>
      <c r="E260" s="155" t="s">
        <v>529</v>
      </c>
      <c r="F260" s="155"/>
      <c r="G260" s="154"/>
      <c r="H260" s="154"/>
      <c r="I260" s="125"/>
    </row>
    <row r="261" spans="2:9" x14ac:dyDescent="0.3">
      <c r="B261" s="126"/>
      <c r="C261" s="153" t="s">
        <v>530</v>
      </c>
      <c r="D261" s="203"/>
      <c r="E261" s="155"/>
      <c r="F261" s="155"/>
      <c r="G261" s="155"/>
      <c r="H261" s="155"/>
      <c r="I261" s="125"/>
    </row>
    <row r="262" spans="2:9" x14ac:dyDescent="0.3">
      <c r="B262" s="126"/>
      <c r="C262" s="153" t="s">
        <v>531</v>
      </c>
      <c r="D262" s="203" t="s">
        <v>10</v>
      </c>
      <c r="E262" s="155" t="s">
        <v>532</v>
      </c>
      <c r="F262" s="155"/>
      <c r="G262" s="155"/>
      <c r="H262" s="155"/>
      <c r="I262" s="125"/>
    </row>
    <row r="263" spans="2:9" x14ac:dyDescent="0.3">
      <c r="B263" s="126"/>
      <c r="C263" s="153"/>
      <c r="D263" s="203"/>
      <c r="E263" s="155" t="s">
        <v>533</v>
      </c>
      <c r="F263" s="155"/>
      <c r="G263" s="155"/>
      <c r="H263" s="155"/>
      <c r="I263" s="125"/>
    </row>
    <row r="264" spans="2:9" x14ac:dyDescent="0.3">
      <c r="B264" s="126"/>
      <c r="C264" s="153"/>
      <c r="D264" s="203" t="s">
        <v>10</v>
      </c>
      <c r="E264" s="154" t="s">
        <v>534</v>
      </c>
      <c r="F264" s="155"/>
      <c r="G264" s="155"/>
      <c r="H264" s="155"/>
      <c r="I264" s="125"/>
    </row>
    <row r="265" spans="2:9" x14ac:dyDescent="0.3">
      <c r="B265" s="126"/>
      <c r="C265" s="153"/>
      <c r="D265" s="203" t="s">
        <v>10</v>
      </c>
      <c r="E265" s="154">
        <v>1.05</v>
      </c>
      <c r="F265" s="155"/>
      <c r="G265" s="155"/>
      <c r="H265" s="155"/>
      <c r="I265" s="125"/>
    </row>
    <row r="266" spans="2:9" x14ac:dyDescent="0.3">
      <c r="B266" s="126"/>
      <c r="C266" s="153" t="s">
        <v>535</v>
      </c>
      <c r="D266" s="203" t="s">
        <v>10</v>
      </c>
      <c r="E266" s="155" t="s">
        <v>536</v>
      </c>
      <c r="F266" s="203"/>
      <c r="G266" s="155"/>
      <c r="H266" s="155"/>
      <c r="I266" s="125"/>
    </row>
    <row r="267" spans="2:9" x14ac:dyDescent="0.3">
      <c r="B267" s="126"/>
      <c r="C267" s="153"/>
      <c r="D267" s="203" t="s">
        <v>10</v>
      </c>
      <c r="E267" s="154" t="s">
        <v>537</v>
      </c>
      <c r="F267" s="155"/>
      <c r="G267" s="228">
        <v>0.7</v>
      </c>
      <c r="H267" s="155"/>
      <c r="I267" s="125"/>
    </row>
    <row r="268" spans="2:9" x14ac:dyDescent="0.3">
      <c r="B268" s="126"/>
      <c r="C268" s="153"/>
      <c r="D268" s="203" t="s">
        <v>10</v>
      </c>
      <c r="E268" s="175">
        <v>0.7</v>
      </c>
      <c r="F268" s="155"/>
      <c r="G268" s="155"/>
      <c r="H268" s="155"/>
      <c r="I268" s="125"/>
    </row>
    <row r="269" spans="2:9" x14ac:dyDescent="0.3">
      <c r="B269" s="126"/>
      <c r="C269" s="153" t="s">
        <v>538</v>
      </c>
      <c r="D269" s="203" t="s">
        <v>10</v>
      </c>
      <c r="E269" s="155" t="s">
        <v>539</v>
      </c>
      <c r="F269" s="228"/>
      <c r="G269" s="155"/>
      <c r="H269" s="155"/>
      <c r="I269" s="125"/>
    </row>
    <row r="270" spans="2:9" x14ac:dyDescent="0.3">
      <c r="B270" s="126"/>
      <c r="C270" s="155"/>
      <c r="D270" s="203" t="s">
        <v>10</v>
      </c>
      <c r="E270" s="155" t="s">
        <v>540</v>
      </c>
      <c r="F270" s="155"/>
      <c r="G270" s="155"/>
      <c r="H270" s="155"/>
      <c r="I270" s="125"/>
    </row>
    <row r="271" spans="2:9" x14ac:dyDescent="0.3">
      <c r="B271" s="217"/>
      <c r="C271" s="203"/>
      <c r="D271" s="155"/>
      <c r="E271" s="153"/>
      <c r="F271" s="203"/>
      <c r="G271" s="176"/>
      <c r="H271" s="155"/>
      <c r="I271" s="125"/>
    </row>
    <row r="272" spans="2:9" x14ac:dyDescent="0.3">
      <c r="B272" s="206"/>
      <c r="C272" s="154" t="s">
        <v>541</v>
      </c>
      <c r="D272" s="155"/>
      <c r="E272" s="153"/>
      <c r="F272" s="154" t="s">
        <v>542</v>
      </c>
      <c r="G272" s="176"/>
      <c r="I272" s="125"/>
    </row>
    <row r="273" spans="2:9" x14ac:dyDescent="0.3">
      <c r="B273" s="217"/>
      <c r="C273" s="154"/>
      <c r="D273" s="155"/>
      <c r="E273" s="153"/>
      <c r="F273" s="154" t="s">
        <v>543</v>
      </c>
      <c r="G273" s="229">
        <f>0.65*E9</f>
        <v>6.4655499999999995</v>
      </c>
      <c r="H273" s="155" t="s">
        <v>11</v>
      </c>
      <c r="I273" s="125"/>
    </row>
    <row r="274" spans="2:9" x14ac:dyDescent="0.3">
      <c r="B274" s="217"/>
      <c r="C274" s="154"/>
      <c r="D274" s="155"/>
      <c r="E274" s="153"/>
      <c r="F274" s="154"/>
      <c r="I274" s="125"/>
    </row>
    <row r="275" spans="2:9" x14ac:dyDescent="0.3">
      <c r="B275" s="206"/>
      <c r="C275" s="169" t="s">
        <v>544</v>
      </c>
      <c r="D275" s="155"/>
      <c r="E275" s="153"/>
      <c r="F275" s="203"/>
      <c r="G275" s="176"/>
      <c r="H275" s="155"/>
      <c r="I275" s="125"/>
    </row>
    <row r="276" spans="2:9" x14ac:dyDescent="0.3">
      <c r="B276" s="217"/>
      <c r="C276" s="154" t="s">
        <v>545</v>
      </c>
      <c r="D276" s="155"/>
      <c r="E276" s="153"/>
      <c r="F276" s="203"/>
      <c r="G276" s="176"/>
      <c r="H276" s="155"/>
      <c r="I276" s="125"/>
    </row>
    <row r="277" spans="2:9" x14ac:dyDescent="0.3">
      <c r="B277" s="217"/>
      <c r="C277" s="116" t="s">
        <v>546</v>
      </c>
      <c r="D277" s="155"/>
      <c r="E277" s="153"/>
      <c r="F277" s="203"/>
      <c r="G277" s="176"/>
      <c r="H277" s="155"/>
      <c r="I277" s="125"/>
    </row>
    <row r="278" spans="2:9" x14ac:dyDescent="0.3">
      <c r="B278" s="217"/>
      <c r="C278" s="154" t="s">
        <v>547</v>
      </c>
      <c r="D278" s="155"/>
      <c r="E278" s="153"/>
      <c r="F278" s="203"/>
      <c r="G278" s="176"/>
      <c r="H278" s="155"/>
      <c r="I278" s="125"/>
    </row>
    <row r="279" spans="2:9" x14ac:dyDescent="0.3">
      <c r="B279" s="217"/>
      <c r="C279" s="154" t="s">
        <v>267</v>
      </c>
      <c r="D279" s="155"/>
      <c r="E279" s="153"/>
      <c r="F279" s="203"/>
      <c r="G279" s="176"/>
      <c r="H279" s="155"/>
      <c r="I279" s="125"/>
    </row>
    <row r="280" spans="2:9" ht="18" x14ac:dyDescent="0.4">
      <c r="B280" s="126"/>
      <c r="C280" s="153" t="s">
        <v>548</v>
      </c>
      <c r="D280" s="153" t="s">
        <v>549</v>
      </c>
      <c r="E280" s="154" t="s">
        <v>550</v>
      </c>
      <c r="F280" s="203"/>
      <c r="I280" s="125"/>
    </row>
    <row r="281" spans="2:9" x14ac:dyDescent="0.3">
      <c r="B281" s="126"/>
      <c r="D281" s="144" t="s">
        <v>10</v>
      </c>
      <c r="E281" s="137" t="e">
        <f>E8*D36/(E6*G273*E9)</f>
        <v>#REF!</v>
      </c>
      <c r="I281" s="125"/>
    </row>
    <row r="282" spans="2:9" ht="18" x14ac:dyDescent="0.4">
      <c r="B282" s="126"/>
      <c r="C282" s="153" t="s">
        <v>551</v>
      </c>
      <c r="D282" s="153" t="s">
        <v>552</v>
      </c>
      <c r="E282" s="203" t="s">
        <v>553</v>
      </c>
      <c r="I282" s="125"/>
    </row>
    <row r="283" spans="2:9" x14ac:dyDescent="0.3">
      <c r="B283" s="126"/>
      <c r="D283" s="144" t="s">
        <v>10</v>
      </c>
      <c r="E283" s="137" t="e">
        <f>E281</f>
        <v>#REF!</v>
      </c>
      <c r="I283" s="125"/>
    </row>
    <row r="284" spans="2:9" ht="18" x14ac:dyDescent="0.4">
      <c r="B284" s="126"/>
      <c r="C284" s="153" t="s">
        <v>554</v>
      </c>
      <c r="D284" s="153" t="s">
        <v>555</v>
      </c>
      <c r="E284" s="203" t="s">
        <v>556</v>
      </c>
      <c r="I284" s="125"/>
    </row>
    <row r="285" spans="2:9" x14ac:dyDescent="0.3">
      <c r="B285" s="126"/>
      <c r="D285" s="144" t="s">
        <v>10</v>
      </c>
      <c r="E285" s="137">
        <f>E9/G273</f>
        <v>1.5384615384615385</v>
      </c>
      <c r="I285" s="125"/>
    </row>
    <row r="286" spans="2:9" ht="18" x14ac:dyDescent="0.4">
      <c r="B286" s="126"/>
      <c r="C286" s="153" t="s">
        <v>557</v>
      </c>
      <c r="D286" s="153" t="s">
        <v>558</v>
      </c>
      <c r="E286" s="154" t="s">
        <v>559</v>
      </c>
      <c r="F286" s="203"/>
      <c r="G286" s="176"/>
      <c r="H286" s="155"/>
      <c r="I286" s="125"/>
    </row>
    <row r="287" spans="2:9" x14ac:dyDescent="0.3">
      <c r="B287" s="126"/>
      <c r="D287" s="144" t="s">
        <v>10</v>
      </c>
      <c r="E287" s="230">
        <f>(0.18567/(1.3571-E13))-0.71276+(0.38648*E15)</f>
        <v>4.8899203199146979E-2</v>
      </c>
      <c r="I287" s="125"/>
    </row>
    <row r="288" spans="2:9" ht="18" x14ac:dyDescent="0.4">
      <c r="B288" s="126"/>
      <c r="C288" s="153" t="s">
        <v>560</v>
      </c>
      <c r="D288" s="153" t="s">
        <v>561</v>
      </c>
      <c r="E288" s="154" t="s">
        <v>562</v>
      </c>
      <c r="F288" s="203"/>
      <c r="I288" s="125"/>
    </row>
    <row r="289" spans="2:9" x14ac:dyDescent="0.3">
      <c r="B289" s="126"/>
      <c r="D289" s="144" t="s">
        <v>10</v>
      </c>
      <c r="E289" s="154" t="s">
        <v>563</v>
      </c>
      <c r="F289" s="203"/>
      <c r="I289" s="125"/>
    </row>
    <row r="290" spans="2:9" x14ac:dyDescent="0.3">
      <c r="B290" s="126"/>
      <c r="D290" s="144" t="s">
        <v>10</v>
      </c>
      <c r="E290" s="116">
        <f>1+(0.0015*8)</f>
        <v>1.012</v>
      </c>
      <c r="I290" s="125"/>
    </row>
    <row r="291" spans="2:9" ht="18" x14ac:dyDescent="0.4">
      <c r="B291" s="126"/>
      <c r="C291" s="153" t="s">
        <v>564</v>
      </c>
      <c r="D291" s="153" t="s">
        <v>565</v>
      </c>
      <c r="E291" s="154" t="s">
        <v>566</v>
      </c>
      <c r="F291" s="203"/>
      <c r="G291" s="176"/>
      <c r="I291" s="125"/>
    </row>
    <row r="292" spans="2:9" x14ac:dyDescent="0.3">
      <c r="B292" s="126"/>
      <c r="D292" s="144" t="s">
        <v>10</v>
      </c>
      <c r="E292" s="137" t="e">
        <f>(1.45*E15)-0.315-(0.0225*E16)</f>
        <v>#REF!</v>
      </c>
      <c r="I292" s="125"/>
    </row>
    <row r="293" spans="2:9" ht="18" x14ac:dyDescent="0.4">
      <c r="B293" s="126"/>
      <c r="C293" s="153" t="s">
        <v>567</v>
      </c>
      <c r="D293" s="153" t="s">
        <v>360</v>
      </c>
      <c r="E293" s="231" t="str">
        <f>D31</f>
        <v>Vdisp x ρ air laut</v>
      </c>
      <c r="I293" s="125"/>
    </row>
    <row r="294" spans="2:9" ht="18" x14ac:dyDescent="0.4">
      <c r="B294" s="126"/>
      <c r="C294" s="153"/>
      <c r="D294" s="153" t="s">
        <v>504</v>
      </c>
      <c r="E294" s="232" t="e">
        <f>D228</f>
        <v>#REF!</v>
      </c>
      <c r="I294" s="125"/>
    </row>
    <row r="295" spans="2:9" ht="18" x14ac:dyDescent="0.4">
      <c r="B295" s="126"/>
      <c r="D295" s="153" t="s">
        <v>568</v>
      </c>
      <c r="E295" s="154" t="s">
        <v>569</v>
      </c>
      <c r="F295" s="203"/>
      <c r="I295" s="125"/>
    </row>
    <row r="296" spans="2:9" x14ac:dyDescent="0.3">
      <c r="B296" s="126"/>
      <c r="D296" s="153" t="s">
        <v>10</v>
      </c>
      <c r="E296" s="233" t="e">
        <f>(D83*D49)+D228</f>
        <v>#REF!</v>
      </c>
      <c r="F296" s="203"/>
      <c r="I296" s="125"/>
    </row>
    <row r="297" spans="2:9" x14ac:dyDescent="0.3">
      <c r="B297" s="126"/>
      <c r="C297" s="154" t="s">
        <v>570</v>
      </c>
      <c r="D297" s="153"/>
      <c r="E297" s="234"/>
      <c r="F297" s="203"/>
      <c r="G297" s="176"/>
      <c r="H297" s="155"/>
      <c r="I297" s="125"/>
    </row>
    <row r="298" spans="2:9" ht="18" x14ac:dyDescent="0.4">
      <c r="B298" s="126"/>
      <c r="C298" s="153" t="s">
        <v>571</v>
      </c>
      <c r="D298" s="154" t="s">
        <v>572</v>
      </c>
      <c r="E298" s="235"/>
      <c r="F298" s="235"/>
      <c r="G298" s="235"/>
      <c r="H298" s="235"/>
      <c r="I298" s="125"/>
    </row>
    <row r="299" spans="2:9" x14ac:dyDescent="0.3">
      <c r="B299" s="126"/>
      <c r="D299" s="130" t="e">
        <f>E283*E290*E296*E6/E9*(0.050776+(0.93405*E285*E296/(1-E292)))+0.27951*E290*(SQRT(E8/(E6*(1-E292))))+E287*E290</f>
        <v>#REF!</v>
      </c>
      <c r="I299" s="125"/>
    </row>
    <row r="300" spans="2:9" x14ac:dyDescent="0.3">
      <c r="B300" s="206"/>
      <c r="C300" s="154" t="s">
        <v>573</v>
      </c>
      <c r="D300" s="236"/>
      <c r="E300" s="236"/>
      <c r="F300" s="236"/>
      <c r="G300" s="236"/>
      <c r="H300" s="236"/>
      <c r="I300" s="125"/>
    </row>
    <row r="301" spans="2:9" ht="18.600000000000001" x14ac:dyDescent="0.4">
      <c r="B301" s="217"/>
      <c r="C301" s="153" t="s">
        <v>574</v>
      </c>
      <c r="D301" s="154" t="s">
        <v>575</v>
      </c>
      <c r="E301" s="236"/>
      <c r="F301" s="236"/>
      <c r="G301" s="236"/>
      <c r="H301" s="236"/>
      <c r="I301" s="125"/>
    </row>
    <row r="302" spans="2:9" x14ac:dyDescent="0.3">
      <c r="B302" s="126"/>
      <c r="C302" s="144" t="s">
        <v>10</v>
      </c>
      <c r="D302" s="130" t="e">
        <f>0.25014*((E8/E6)^0.2896)*((SQRT(E8*E9/G273))^0.2646)/(1-E15+((0.225*E16)^0.01762))+(0.0015*8)</f>
        <v>#REF!</v>
      </c>
      <c r="I302" s="125"/>
    </row>
    <row r="303" spans="2:9" x14ac:dyDescent="0.3">
      <c r="B303" s="126"/>
      <c r="C303" s="144" t="s">
        <v>576</v>
      </c>
      <c r="D303" s="230" t="e">
        <f>(1-D302)/(1-D299)</f>
        <v>#REF!</v>
      </c>
      <c r="I303" s="125"/>
    </row>
    <row r="304" spans="2:9" x14ac:dyDescent="0.3">
      <c r="B304" s="126"/>
      <c r="C304" s="144" t="s">
        <v>577</v>
      </c>
      <c r="D304" s="230" t="e">
        <f>D303*E265*E268</f>
        <v>#REF!</v>
      </c>
      <c r="I304" s="125"/>
    </row>
    <row r="305" spans="2:9" x14ac:dyDescent="0.3">
      <c r="B305" s="126"/>
      <c r="C305" s="144" t="s">
        <v>300</v>
      </c>
      <c r="D305" s="230" t="e">
        <f>E255/D304</f>
        <v>#REF!</v>
      </c>
      <c r="E305" s="116" t="s">
        <v>262</v>
      </c>
      <c r="I305" s="125"/>
    </row>
    <row r="306" spans="2:9" x14ac:dyDescent="0.3">
      <c r="B306" s="126"/>
      <c r="C306" s="144"/>
      <c r="D306" s="237" t="e">
        <f>E254/D304</f>
        <v>#REF!</v>
      </c>
      <c r="E306" s="116" t="s">
        <v>260</v>
      </c>
      <c r="I306" s="125"/>
    </row>
    <row r="307" spans="2:9" x14ac:dyDescent="0.3">
      <c r="B307" s="134"/>
      <c r="C307" s="135"/>
      <c r="D307" s="135"/>
      <c r="E307" s="135"/>
      <c r="F307" s="135"/>
      <c r="G307" s="135"/>
      <c r="H307" s="135"/>
      <c r="I307" s="136"/>
    </row>
    <row r="308" spans="2:9" x14ac:dyDescent="0.3">
      <c r="B308" s="147">
        <v>3</v>
      </c>
      <c r="C308" s="120" t="s">
        <v>578</v>
      </c>
      <c r="D308" s="138"/>
      <c r="E308" s="138"/>
      <c r="F308" s="138"/>
      <c r="G308" s="138"/>
      <c r="H308" s="138"/>
      <c r="I308" s="118"/>
    </row>
    <row r="309" spans="2:9" x14ac:dyDescent="0.3">
      <c r="B309" s="126"/>
      <c r="C309" s="153" t="s">
        <v>579</v>
      </c>
      <c r="D309" s="116" t="s">
        <v>580</v>
      </c>
      <c r="I309" s="125"/>
    </row>
    <row r="310" spans="2:9" x14ac:dyDescent="0.3">
      <c r="B310" s="126"/>
      <c r="C310" s="144" t="s">
        <v>10</v>
      </c>
      <c r="D310" s="130" t="e">
        <f>E254/D303</f>
        <v>#REF!</v>
      </c>
      <c r="E310" s="116" t="s">
        <v>260</v>
      </c>
      <c r="I310" s="125"/>
    </row>
    <row r="311" spans="2:9" x14ac:dyDescent="0.3">
      <c r="B311" s="126"/>
      <c r="C311" s="144" t="s">
        <v>10</v>
      </c>
      <c r="D311" s="227" t="e">
        <f>E255/D303</f>
        <v>#REF!</v>
      </c>
      <c r="E311" s="116" t="s">
        <v>262</v>
      </c>
      <c r="I311" s="125"/>
    </row>
    <row r="312" spans="2:9" x14ac:dyDescent="0.3">
      <c r="B312" s="134"/>
      <c r="C312" s="135"/>
      <c r="D312" s="135"/>
      <c r="E312" s="135"/>
      <c r="F312" s="135"/>
      <c r="G312" s="135"/>
      <c r="H312" s="135"/>
      <c r="I312" s="136"/>
    </row>
    <row r="313" spans="2:9" x14ac:dyDescent="0.3">
      <c r="B313" s="147">
        <v>4</v>
      </c>
      <c r="C313" s="120" t="s">
        <v>581</v>
      </c>
      <c r="D313" s="138"/>
      <c r="E313" s="138"/>
      <c r="F313" s="138"/>
      <c r="G313" s="138"/>
      <c r="H313" s="138"/>
      <c r="I313" s="118"/>
    </row>
    <row r="314" spans="2:9" x14ac:dyDescent="0.3">
      <c r="B314" s="126"/>
      <c r="C314" s="116" t="s">
        <v>582</v>
      </c>
      <c r="D314" s="154"/>
      <c r="E314" s="154"/>
      <c r="F314" s="154"/>
      <c r="G314" s="176"/>
      <c r="H314" s="176"/>
      <c r="I314" s="125"/>
    </row>
    <row r="315" spans="2:9" x14ac:dyDescent="0.3">
      <c r="B315" s="126"/>
      <c r="C315" s="116" t="s">
        <v>583</v>
      </c>
      <c r="D315" s="154"/>
      <c r="E315" s="154"/>
      <c r="F315" s="154"/>
      <c r="G315" s="176"/>
      <c r="H315" s="176"/>
      <c r="I315" s="125"/>
    </row>
    <row r="316" spans="2:9" x14ac:dyDescent="0.3">
      <c r="B316" s="126"/>
      <c r="C316" s="153" t="s">
        <v>305</v>
      </c>
      <c r="D316" s="154" t="s">
        <v>584</v>
      </c>
      <c r="E316" s="154"/>
      <c r="F316" s="154"/>
      <c r="G316" s="154"/>
      <c r="H316" s="155"/>
      <c r="I316" s="125"/>
    </row>
    <row r="317" spans="2:9" x14ac:dyDescent="0.3">
      <c r="B317" s="126"/>
      <c r="C317" s="153"/>
      <c r="D317" s="154" t="s">
        <v>585</v>
      </c>
      <c r="E317" s="154"/>
      <c r="F317" s="154"/>
      <c r="G317" s="154"/>
      <c r="H317" s="154"/>
      <c r="I317" s="125"/>
    </row>
    <row r="318" spans="2:9" x14ac:dyDescent="0.3">
      <c r="B318" s="126"/>
      <c r="C318" s="144" t="s">
        <v>10</v>
      </c>
      <c r="D318" s="130" t="e">
        <f>D305/0.98</f>
        <v>#REF!</v>
      </c>
      <c r="E318" s="116" t="s">
        <v>262</v>
      </c>
      <c r="I318" s="125"/>
    </row>
    <row r="319" spans="2:9" x14ac:dyDescent="0.3">
      <c r="B319" s="126"/>
      <c r="C319" s="144" t="s">
        <v>10</v>
      </c>
      <c r="D319" s="227" t="e">
        <f>D306/0.98</f>
        <v>#REF!</v>
      </c>
      <c r="E319" s="116" t="s">
        <v>586</v>
      </c>
      <c r="I319" s="125"/>
    </row>
    <row r="320" spans="2:9" x14ac:dyDescent="0.3">
      <c r="B320" s="126"/>
      <c r="G320" s="238"/>
      <c r="I320" s="125"/>
    </row>
    <row r="321" spans="2:9" x14ac:dyDescent="0.3">
      <c r="B321" s="147">
        <v>5</v>
      </c>
      <c r="C321" s="120" t="s">
        <v>307</v>
      </c>
      <c r="D321" s="138"/>
      <c r="E321" s="138"/>
      <c r="F321" s="138"/>
      <c r="G321" s="138"/>
      <c r="H321" s="138"/>
      <c r="I321" s="118"/>
    </row>
    <row r="322" spans="2:9" x14ac:dyDescent="0.3">
      <c r="B322" s="126"/>
      <c r="C322" s="116" t="s">
        <v>587</v>
      </c>
      <c r="I322" s="125"/>
    </row>
    <row r="323" spans="2:9" x14ac:dyDescent="0.3">
      <c r="B323" s="126"/>
      <c r="C323" s="116" t="s">
        <v>588</v>
      </c>
      <c r="E323" s="153"/>
      <c r="F323" s="203"/>
      <c r="G323" s="155"/>
      <c r="H323" s="155"/>
      <c r="I323" s="125"/>
    </row>
    <row r="324" spans="2:9" x14ac:dyDescent="0.3">
      <c r="B324" s="126"/>
      <c r="C324" s="116" t="s">
        <v>589</v>
      </c>
      <c r="I324" s="125"/>
    </row>
    <row r="325" spans="2:9" x14ac:dyDescent="0.3">
      <c r="B325" s="126"/>
      <c r="C325" s="116" t="s">
        <v>590</v>
      </c>
      <c r="I325" s="125"/>
    </row>
    <row r="326" spans="2:9" x14ac:dyDescent="0.3">
      <c r="B326" s="126"/>
      <c r="C326" s="116" t="s">
        <v>591</v>
      </c>
      <c r="H326" s="154"/>
      <c r="I326" s="125"/>
    </row>
    <row r="327" spans="2:9" x14ac:dyDescent="0.3">
      <c r="B327" s="126"/>
      <c r="C327" s="116" t="s">
        <v>592</v>
      </c>
      <c r="H327" s="154"/>
      <c r="I327" s="125"/>
    </row>
    <row r="328" spans="2:9" x14ac:dyDescent="0.3">
      <c r="B328" s="126"/>
      <c r="H328" s="155"/>
      <c r="I328" s="125"/>
    </row>
    <row r="329" spans="2:9" x14ac:dyDescent="0.3">
      <c r="B329" s="126"/>
      <c r="C329" s="116" t="s">
        <v>593</v>
      </c>
      <c r="I329" s="168"/>
    </row>
    <row r="330" spans="2:9" x14ac:dyDescent="0.3">
      <c r="B330" s="126"/>
      <c r="C330" s="116" t="s">
        <v>594</v>
      </c>
      <c r="E330" s="123">
        <v>0.98</v>
      </c>
      <c r="I330" s="168"/>
    </row>
    <row r="331" spans="2:9" ht="18" x14ac:dyDescent="0.4">
      <c r="B331" s="126"/>
      <c r="D331" s="153" t="s">
        <v>595</v>
      </c>
      <c r="E331" s="124" t="s">
        <v>596</v>
      </c>
      <c r="F331" s="203"/>
      <c r="I331" s="168"/>
    </row>
    <row r="332" spans="2:9" x14ac:dyDescent="0.3">
      <c r="B332" s="126"/>
      <c r="D332" s="144" t="s">
        <v>10</v>
      </c>
      <c r="E332" s="230" t="e">
        <f>D318/E330</f>
        <v>#REF!</v>
      </c>
      <c r="F332" s="116" t="s">
        <v>262</v>
      </c>
      <c r="I332" s="125"/>
    </row>
    <row r="333" spans="2:9" x14ac:dyDescent="0.3">
      <c r="B333" s="126"/>
      <c r="D333" s="144" t="s">
        <v>10</v>
      </c>
      <c r="E333" s="237" t="e">
        <f>D319/E330</f>
        <v>#REF!</v>
      </c>
      <c r="F333" s="116" t="s">
        <v>260</v>
      </c>
      <c r="I333" s="125"/>
    </row>
    <row r="334" spans="2:9" x14ac:dyDescent="0.3">
      <c r="B334" s="126"/>
      <c r="I334" s="125"/>
    </row>
    <row r="335" spans="2:9" x14ac:dyDescent="0.3">
      <c r="B335" s="126"/>
      <c r="C335" s="116" t="s">
        <v>317</v>
      </c>
      <c r="E335" s="235"/>
      <c r="F335" s="235"/>
      <c r="G335" s="235"/>
      <c r="I335" s="168"/>
    </row>
    <row r="336" spans="2:9" x14ac:dyDescent="0.3">
      <c r="B336" s="126"/>
      <c r="C336" s="116" t="s">
        <v>597</v>
      </c>
      <c r="E336" s="155"/>
      <c r="F336" s="155"/>
      <c r="G336" s="155"/>
      <c r="H336" s="155"/>
      <c r="I336" s="168"/>
    </row>
    <row r="337" spans="2:9" x14ac:dyDescent="0.3">
      <c r="B337" s="126"/>
      <c r="C337" s="116" t="s">
        <v>319</v>
      </c>
      <c r="I337" s="125"/>
    </row>
    <row r="338" spans="2:9" ht="18" x14ac:dyDescent="0.4">
      <c r="B338" s="126"/>
      <c r="D338" s="153" t="s">
        <v>598</v>
      </c>
      <c r="E338" s="155" t="s">
        <v>599</v>
      </c>
      <c r="F338" s="235"/>
      <c r="G338" s="155"/>
      <c r="I338" s="125"/>
    </row>
    <row r="339" spans="2:9" x14ac:dyDescent="0.3">
      <c r="B339" s="126"/>
      <c r="D339" s="144" t="s">
        <v>10</v>
      </c>
      <c r="E339" s="230" t="e">
        <f>E332/0.85</f>
        <v>#REF!</v>
      </c>
      <c r="F339" s="116" t="s">
        <v>262</v>
      </c>
      <c r="I339" s="125"/>
    </row>
    <row r="340" spans="2:9" x14ac:dyDescent="0.3">
      <c r="B340" s="134"/>
      <c r="C340" s="135"/>
      <c r="D340" s="149" t="s">
        <v>10</v>
      </c>
      <c r="E340" s="239" t="e">
        <f>E333/0.85</f>
        <v>#REF!</v>
      </c>
      <c r="F340" s="135" t="s">
        <v>260</v>
      </c>
      <c r="G340" s="135"/>
      <c r="H340" s="135"/>
      <c r="I340" s="136"/>
    </row>
    <row r="341" spans="2:9" x14ac:dyDescent="0.3">
      <c r="C341" s="172"/>
      <c r="D341" s="173"/>
      <c r="E341" s="173"/>
      <c r="F341" s="173"/>
      <c r="G341" s="173"/>
      <c r="H341" s="155"/>
    </row>
    <row r="342" spans="2:9" x14ac:dyDescent="0.3">
      <c r="C342" s="172"/>
      <c r="D342" s="173"/>
      <c r="E342" s="173"/>
      <c r="F342" s="173"/>
      <c r="G342" s="173"/>
      <c r="H342" s="155"/>
    </row>
    <row r="343" spans="2:9" x14ac:dyDescent="0.3">
      <c r="C343" s="172"/>
      <c r="D343" s="173"/>
      <c r="E343" s="173"/>
      <c r="F343" s="173"/>
      <c r="G343" s="173"/>
      <c r="H343" s="155"/>
    </row>
    <row r="344" spans="2:9" x14ac:dyDescent="0.3">
      <c r="C344" s="172"/>
      <c r="D344" s="173"/>
      <c r="E344" s="173"/>
      <c r="F344" s="173"/>
      <c r="G344" s="173"/>
      <c r="H344" s="155"/>
    </row>
    <row r="345" spans="2:9" x14ac:dyDescent="0.3">
      <c r="C345" s="172"/>
      <c r="D345" s="173"/>
      <c r="E345" s="173"/>
      <c r="F345" s="173"/>
      <c r="G345" s="173"/>
      <c r="H345" s="155"/>
    </row>
    <row r="346" spans="2:9" x14ac:dyDescent="0.3">
      <c r="C346" s="172"/>
      <c r="D346" s="173"/>
      <c r="E346" s="173"/>
      <c r="F346" s="173"/>
      <c r="G346" s="173"/>
      <c r="H346" s="155"/>
    </row>
    <row r="347" spans="2:9" x14ac:dyDescent="0.3">
      <c r="C347" s="172"/>
      <c r="D347" s="173"/>
      <c r="E347" s="173"/>
      <c r="F347" s="173"/>
      <c r="G347" s="173"/>
      <c r="H347" s="155"/>
    </row>
    <row r="348" spans="2:9" x14ac:dyDescent="0.3">
      <c r="C348" s="172"/>
      <c r="D348" s="173"/>
      <c r="E348" s="173"/>
      <c r="F348" s="173"/>
      <c r="G348" s="173"/>
      <c r="H348" s="155"/>
    </row>
    <row r="349" spans="2:9" x14ac:dyDescent="0.3">
      <c r="C349" s="172"/>
      <c r="D349" s="173"/>
      <c r="E349" s="173"/>
      <c r="F349" s="173"/>
      <c r="G349" s="173"/>
      <c r="H349" s="155"/>
    </row>
    <row r="350" spans="2:9" x14ac:dyDescent="0.3">
      <c r="C350" s="172"/>
      <c r="D350" s="173"/>
      <c r="E350" s="173"/>
      <c r="F350" s="173"/>
      <c r="G350" s="173"/>
      <c r="H350" s="155"/>
    </row>
    <row r="351" spans="2:9" x14ac:dyDescent="0.3">
      <c r="C351" s="172"/>
      <c r="D351" s="173"/>
      <c r="E351" s="173"/>
      <c r="F351" s="173"/>
      <c r="G351" s="173"/>
      <c r="H351" s="155"/>
    </row>
    <row r="352" spans="2:9" x14ac:dyDescent="0.3">
      <c r="C352" s="172"/>
      <c r="D352" s="173"/>
      <c r="E352" s="173"/>
      <c r="F352" s="173"/>
      <c r="G352" s="173"/>
      <c r="H352" s="155"/>
    </row>
    <row r="353" spans="3:8" x14ac:dyDescent="0.3">
      <c r="C353" s="172"/>
      <c r="D353" s="173"/>
      <c r="E353" s="173"/>
      <c r="F353" s="173"/>
      <c r="G353" s="173"/>
      <c r="H353" s="155"/>
    </row>
    <row r="354" spans="3:8" x14ac:dyDescent="0.3">
      <c r="C354" s="172"/>
      <c r="D354" s="173"/>
      <c r="E354" s="173"/>
      <c r="F354" s="173"/>
      <c r="G354" s="173"/>
      <c r="H354" s="155"/>
    </row>
    <row r="355" spans="3:8" x14ac:dyDescent="0.3">
      <c r="C355" s="172"/>
      <c r="D355" s="173"/>
      <c r="E355" s="173"/>
      <c r="F355" s="173"/>
      <c r="G355" s="173"/>
      <c r="H355" s="155"/>
    </row>
    <row r="356" spans="3:8" x14ac:dyDescent="0.3">
      <c r="C356" s="172"/>
      <c r="D356" s="173"/>
      <c r="E356" s="173"/>
      <c r="F356" s="173"/>
      <c r="G356" s="173"/>
      <c r="H356" s="155"/>
    </row>
    <row r="357" spans="3:8" x14ac:dyDescent="0.3">
      <c r="C357" s="172"/>
      <c r="D357" s="173"/>
      <c r="E357" s="173"/>
      <c r="F357" s="173"/>
      <c r="G357" s="173"/>
      <c r="H357" s="155"/>
    </row>
    <row r="370" spans="2:4" x14ac:dyDescent="0.3">
      <c r="D370" s="137"/>
    </row>
    <row r="371" spans="2:4" x14ac:dyDescent="0.3">
      <c r="D371" s="137"/>
    </row>
    <row r="372" spans="2:4" x14ac:dyDescent="0.3">
      <c r="D372" s="137"/>
    </row>
    <row r="373" spans="2:4" x14ac:dyDescent="0.3">
      <c r="D373" s="137"/>
    </row>
    <row r="374" spans="2:4" x14ac:dyDescent="0.3">
      <c r="D374" s="137"/>
    </row>
    <row r="375" spans="2:4" x14ac:dyDescent="0.3">
      <c r="D375" s="137"/>
    </row>
    <row r="376" spans="2:4" x14ac:dyDescent="0.3">
      <c r="D376" s="137"/>
    </row>
    <row r="377" spans="2:4" x14ac:dyDescent="0.3">
      <c r="D377" s="137"/>
    </row>
    <row r="378" spans="2:4" x14ac:dyDescent="0.3">
      <c r="B378" s="123"/>
    </row>
    <row r="387" spans="3:7" x14ac:dyDescent="0.3">
      <c r="D387" s="130"/>
    </row>
    <row r="388" spans="3:7" x14ac:dyDescent="0.3">
      <c r="C388" s="144"/>
      <c r="F388" s="144"/>
      <c r="G388" s="145"/>
    </row>
    <row r="389" spans="3:7" x14ac:dyDescent="0.3">
      <c r="C389" s="144"/>
      <c r="D389" s="130"/>
      <c r="F389" s="144"/>
    </row>
    <row r="391" spans="3:7" x14ac:dyDescent="0.3">
      <c r="C391" s="144"/>
      <c r="D391" s="130"/>
    </row>
    <row r="392" spans="3:7" x14ac:dyDescent="0.3">
      <c r="C392" s="144"/>
      <c r="D392" s="130"/>
    </row>
    <row r="393" spans="3:7" x14ac:dyDescent="0.3">
      <c r="C393" s="144"/>
      <c r="D393" s="130"/>
    </row>
    <row r="394" spans="3:7" x14ac:dyDescent="0.3">
      <c r="C394" s="144"/>
      <c r="D394" s="146"/>
    </row>
    <row r="395" spans="3:7" x14ac:dyDescent="0.3">
      <c r="C395" s="144"/>
      <c r="D395" s="130"/>
    </row>
    <row r="396" spans="3:7" x14ac:dyDescent="0.3">
      <c r="C396" s="144"/>
      <c r="D396" s="130"/>
    </row>
    <row r="399" spans="3:7" x14ac:dyDescent="0.3">
      <c r="C399" s="144"/>
      <c r="D399" s="130"/>
    </row>
    <row r="400" spans="3:7" x14ac:dyDescent="0.3">
      <c r="C400" s="123"/>
      <c r="D400" s="130"/>
    </row>
    <row r="401" spans="2:5" x14ac:dyDescent="0.3">
      <c r="C401" s="144"/>
      <c r="D401" s="240"/>
    </row>
    <row r="402" spans="2:5" x14ac:dyDescent="0.3">
      <c r="C402" s="144"/>
      <c r="D402" s="123"/>
    </row>
    <row r="403" spans="2:5" x14ac:dyDescent="0.3">
      <c r="C403" s="144"/>
      <c r="D403" s="241"/>
    </row>
    <row r="404" spans="2:5" x14ac:dyDescent="0.3">
      <c r="C404" s="144"/>
      <c r="D404" s="241"/>
    </row>
    <row r="405" spans="2:5" x14ac:dyDescent="0.3">
      <c r="C405" s="144"/>
      <c r="D405" s="242"/>
    </row>
    <row r="406" spans="2:5" x14ac:dyDescent="0.3">
      <c r="C406" s="144"/>
      <c r="D406" s="242"/>
    </row>
    <row r="407" spans="2:5" x14ac:dyDescent="0.3">
      <c r="C407" s="144"/>
      <c r="D407" s="242"/>
    </row>
    <row r="408" spans="2:5" x14ac:dyDescent="0.3">
      <c r="C408" s="144"/>
      <c r="D408" s="130"/>
    </row>
    <row r="409" spans="2:5" x14ac:dyDescent="0.3">
      <c r="B409" s="123"/>
    </row>
    <row r="412" spans="2:5" x14ac:dyDescent="0.3">
      <c r="D412" s="1270"/>
      <c r="E412" s="1270"/>
    </row>
    <row r="413" spans="2:5" x14ac:dyDescent="0.3">
      <c r="D413" s="130"/>
    </row>
    <row r="415" spans="2:5" x14ac:dyDescent="0.3">
      <c r="B415" s="123"/>
    </row>
    <row r="426" spans="5:5" x14ac:dyDescent="0.3">
      <c r="E426" s="230"/>
    </row>
    <row r="444" spans="3:5" ht="15" customHeight="1" x14ac:dyDescent="0.3"/>
    <row r="447" spans="3:5" x14ac:dyDescent="0.3">
      <c r="C447" s="127"/>
      <c r="D447" s="124"/>
      <c r="E447" s="124"/>
    </row>
    <row r="448" spans="3:5" x14ac:dyDescent="0.3">
      <c r="C448" s="127"/>
      <c r="D448" s="124"/>
      <c r="E448" s="124"/>
    </row>
    <row r="449" spans="3:11" x14ac:dyDescent="0.3">
      <c r="C449" s="127"/>
      <c r="D449" s="124"/>
    </row>
    <row r="450" spans="3:11" x14ac:dyDescent="0.3">
      <c r="C450" s="127"/>
      <c r="D450" s="243"/>
      <c r="I450" s="232"/>
      <c r="J450" s="144"/>
      <c r="K450" s="242"/>
    </row>
    <row r="451" spans="3:11" x14ac:dyDescent="0.3">
      <c r="C451" s="127"/>
      <c r="D451" s="124"/>
    </row>
    <row r="460" spans="3:11" x14ac:dyDescent="0.3">
      <c r="D460" s="1270"/>
      <c r="E460" s="1270"/>
      <c r="F460" s="1270"/>
    </row>
    <row r="461" spans="3:11" x14ac:dyDescent="0.3">
      <c r="E461" s="1270"/>
      <c r="F461" s="1270"/>
      <c r="G461" s="1270"/>
    </row>
    <row r="462" spans="3:11" x14ac:dyDescent="0.3">
      <c r="E462" s="231"/>
      <c r="G462" s="244"/>
    </row>
    <row r="465" spans="4:10" x14ac:dyDescent="0.3">
      <c r="D465" s="245"/>
      <c r="E465" s="245"/>
      <c r="F465" s="245"/>
      <c r="G465" s="245"/>
      <c r="H465" s="245"/>
      <c r="I465" s="246"/>
      <c r="J465" s="246"/>
    </row>
    <row r="466" spans="4:10" x14ac:dyDescent="0.3">
      <c r="D466" s="245"/>
      <c r="E466" s="245"/>
      <c r="F466" s="245"/>
      <c r="G466" s="247"/>
      <c r="H466" s="245"/>
      <c r="I466" s="246"/>
      <c r="J466" s="246"/>
    </row>
    <row r="467" spans="4:10" x14ac:dyDescent="0.3">
      <c r="D467" s="246"/>
      <c r="E467" s="245"/>
      <c r="F467" s="245"/>
      <c r="G467" s="245"/>
      <c r="H467" s="246"/>
      <c r="I467" s="248"/>
      <c r="J467" s="246"/>
    </row>
    <row r="468" spans="4:10" x14ac:dyDescent="0.3">
      <c r="D468" s="245"/>
      <c r="E468" s="249"/>
      <c r="F468" s="245"/>
      <c r="G468" s="245"/>
      <c r="H468" s="245"/>
      <c r="I468" s="246"/>
      <c r="J468" s="246"/>
    </row>
    <row r="469" spans="4:10" x14ac:dyDescent="0.3">
      <c r="D469" s="246"/>
      <c r="E469" s="246"/>
      <c r="F469" s="246"/>
      <c r="G469" s="246"/>
      <c r="H469" s="245"/>
      <c r="I469" s="246"/>
      <c r="J469" s="246"/>
    </row>
    <row r="470" spans="4:10" x14ac:dyDescent="0.3">
      <c r="D470" s="245"/>
      <c r="E470" s="245"/>
      <c r="F470" s="245"/>
      <c r="G470" s="245"/>
      <c r="H470" s="247"/>
      <c r="I470" s="246"/>
      <c r="J470" s="246"/>
    </row>
    <row r="471" spans="4:10" x14ac:dyDescent="0.3">
      <c r="D471" s="1271"/>
      <c r="E471" s="1271"/>
      <c r="F471" s="245"/>
      <c r="G471" s="245"/>
      <c r="H471" s="245"/>
      <c r="I471" s="246"/>
      <c r="J471" s="246"/>
    </row>
    <row r="472" spans="4:10" x14ac:dyDescent="0.3">
      <c r="D472" s="245"/>
      <c r="E472" s="249"/>
      <c r="F472" s="245"/>
      <c r="G472" s="245"/>
      <c r="H472" s="245"/>
      <c r="I472" s="246"/>
      <c r="J472" s="246"/>
    </row>
    <row r="473" spans="4:10" x14ac:dyDescent="0.3">
      <c r="D473" s="245"/>
      <c r="E473" s="245"/>
      <c r="F473" s="245"/>
      <c r="G473" s="245"/>
      <c r="H473" s="245"/>
      <c r="I473" s="246"/>
      <c r="J473" s="246"/>
    </row>
    <row r="474" spans="4:10" x14ac:dyDescent="0.3">
      <c r="D474" s="245"/>
      <c r="E474" s="245"/>
      <c r="F474" s="245"/>
      <c r="G474" s="245"/>
      <c r="H474" s="245"/>
      <c r="I474" s="246"/>
      <c r="J474" s="246"/>
    </row>
    <row r="475" spans="4:10" x14ac:dyDescent="0.3">
      <c r="D475" s="245"/>
      <c r="E475" s="249"/>
      <c r="F475" s="245"/>
      <c r="G475" s="246"/>
      <c r="H475" s="245"/>
      <c r="I475" s="246"/>
      <c r="J475" s="246"/>
    </row>
    <row r="476" spans="4:10" x14ac:dyDescent="0.3">
      <c r="D476" s="246"/>
      <c r="E476" s="246"/>
      <c r="F476" s="246"/>
      <c r="G476" s="246"/>
      <c r="H476" s="245"/>
      <c r="I476" s="246"/>
      <c r="J476" s="246"/>
    </row>
    <row r="477" spans="4:10" x14ac:dyDescent="0.3">
      <c r="D477" s="245"/>
      <c r="E477" s="245"/>
      <c r="F477" s="245"/>
      <c r="G477" s="245"/>
      <c r="H477" s="245"/>
      <c r="I477" s="246"/>
      <c r="J477" s="246"/>
    </row>
    <row r="478" spans="4:10" x14ac:dyDescent="0.3">
      <c r="D478" s="246"/>
      <c r="E478" s="246"/>
      <c r="F478" s="246"/>
      <c r="G478" s="245"/>
      <c r="H478" s="246"/>
      <c r="I478" s="246"/>
      <c r="J478" s="246"/>
    </row>
    <row r="479" spans="4:10" x14ac:dyDescent="0.3">
      <c r="D479" s="1271"/>
      <c r="E479" s="1271"/>
      <c r="F479" s="1271"/>
      <c r="G479" s="1271"/>
      <c r="H479" s="246"/>
      <c r="I479" s="246"/>
      <c r="J479" s="246"/>
    </row>
    <row r="480" spans="4:10" x14ac:dyDescent="0.3">
      <c r="D480" s="250"/>
      <c r="E480" s="249"/>
      <c r="F480" s="245"/>
      <c r="G480" s="246"/>
      <c r="H480" s="246"/>
      <c r="I480" s="246"/>
      <c r="J480" s="246"/>
    </row>
    <row r="481" spans="4:10" x14ac:dyDescent="0.3">
      <c r="D481" s="144"/>
      <c r="E481" s="251"/>
      <c r="J481" s="246"/>
    </row>
    <row r="486" spans="4:10" x14ac:dyDescent="0.3">
      <c r="D486" s="252"/>
      <c r="E486" s="144"/>
    </row>
    <row r="487" spans="4:10" x14ac:dyDescent="0.3">
      <c r="D487" s="144"/>
    </row>
    <row r="491" spans="4:10" x14ac:dyDescent="0.3">
      <c r="D491" s="252"/>
    </row>
    <row r="492" spans="4:10" x14ac:dyDescent="0.3">
      <c r="D492" s="252"/>
    </row>
    <row r="495" spans="4:10" x14ac:dyDescent="0.3">
      <c r="D495" s="155"/>
      <c r="E495" s="155"/>
      <c r="F495" s="155"/>
      <c r="G495" s="155"/>
      <c r="H495" s="155"/>
      <c r="I495" s="155"/>
      <c r="J495" s="155"/>
    </row>
    <row r="496" spans="4:10" x14ac:dyDescent="0.3">
      <c r="D496" s="155"/>
      <c r="E496" s="155"/>
      <c r="F496" s="155"/>
      <c r="G496" s="155"/>
      <c r="H496" s="155"/>
      <c r="I496" s="155"/>
      <c r="J496" s="155"/>
    </row>
    <row r="497" spans="4:10" x14ac:dyDescent="0.3">
      <c r="D497" s="153"/>
      <c r="E497" s="155"/>
      <c r="F497" s="155"/>
      <c r="G497" s="155"/>
      <c r="H497" s="155"/>
      <c r="I497" s="155"/>
      <c r="J497" s="155"/>
    </row>
    <row r="501" spans="4:10" x14ac:dyDescent="0.3">
      <c r="E501" s="124"/>
      <c r="F501" s="124"/>
    </row>
    <row r="502" spans="4:10" x14ac:dyDescent="0.3">
      <c r="E502" s="124"/>
      <c r="F502" s="124"/>
    </row>
    <row r="503" spans="4:10" x14ac:dyDescent="0.3">
      <c r="E503" s="124"/>
    </row>
    <row r="504" spans="4:10" x14ac:dyDescent="0.3">
      <c r="E504" s="124"/>
    </row>
    <row r="505" spans="4:10" x14ac:dyDescent="0.3">
      <c r="E505" s="124"/>
    </row>
    <row r="511" spans="4:10" x14ac:dyDescent="0.3">
      <c r="E511" s="231"/>
    </row>
    <row r="514" spans="3:13" ht="15.75" customHeight="1" x14ac:dyDescent="0.3">
      <c r="C514" s="1259"/>
      <c r="D514" s="1259"/>
      <c r="E514" s="1259"/>
      <c r="F514" s="1259"/>
      <c r="G514" s="1259"/>
      <c r="H514" s="1259"/>
      <c r="I514" s="1259"/>
      <c r="J514" s="1259"/>
      <c r="K514" s="1259"/>
      <c r="L514" s="1259"/>
      <c r="M514" s="1259"/>
    </row>
    <row r="525" spans="3:13" x14ac:dyDescent="0.3">
      <c r="E525" s="123"/>
      <c r="F525" s="123"/>
    </row>
    <row r="526" spans="3:13" x14ac:dyDescent="0.3">
      <c r="E526" s="231"/>
    </row>
    <row r="527" spans="3:13" x14ac:dyDescent="0.3">
      <c r="E527" s="231"/>
    </row>
    <row r="531" spans="2:6" x14ac:dyDescent="0.3">
      <c r="E531" s="230"/>
    </row>
    <row r="535" spans="2:6" x14ac:dyDescent="0.3">
      <c r="B535" s="123"/>
    </row>
    <row r="538" spans="2:6" x14ac:dyDescent="0.3">
      <c r="F538" s="130"/>
    </row>
    <row r="541" spans="2:6" x14ac:dyDescent="0.3">
      <c r="D541" s="123"/>
      <c r="E541" s="123"/>
    </row>
    <row r="543" spans="2:6" x14ac:dyDescent="0.3">
      <c r="E543" s="130"/>
    </row>
    <row r="544" spans="2:6" x14ac:dyDescent="0.3">
      <c r="E544" s="130"/>
    </row>
    <row r="547" spans="4:12" x14ac:dyDescent="0.3">
      <c r="D547" s="123"/>
      <c r="E547" s="123"/>
      <c r="F547" s="123"/>
      <c r="G547" s="123"/>
      <c r="H547" s="123"/>
      <c r="I547" s="123"/>
      <c r="J547" s="123"/>
    </row>
    <row r="552" spans="4:12" x14ac:dyDescent="0.3">
      <c r="L552" s="155"/>
    </row>
    <row r="553" spans="4:12" x14ac:dyDescent="0.3">
      <c r="G553" s="154"/>
      <c r="H553" s="154"/>
      <c r="I553" s="154"/>
      <c r="J553" s="154"/>
      <c r="K553" s="154"/>
      <c r="L553" s="155"/>
    </row>
    <row r="554" spans="4:12" x14ac:dyDescent="0.3">
      <c r="G554" s="155"/>
      <c r="H554" s="153"/>
      <c r="I554" s="155"/>
      <c r="J554" s="155"/>
      <c r="K554" s="155"/>
    </row>
    <row r="558" spans="4:12" x14ac:dyDescent="0.3">
      <c r="E558" s="130"/>
    </row>
    <row r="561" spans="4:11" x14ac:dyDescent="0.3">
      <c r="E561" s="253"/>
    </row>
    <row r="562" spans="4:11" x14ac:dyDescent="0.3">
      <c r="E562" s="155"/>
    </row>
    <row r="563" spans="4:11" x14ac:dyDescent="0.3">
      <c r="E563" s="155"/>
    </row>
    <row r="567" spans="4:11" x14ac:dyDescent="0.3">
      <c r="E567" s="130"/>
    </row>
    <row r="568" spans="4:11" x14ac:dyDescent="0.3">
      <c r="E568" s="130"/>
    </row>
    <row r="569" spans="4:11" x14ac:dyDescent="0.3">
      <c r="D569" s="154"/>
      <c r="E569" s="154"/>
      <c r="F569" s="155"/>
      <c r="G569" s="155"/>
      <c r="H569" s="228"/>
      <c r="I569" s="155"/>
      <c r="J569" s="155"/>
      <c r="K569" s="155"/>
    </row>
    <row r="570" spans="4:11" x14ac:dyDescent="0.3">
      <c r="D570" s="254"/>
      <c r="E570" s="155"/>
      <c r="F570" s="155"/>
      <c r="G570" s="155"/>
      <c r="H570" s="155"/>
      <c r="I570" s="155"/>
      <c r="J570" s="155"/>
      <c r="K570" s="155"/>
    </row>
    <row r="571" spans="4:11" x14ac:dyDescent="0.3">
      <c r="D571" s="254"/>
      <c r="E571" s="155"/>
      <c r="F571" s="155"/>
      <c r="G571" s="155"/>
      <c r="H571" s="155"/>
      <c r="I571" s="155"/>
      <c r="J571" s="155"/>
      <c r="K571" s="155"/>
    </row>
    <row r="572" spans="4:11" x14ac:dyDescent="0.3">
      <c r="D572" s="254"/>
      <c r="E572" s="155"/>
      <c r="F572" s="154"/>
      <c r="G572" s="155"/>
      <c r="H572" s="155"/>
      <c r="I572" s="155"/>
      <c r="J572" s="155"/>
      <c r="K572" s="155"/>
    </row>
    <row r="573" spans="4:11" x14ac:dyDescent="0.3">
      <c r="D573" s="255"/>
      <c r="E573" s="255"/>
      <c r="F573" s="155"/>
      <c r="G573" s="155"/>
      <c r="H573" s="155"/>
      <c r="I573" s="155"/>
      <c r="J573" s="155"/>
      <c r="K573" s="155"/>
    </row>
    <row r="574" spans="4:11" x14ac:dyDescent="0.3">
      <c r="D574" s="254"/>
      <c r="E574" s="155"/>
      <c r="F574" s="155"/>
      <c r="G574" s="155"/>
      <c r="H574" s="155"/>
      <c r="I574" s="228"/>
      <c r="J574" s="155"/>
      <c r="K574" s="155"/>
    </row>
    <row r="575" spans="4:11" x14ac:dyDescent="0.3">
      <c r="D575" s="255"/>
      <c r="E575" s="255"/>
      <c r="F575" s="155"/>
      <c r="G575" s="155"/>
      <c r="H575" s="155"/>
      <c r="I575" s="155"/>
      <c r="J575" s="155"/>
      <c r="K575" s="155"/>
    </row>
    <row r="576" spans="4:11" x14ac:dyDescent="0.3">
      <c r="D576" s="253"/>
      <c r="E576" s="155"/>
      <c r="F576" s="155"/>
      <c r="G576" s="155"/>
      <c r="H576" s="155"/>
      <c r="I576" s="155"/>
      <c r="J576" s="155"/>
      <c r="K576" s="155"/>
    </row>
    <row r="577" spans="4:11" x14ac:dyDescent="0.3">
      <c r="D577" s="253"/>
      <c r="E577" s="256"/>
      <c r="F577" s="155"/>
      <c r="G577" s="155"/>
      <c r="H577" s="155"/>
      <c r="I577" s="155"/>
      <c r="J577" s="155"/>
      <c r="K577" s="155"/>
    </row>
    <row r="578" spans="4:11" x14ac:dyDescent="0.3">
      <c r="D578" s="253"/>
      <c r="E578" s="155"/>
      <c r="F578" s="155"/>
      <c r="G578" s="155"/>
      <c r="H578" s="155"/>
      <c r="I578" s="155"/>
      <c r="J578" s="155"/>
      <c r="K578" s="155"/>
    </row>
    <row r="579" spans="4:11" x14ac:dyDescent="0.3">
      <c r="D579" s="153"/>
      <c r="E579" s="176"/>
      <c r="F579" s="155"/>
      <c r="G579" s="155"/>
      <c r="H579" s="155"/>
      <c r="I579" s="155"/>
      <c r="J579" s="155"/>
      <c r="K579" s="155"/>
    </row>
    <row r="580" spans="4:11" x14ac:dyDescent="0.3">
      <c r="D580" s="155"/>
      <c r="E580" s="155"/>
      <c r="F580" s="155"/>
      <c r="G580" s="155"/>
      <c r="H580" s="155"/>
      <c r="I580" s="155"/>
      <c r="J580" s="155"/>
      <c r="K580" s="155"/>
    </row>
    <row r="581" spans="4:11" x14ac:dyDescent="0.3">
      <c r="D581" s="153"/>
      <c r="E581" s="155"/>
      <c r="F581" s="155"/>
    </row>
    <row r="582" spans="4:11" x14ac:dyDescent="0.3">
      <c r="D582" s="153"/>
      <c r="E582" s="176"/>
      <c r="F582" s="155"/>
    </row>
    <row r="583" spans="4:11" x14ac:dyDescent="0.3">
      <c r="D583" s="155"/>
      <c r="E583" s="155"/>
      <c r="F583" s="155"/>
      <c r="G583" s="155"/>
      <c r="H583" s="155"/>
      <c r="I583" s="155"/>
      <c r="J583" s="155"/>
      <c r="K583" s="155"/>
    </row>
    <row r="584" spans="4:11" x14ac:dyDescent="0.3">
      <c r="D584" s="154"/>
      <c r="E584" s="154"/>
      <c r="F584" s="154"/>
      <c r="G584" s="154"/>
      <c r="H584" s="154"/>
      <c r="I584" s="154"/>
      <c r="J584" s="154"/>
      <c r="K584" s="155"/>
    </row>
    <row r="585" spans="4:11" x14ac:dyDescent="0.3">
      <c r="D585" s="155"/>
      <c r="E585" s="155"/>
      <c r="F585" s="155"/>
      <c r="G585" s="155"/>
      <c r="H585" s="155"/>
      <c r="I585" s="155"/>
      <c r="J585" s="155"/>
    </row>
    <row r="586" spans="4:11" x14ac:dyDescent="0.3">
      <c r="D586" s="153"/>
      <c r="E586" s="155"/>
      <c r="F586" s="155"/>
      <c r="G586" s="155"/>
      <c r="H586" s="155"/>
      <c r="I586" s="155"/>
      <c r="J586" s="155"/>
      <c r="K586" s="155"/>
    </row>
    <row r="587" spans="4:11" x14ac:dyDescent="0.3">
      <c r="D587" s="153"/>
      <c r="E587" s="176"/>
      <c r="F587" s="155"/>
      <c r="G587" s="155"/>
      <c r="H587" s="155"/>
      <c r="I587" s="155"/>
      <c r="J587" s="155"/>
      <c r="K587" s="155"/>
    </row>
    <row r="588" spans="4:11" x14ac:dyDescent="0.3">
      <c r="D588" s="153"/>
      <c r="E588" s="176"/>
      <c r="F588" s="155"/>
      <c r="G588" s="155"/>
      <c r="H588" s="155"/>
      <c r="I588" s="155"/>
      <c r="J588" s="155"/>
      <c r="K588" s="155"/>
    </row>
    <row r="590" spans="4:11" x14ac:dyDescent="0.3">
      <c r="D590" s="155"/>
      <c r="E590" s="155"/>
      <c r="F590" s="155"/>
      <c r="G590" s="203"/>
      <c r="H590" s="155"/>
      <c r="I590" s="155"/>
      <c r="J590" s="155"/>
      <c r="K590" s="155"/>
    </row>
    <row r="591" spans="4:11" x14ac:dyDescent="0.3">
      <c r="D591" s="155"/>
      <c r="E591" s="155"/>
      <c r="F591" s="155"/>
      <c r="G591" s="155"/>
      <c r="H591" s="155"/>
      <c r="I591" s="155"/>
      <c r="J591" s="155"/>
      <c r="K591" s="155"/>
    </row>
    <row r="592" spans="4:11" x14ac:dyDescent="0.3">
      <c r="D592" s="155"/>
      <c r="E592" s="155"/>
      <c r="F592" s="155"/>
      <c r="G592" s="155"/>
      <c r="H592" s="155"/>
      <c r="I592" s="155"/>
      <c r="J592" s="155"/>
      <c r="K592" s="155"/>
    </row>
    <row r="593" spans="4:11" x14ac:dyDescent="0.3">
      <c r="D593" s="155"/>
      <c r="E593" s="155"/>
      <c r="F593" s="155"/>
      <c r="G593" s="155"/>
      <c r="H593" s="155"/>
      <c r="I593" s="155"/>
      <c r="J593" s="155"/>
      <c r="K593" s="155"/>
    </row>
    <row r="594" spans="4:11" x14ac:dyDescent="0.3">
      <c r="D594" s="154"/>
      <c r="E594" s="154"/>
      <c r="F594" s="155"/>
      <c r="G594" s="155"/>
      <c r="H594" s="155"/>
      <c r="I594" s="155"/>
      <c r="J594" s="155"/>
      <c r="K594" s="155"/>
    </row>
    <row r="595" spans="4:11" ht="15" customHeight="1" x14ac:dyDescent="0.3">
      <c r="D595" s="155"/>
      <c r="E595" s="153"/>
      <c r="F595" s="203"/>
      <c r="G595" s="155"/>
      <c r="H595" s="155"/>
      <c r="I595" s="155"/>
      <c r="J595" s="155"/>
      <c r="K595" s="155"/>
    </row>
    <row r="596" spans="4:11" x14ac:dyDescent="0.3">
      <c r="D596" s="155"/>
      <c r="E596" s="153"/>
      <c r="F596" s="153"/>
      <c r="G596" s="155"/>
      <c r="H596" s="154"/>
      <c r="I596" s="154"/>
      <c r="J596" s="154"/>
      <c r="K596" s="155"/>
    </row>
    <row r="597" spans="4:11" x14ac:dyDescent="0.3">
      <c r="E597" s="144"/>
      <c r="F597" s="144"/>
    </row>
    <row r="598" spans="4:11" x14ac:dyDescent="0.3">
      <c r="E598" s="144"/>
    </row>
    <row r="599" spans="4:11" x14ac:dyDescent="0.3">
      <c r="D599" s="155"/>
    </row>
    <row r="600" spans="4:11" x14ac:dyDescent="0.3">
      <c r="F600" s="235"/>
      <c r="G600" s="235"/>
      <c r="H600" s="235"/>
      <c r="K600" s="186"/>
    </row>
    <row r="601" spans="4:11" x14ac:dyDescent="0.3">
      <c r="F601" s="155"/>
      <c r="G601" s="155"/>
      <c r="H601" s="155"/>
      <c r="I601" s="155"/>
      <c r="J601" s="257"/>
      <c r="K601" s="257"/>
    </row>
    <row r="602" spans="4:11" x14ac:dyDescent="0.3">
      <c r="J602" s="257"/>
    </row>
    <row r="603" spans="4:11" x14ac:dyDescent="0.3">
      <c r="E603" s="153"/>
      <c r="F603" s="155"/>
      <c r="G603" s="235"/>
      <c r="H603" s="155"/>
    </row>
    <row r="604" spans="4:11" x14ac:dyDescent="0.3">
      <c r="E604" s="153"/>
      <c r="F604" s="124"/>
      <c r="G604" s="155"/>
      <c r="H604" s="155"/>
    </row>
    <row r="605" spans="4:11" x14ac:dyDescent="0.3">
      <c r="E605" s="153"/>
      <c r="F605" s="124"/>
      <c r="G605" s="175"/>
      <c r="H605" s="155"/>
      <c r="I605" s="155"/>
    </row>
    <row r="709" ht="15" customHeight="1" x14ac:dyDescent="0.3"/>
  </sheetData>
  <mergeCells count="47">
    <mergeCell ref="D479:G479"/>
    <mergeCell ref="C514:M514"/>
    <mergeCell ref="D177:G179"/>
    <mergeCell ref="D412:E412"/>
    <mergeCell ref="D460:F460"/>
    <mergeCell ref="E461:G461"/>
    <mergeCell ref="D471:E471"/>
    <mergeCell ref="C141:D141"/>
    <mergeCell ref="C142:D142"/>
    <mergeCell ref="C143:D143"/>
    <mergeCell ref="D158:H159"/>
    <mergeCell ref="D171:G173"/>
    <mergeCell ref="D102:E102"/>
    <mergeCell ref="D103:E103"/>
    <mergeCell ref="C139:D140"/>
    <mergeCell ref="F139:F140"/>
    <mergeCell ref="G139:G140"/>
    <mergeCell ref="D97:E97"/>
    <mergeCell ref="D98:E98"/>
    <mergeCell ref="D99:E99"/>
    <mergeCell ref="D100:E100"/>
    <mergeCell ref="D101:E101"/>
    <mergeCell ref="C92:E92"/>
    <mergeCell ref="D93:E93"/>
    <mergeCell ref="D94:E94"/>
    <mergeCell ref="D95:E95"/>
    <mergeCell ref="D96:E96"/>
    <mergeCell ref="D55:F55"/>
    <mergeCell ref="D56:F56"/>
    <mergeCell ref="D57:F57"/>
    <mergeCell ref="D58:F58"/>
    <mergeCell ref="C76:E76"/>
    <mergeCell ref="B12:D12"/>
    <mergeCell ref="B16:D16"/>
    <mergeCell ref="B17:D17"/>
    <mergeCell ref="B18:D18"/>
    <mergeCell ref="D54:F54"/>
    <mergeCell ref="B6:D6"/>
    <mergeCell ref="B7:D7"/>
    <mergeCell ref="B8:D8"/>
    <mergeCell ref="B9:D9"/>
    <mergeCell ref="B11:D11"/>
    <mergeCell ref="B2:D2"/>
    <mergeCell ref="E2:F2"/>
    <mergeCell ref="B4:D4"/>
    <mergeCell ref="E4:F4"/>
    <mergeCell ref="B5:D5"/>
  </mergeCells>
  <pageMargins left="0.25" right="0.25" top="0.75" bottom="0.75" header="0.511811023622047" footer="0.511811023622047"/>
  <pageSetup paperSize="9" fitToHeight="0"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M82"/>
  <sheetViews>
    <sheetView showGridLines="0" topLeftCell="A139" zoomScale="115" zoomScaleNormal="115" workbookViewId="0">
      <selection activeCell="G26" sqref="G26"/>
    </sheetView>
  </sheetViews>
  <sheetFormatPr defaultColWidth="7.8984375" defaultRowHeight="12" x14ac:dyDescent="0.3"/>
  <cols>
    <col min="1" max="1" width="3.69921875" style="258" customWidth="1"/>
    <col min="2" max="2" width="20.5" style="258" customWidth="1"/>
    <col min="3" max="3" width="11.09765625" style="258" customWidth="1"/>
    <col min="4" max="7" width="7.8984375" style="258"/>
    <col min="8" max="8" width="9.765625E-2" style="258" customWidth="1"/>
    <col min="9" max="10" width="7.8984375" style="258"/>
    <col min="11" max="11" width="2.296875" style="258" customWidth="1"/>
    <col min="12" max="16384" width="7.8984375" style="258"/>
  </cols>
  <sheetData>
    <row r="2" spans="1:13" x14ac:dyDescent="0.25">
      <c r="A2" s="259"/>
      <c r="B2" s="260" t="s">
        <v>600</v>
      </c>
      <c r="C2" s="261"/>
      <c r="D2" s="261"/>
      <c r="E2" s="261"/>
      <c r="F2" s="261"/>
      <c r="G2" s="261"/>
      <c r="H2" s="262"/>
    </row>
    <row r="3" spans="1:13" x14ac:dyDescent="0.25">
      <c r="B3" s="263" t="s">
        <v>601</v>
      </c>
      <c r="C3" s="264" t="s">
        <v>602</v>
      </c>
      <c r="D3" s="259"/>
      <c r="E3" s="259" t="s">
        <v>263</v>
      </c>
      <c r="F3" s="259">
        <v>1.3596189999999999</v>
      </c>
      <c r="G3" s="259" t="s">
        <v>262</v>
      </c>
      <c r="H3" s="265"/>
      <c r="I3" s="259"/>
    </row>
    <row r="4" spans="1:13" x14ac:dyDescent="0.25">
      <c r="B4" s="263" t="s">
        <v>603</v>
      </c>
      <c r="C4" s="264" t="s">
        <v>604</v>
      </c>
      <c r="D4" s="259"/>
      <c r="E4" s="259" t="s">
        <v>605</v>
      </c>
      <c r="F4" s="259">
        <v>0.73550000000000004</v>
      </c>
      <c r="G4" s="259" t="s">
        <v>260</v>
      </c>
      <c r="H4" s="265"/>
      <c r="I4" s="259"/>
    </row>
    <row r="5" spans="1:13" x14ac:dyDescent="0.25">
      <c r="B5" s="263" t="s">
        <v>606</v>
      </c>
      <c r="C5" s="266" t="s">
        <v>607</v>
      </c>
      <c r="D5" s="259"/>
      <c r="E5" s="259"/>
      <c r="F5" s="259"/>
      <c r="G5" s="259"/>
      <c r="H5" s="265"/>
      <c r="I5" s="259"/>
    </row>
    <row r="6" spans="1:13" ht="15.75" customHeight="1" x14ac:dyDescent="0.25">
      <c r="B6" s="263" t="s">
        <v>608</v>
      </c>
      <c r="C6" s="266">
        <v>8400</v>
      </c>
      <c r="D6" s="259" t="s">
        <v>260</v>
      </c>
      <c r="E6" s="259"/>
      <c r="H6" s="267"/>
    </row>
    <row r="7" spans="1:13" x14ac:dyDescent="0.25">
      <c r="B7" s="263"/>
      <c r="C7" s="268">
        <f>C6/F4</f>
        <v>11420.802175390891</v>
      </c>
      <c r="D7" s="259" t="s">
        <v>262</v>
      </c>
      <c r="E7" s="259"/>
      <c r="F7" s="259"/>
      <c r="G7" s="259"/>
      <c r="H7" s="265"/>
      <c r="I7" s="259"/>
    </row>
    <row r="8" spans="1:13" x14ac:dyDescent="0.25">
      <c r="B8" s="263" t="s">
        <v>609</v>
      </c>
      <c r="C8" s="266">
        <v>7</v>
      </c>
      <c r="D8" s="259"/>
      <c r="E8" s="259"/>
      <c r="F8" s="259"/>
      <c r="G8" s="259"/>
      <c r="H8" s="265"/>
      <c r="I8" s="259"/>
    </row>
    <row r="9" spans="1:13" x14ac:dyDescent="0.25">
      <c r="B9" s="263" t="s">
        <v>610</v>
      </c>
      <c r="C9" s="266">
        <v>460</v>
      </c>
      <c r="D9" s="259" t="s">
        <v>28</v>
      </c>
      <c r="E9" s="259"/>
      <c r="F9" s="259"/>
      <c r="G9" s="259"/>
      <c r="H9" s="265"/>
      <c r="I9" s="259"/>
    </row>
    <row r="10" spans="1:13" ht="15.75" customHeight="1" x14ac:dyDescent="0.25">
      <c r="B10" s="263" t="s">
        <v>611</v>
      </c>
      <c r="C10" s="266">
        <v>580</v>
      </c>
      <c r="D10" s="259" t="s">
        <v>28</v>
      </c>
      <c r="E10" s="259"/>
      <c r="F10" s="259"/>
      <c r="G10" s="259"/>
      <c r="H10" s="265"/>
      <c r="I10" s="259"/>
    </row>
    <row r="11" spans="1:13" ht="15.75" customHeight="1" x14ac:dyDescent="0.25">
      <c r="B11" s="263" t="s">
        <v>612</v>
      </c>
      <c r="C11" s="266"/>
      <c r="D11" s="259"/>
      <c r="E11" s="259"/>
      <c r="F11" s="259"/>
      <c r="G11" s="259"/>
      <c r="H11" s="265"/>
      <c r="I11" s="259"/>
      <c r="J11" s="258" t="s">
        <v>613</v>
      </c>
      <c r="K11" s="258" t="s">
        <v>10</v>
      </c>
      <c r="L11" s="258">
        <v>1550</v>
      </c>
      <c r="M11" s="258" t="s">
        <v>28</v>
      </c>
    </row>
    <row r="12" spans="1:13" x14ac:dyDescent="0.25">
      <c r="B12" s="263" t="s">
        <v>614</v>
      </c>
      <c r="C12" s="266">
        <f>SUM(L11:L13)</f>
        <v>10005</v>
      </c>
      <c r="D12" s="259" t="s">
        <v>28</v>
      </c>
      <c r="E12" s="259"/>
      <c r="F12" s="259"/>
      <c r="G12" s="259"/>
      <c r="H12" s="265"/>
      <c r="I12" s="259"/>
      <c r="J12" s="258" t="s">
        <v>615</v>
      </c>
      <c r="K12" s="258" t="s">
        <v>10</v>
      </c>
      <c r="L12" s="258">
        <v>6990</v>
      </c>
      <c r="M12" s="258" t="s">
        <v>28</v>
      </c>
    </row>
    <row r="13" spans="1:13" x14ac:dyDescent="0.25">
      <c r="B13" s="263" t="s">
        <v>616</v>
      </c>
      <c r="C13" s="266">
        <v>3130</v>
      </c>
      <c r="D13" s="259" t="s">
        <v>28</v>
      </c>
      <c r="E13" s="259"/>
      <c r="F13" s="259"/>
      <c r="G13" s="259"/>
      <c r="H13" s="265"/>
      <c r="I13" s="259"/>
      <c r="J13" s="258" t="s">
        <v>617</v>
      </c>
      <c r="K13" s="258" t="s">
        <v>10</v>
      </c>
      <c r="L13" s="258">
        <v>1465</v>
      </c>
      <c r="M13" s="258" t="s">
        <v>28</v>
      </c>
    </row>
    <row r="14" spans="1:13" x14ac:dyDescent="0.25">
      <c r="B14" s="263" t="s">
        <v>618</v>
      </c>
      <c r="C14" s="266">
        <f>SUM(L14:L16)</f>
        <v>5230</v>
      </c>
      <c r="D14" s="259" t="s">
        <v>28</v>
      </c>
      <c r="E14" s="259"/>
      <c r="F14" s="259"/>
      <c r="G14" s="259"/>
      <c r="H14" s="265"/>
      <c r="I14" s="259"/>
      <c r="J14" s="258" t="s">
        <v>619</v>
      </c>
      <c r="K14" s="258" t="s">
        <v>10</v>
      </c>
      <c r="L14" s="258">
        <v>1430</v>
      </c>
      <c r="M14" s="258" t="s">
        <v>28</v>
      </c>
    </row>
    <row r="15" spans="1:13" x14ac:dyDescent="0.25">
      <c r="B15" s="263" t="s">
        <v>620</v>
      </c>
      <c r="C15" s="266"/>
      <c r="D15" s="259"/>
      <c r="E15" s="259"/>
      <c r="F15" s="259"/>
      <c r="G15" s="259"/>
      <c r="H15" s="265"/>
      <c r="I15" s="259"/>
    </row>
    <row r="16" spans="1:13" x14ac:dyDescent="0.25">
      <c r="B16" s="263" t="s">
        <v>621</v>
      </c>
      <c r="C16" s="266">
        <v>600</v>
      </c>
      <c r="D16" s="259" t="s">
        <v>622</v>
      </c>
      <c r="E16" s="259"/>
      <c r="F16" s="259"/>
      <c r="G16" s="259"/>
      <c r="H16" s="265"/>
      <c r="I16" s="259"/>
      <c r="J16" s="258" t="s">
        <v>623</v>
      </c>
      <c r="K16" s="258" t="s">
        <v>10</v>
      </c>
      <c r="L16" s="258">
        <v>3800</v>
      </c>
      <c r="M16" s="258" t="s">
        <v>28</v>
      </c>
    </row>
    <row r="17" spans="1:9" ht="15.75" customHeight="1" x14ac:dyDescent="0.25">
      <c r="B17" s="263" t="s">
        <v>133</v>
      </c>
      <c r="C17" s="266">
        <v>96.4</v>
      </c>
      <c r="D17" s="259" t="s">
        <v>624</v>
      </c>
      <c r="E17" s="259"/>
      <c r="F17" s="259"/>
      <c r="G17" s="259"/>
      <c r="H17" s="265"/>
      <c r="I17" s="259"/>
    </row>
    <row r="18" spans="1:9" ht="15.75" customHeight="1" x14ac:dyDescent="0.25">
      <c r="B18" s="263" t="s">
        <v>625</v>
      </c>
      <c r="C18" s="269">
        <f>C6/C16</f>
        <v>14</v>
      </c>
      <c r="D18" s="259"/>
      <c r="E18" s="259"/>
      <c r="F18" s="259"/>
      <c r="G18" s="259"/>
      <c r="H18" s="265"/>
      <c r="I18" s="259"/>
    </row>
    <row r="19" spans="1:9" x14ac:dyDescent="0.25">
      <c r="A19" s="259"/>
      <c r="B19" s="270"/>
      <c r="C19" s="271"/>
      <c r="D19" s="271"/>
      <c r="E19" s="271"/>
      <c r="F19" s="271"/>
      <c r="G19" s="271"/>
      <c r="H19" s="272"/>
    </row>
    <row r="20" spans="1:9" x14ac:dyDescent="0.25">
      <c r="B20" s="273" t="s">
        <v>626</v>
      </c>
      <c r="C20" s="274"/>
      <c r="D20" s="275"/>
      <c r="E20" s="261"/>
      <c r="F20" s="261"/>
      <c r="G20" s="261"/>
      <c r="H20" s="262"/>
    </row>
    <row r="21" spans="1:9" ht="14.4" x14ac:dyDescent="0.25">
      <c r="A21" s="276"/>
      <c r="B21" s="277" t="s">
        <v>627</v>
      </c>
      <c r="C21" s="278">
        <v>8400</v>
      </c>
      <c r="D21" s="279" t="s">
        <v>586</v>
      </c>
      <c r="E21" s="280" t="s">
        <v>263</v>
      </c>
      <c r="F21" s="266">
        <v>1.3596189999999999</v>
      </c>
      <c r="G21" s="259" t="s">
        <v>262</v>
      </c>
      <c r="H21" s="265"/>
    </row>
    <row r="22" spans="1:9" x14ac:dyDescent="0.25">
      <c r="A22" s="276"/>
      <c r="B22" s="277" t="s">
        <v>10</v>
      </c>
      <c r="C22" s="278">
        <f>C21/F4</f>
        <v>11420.802175390891</v>
      </c>
      <c r="D22" s="279" t="s">
        <v>262</v>
      </c>
      <c r="E22" s="259"/>
      <c r="F22" s="259"/>
      <c r="G22" s="259"/>
      <c r="H22" s="265"/>
    </row>
    <row r="23" spans="1:9" x14ac:dyDescent="0.25">
      <c r="A23" s="276"/>
      <c r="B23" s="281"/>
      <c r="C23" s="282"/>
      <c r="D23" s="279"/>
      <c r="E23" s="259"/>
      <c r="F23" s="259"/>
      <c r="G23" s="259"/>
      <c r="H23" s="265"/>
    </row>
    <row r="24" spans="1:9" ht="14.4" x14ac:dyDescent="0.35">
      <c r="A24" s="276"/>
      <c r="B24" s="283" t="s">
        <v>628</v>
      </c>
      <c r="C24" s="279" t="s">
        <v>629</v>
      </c>
      <c r="D24" s="284"/>
      <c r="H24" s="267"/>
    </row>
    <row r="25" spans="1:9" x14ac:dyDescent="0.25">
      <c r="A25" s="276"/>
      <c r="B25" s="277" t="s">
        <v>10</v>
      </c>
      <c r="C25" s="278">
        <f>C21*0.9</f>
        <v>7560</v>
      </c>
      <c r="D25" s="279" t="s">
        <v>260</v>
      </c>
      <c r="E25" s="259"/>
      <c r="F25" s="259"/>
      <c r="G25" s="259"/>
      <c r="H25" s="265"/>
    </row>
    <row r="26" spans="1:9" x14ac:dyDescent="0.25">
      <c r="A26" s="276"/>
      <c r="B26" s="277" t="s">
        <v>10</v>
      </c>
      <c r="C26" s="278">
        <f>C25/F4</f>
        <v>10278.721957851802</v>
      </c>
      <c r="D26" s="279" t="s">
        <v>262</v>
      </c>
      <c r="E26" s="259"/>
      <c r="F26" s="259"/>
      <c r="G26" s="259"/>
      <c r="H26" s="265"/>
    </row>
    <row r="27" spans="1:9" x14ac:dyDescent="0.25">
      <c r="A27" s="276"/>
      <c r="B27" s="277"/>
      <c r="C27" s="259"/>
      <c r="D27" s="259"/>
      <c r="E27" s="259"/>
      <c r="F27" s="259"/>
      <c r="G27" s="259"/>
      <c r="H27" s="265"/>
    </row>
    <row r="28" spans="1:9" ht="14.4" x14ac:dyDescent="0.25">
      <c r="A28" s="276"/>
      <c r="B28" s="277" t="s">
        <v>630</v>
      </c>
      <c r="C28" s="279" t="s">
        <v>631</v>
      </c>
      <c r="D28" s="279"/>
      <c r="E28" s="259"/>
      <c r="F28" s="259"/>
      <c r="G28" s="259"/>
      <c r="H28" s="265"/>
    </row>
    <row r="29" spans="1:9" x14ac:dyDescent="0.25">
      <c r="A29" s="276"/>
      <c r="B29" s="277" t="s">
        <v>10</v>
      </c>
      <c r="C29" s="278">
        <f>C25*0.98</f>
        <v>7408.8</v>
      </c>
      <c r="D29" s="279" t="s">
        <v>260</v>
      </c>
      <c r="E29" s="259"/>
      <c r="F29" s="259"/>
      <c r="G29" s="259"/>
      <c r="H29" s="265"/>
    </row>
    <row r="30" spans="1:9" x14ac:dyDescent="0.25">
      <c r="A30" s="276"/>
      <c r="B30" s="277" t="s">
        <v>10</v>
      </c>
      <c r="C30" s="278">
        <f>C29/F4</f>
        <v>10073.147518694765</v>
      </c>
      <c r="D30" s="279" t="s">
        <v>262</v>
      </c>
      <c r="E30" s="259"/>
      <c r="F30" s="259"/>
      <c r="G30" s="259"/>
      <c r="H30" s="265"/>
    </row>
    <row r="31" spans="1:9" x14ac:dyDescent="0.25">
      <c r="A31" s="276"/>
      <c r="B31" s="277"/>
      <c r="C31" s="259"/>
      <c r="D31" s="259"/>
      <c r="E31" s="259"/>
      <c r="F31" s="259"/>
      <c r="G31" s="259"/>
      <c r="H31" s="265"/>
    </row>
    <row r="32" spans="1:9" x14ac:dyDescent="0.25">
      <c r="A32" s="276"/>
      <c r="B32" s="277" t="s">
        <v>632</v>
      </c>
      <c r="C32" s="279" t="s">
        <v>633</v>
      </c>
      <c r="D32" s="279"/>
      <c r="E32" s="259"/>
      <c r="F32" s="259"/>
      <c r="G32" s="259"/>
      <c r="H32" s="265"/>
    </row>
    <row r="33" spans="1:8" x14ac:dyDescent="0.25">
      <c r="A33" s="276"/>
      <c r="B33" s="277" t="s">
        <v>10</v>
      </c>
      <c r="C33" s="278">
        <f>C29*0.98</f>
        <v>7260.6239999999998</v>
      </c>
      <c r="D33" s="279" t="s">
        <v>260</v>
      </c>
      <c r="E33" s="259"/>
      <c r="F33" s="259"/>
      <c r="G33" s="259"/>
      <c r="H33" s="265"/>
    </row>
    <row r="34" spans="1:8" x14ac:dyDescent="0.25">
      <c r="A34" s="276"/>
      <c r="B34" s="277" t="s">
        <v>10</v>
      </c>
      <c r="C34" s="278">
        <f>C33/F4</f>
        <v>9871.6845683208685</v>
      </c>
      <c r="D34" s="279" t="s">
        <v>262</v>
      </c>
      <c r="E34" s="259"/>
      <c r="F34" s="259"/>
      <c r="G34" s="259"/>
      <c r="H34" s="265"/>
    </row>
    <row r="35" spans="1:8" x14ac:dyDescent="0.25">
      <c r="A35" s="276"/>
      <c r="B35" s="277"/>
      <c r="C35" s="259"/>
      <c r="D35" s="259"/>
      <c r="E35" s="259"/>
      <c r="F35" s="259"/>
      <c r="G35" s="259"/>
      <c r="H35" s="265"/>
    </row>
    <row r="36" spans="1:8" x14ac:dyDescent="0.25">
      <c r="A36" s="276"/>
      <c r="B36" s="277" t="s">
        <v>634</v>
      </c>
      <c r="C36" s="279" t="s">
        <v>635</v>
      </c>
      <c r="D36" s="279"/>
      <c r="E36" s="259"/>
      <c r="F36" s="259"/>
      <c r="G36" s="259"/>
      <c r="H36" s="265"/>
    </row>
    <row r="37" spans="1:8" x14ac:dyDescent="0.25">
      <c r="A37" s="276"/>
      <c r="B37" s="277" t="s">
        <v>10</v>
      </c>
      <c r="C37" s="278">
        <f>C33*HARVARLD!F223</f>
        <v>5562.5839103661983</v>
      </c>
      <c r="D37" s="279" t="s">
        <v>260</v>
      </c>
      <c r="E37" s="259"/>
      <c r="F37" s="259"/>
      <c r="G37" s="259"/>
      <c r="H37" s="265"/>
    </row>
    <row r="38" spans="1:8" x14ac:dyDescent="0.25">
      <c r="A38" s="276"/>
      <c r="B38" s="277" t="s">
        <v>10</v>
      </c>
      <c r="C38" s="278">
        <f>C37*F21</f>
        <v>7562.9947736281802</v>
      </c>
      <c r="D38" s="279" t="s">
        <v>262</v>
      </c>
      <c r="E38" s="259"/>
      <c r="F38" s="259"/>
      <c r="G38" s="259"/>
      <c r="H38" s="265"/>
    </row>
    <row r="39" spans="1:8" x14ac:dyDescent="0.25">
      <c r="A39" s="276"/>
      <c r="B39" s="277"/>
      <c r="C39" s="259"/>
      <c r="D39" s="259"/>
      <c r="E39" s="259"/>
      <c r="F39" s="259"/>
      <c r="G39" s="259"/>
      <c r="H39" s="265"/>
    </row>
    <row r="40" spans="1:8" x14ac:dyDescent="0.25">
      <c r="A40" s="276"/>
      <c r="B40" s="277" t="s">
        <v>636</v>
      </c>
      <c r="C40" s="279" t="s">
        <v>637</v>
      </c>
      <c r="D40" s="279"/>
      <c r="E40" s="259"/>
      <c r="F40" s="259"/>
      <c r="G40" s="259"/>
      <c r="H40" s="265"/>
    </row>
    <row r="41" spans="1:8" x14ac:dyDescent="0.25">
      <c r="A41" s="276"/>
      <c r="B41" s="277" t="s">
        <v>10</v>
      </c>
      <c r="C41" s="278">
        <f>C37*HARVARLD!F221</f>
        <v>6244.1963050167051</v>
      </c>
      <c r="D41" s="279" t="s">
        <v>260</v>
      </c>
      <c r="E41" s="259"/>
      <c r="F41" s="259"/>
      <c r="G41" s="259"/>
      <c r="H41" s="265"/>
    </row>
    <row r="42" spans="1:8" x14ac:dyDescent="0.25">
      <c r="A42" s="279"/>
      <c r="B42" s="277" t="s">
        <v>10</v>
      </c>
      <c r="C42" s="278">
        <f>C41*F21</f>
        <v>8489.7279360305074</v>
      </c>
      <c r="D42" s="279" t="s">
        <v>262</v>
      </c>
      <c r="E42" s="259"/>
      <c r="F42" s="259"/>
      <c r="G42" s="259"/>
      <c r="H42" s="265"/>
    </row>
    <row r="43" spans="1:8" x14ac:dyDescent="0.25">
      <c r="A43" s="259"/>
      <c r="B43" s="270"/>
      <c r="C43" s="271"/>
      <c r="D43" s="271"/>
      <c r="E43" s="271"/>
      <c r="F43" s="271"/>
      <c r="G43" s="271"/>
      <c r="H43" s="272"/>
    </row>
    <row r="44" spans="1:8" x14ac:dyDescent="0.3">
      <c r="B44" s="285" t="s">
        <v>638</v>
      </c>
      <c r="C44" s="286"/>
      <c r="D44" s="286"/>
      <c r="E44" s="287"/>
      <c r="F44" s="287"/>
      <c r="G44" s="287"/>
      <c r="H44" s="288"/>
    </row>
    <row r="45" spans="1:8" x14ac:dyDescent="0.3">
      <c r="B45" s="289"/>
      <c r="C45" s="290"/>
      <c r="D45" s="290"/>
      <c r="E45" s="291"/>
      <c r="F45" s="291"/>
      <c r="G45" s="291"/>
      <c r="H45" s="292"/>
    </row>
    <row r="46" spans="1:8" ht="15.75" customHeight="1" x14ac:dyDescent="0.25">
      <c r="A46" s="291"/>
      <c r="B46" s="293" t="s">
        <v>601</v>
      </c>
      <c r="C46" s="294" t="s">
        <v>639</v>
      </c>
      <c r="D46" s="295"/>
      <c r="E46" s="259"/>
      <c r="F46" s="259"/>
      <c r="G46" s="259"/>
      <c r="H46" s="265"/>
    </row>
    <row r="47" spans="1:8" ht="15.75" customHeight="1" x14ac:dyDescent="0.25">
      <c r="B47" s="293" t="s">
        <v>603</v>
      </c>
      <c r="C47" s="294" t="s">
        <v>640</v>
      </c>
      <c r="D47" s="296"/>
      <c r="E47" s="259"/>
      <c r="F47" s="259"/>
      <c r="G47" s="259"/>
      <c r="H47" s="265"/>
    </row>
    <row r="48" spans="1:8" ht="15.75" customHeight="1" x14ac:dyDescent="0.25">
      <c r="B48" s="263" t="s">
        <v>641</v>
      </c>
      <c r="C48" s="297">
        <f>C18</f>
        <v>14</v>
      </c>
      <c r="D48" s="297"/>
      <c r="E48" s="259"/>
      <c r="F48" s="259"/>
      <c r="G48" s="259"/>
      <c r="H48" s="265"/>
    </row>
    <row r="49" spans="1:8" ht="15.75" customHeight="1" x14ac:dyDescent="0.25">
      <c r="B49" s="293" t="s">
        <v>642</v>
      </c>
      <c r="C49" s="295">
        <v>4.41</v>
      </c>
      <c r="D49" s="295"/>
      <c r="E49" s="259"/>
      <c r="F49" s="259"/>
      <c r="G49" s="259"/>
      <c r="H49" s="265"/>
    </row>
    <row r="50" spans="1:8" x14ac:dyDescent="0.25">
      <c r="B50" s="263" t="s">
        <v>621</v>
      </c>
      <c r="C50" s="298">
        <f>C16/C49</f>
        <v>136.05442176870747</v>
      </c>
      <c r="D50" s="296" t="s">
        <v>622</v>
      </c>
      <c r="F50" s="259"/>
      <c r="G50" s="259"/>
      <c r="H50" s="265"/>
    </row>
    <row r="51" spans="1:8" ht="15.75" customHeight="1" x14ac:dyDescent="0.25">
      <c r="B51" s="263" t="s">
        <v>643</v>
      </c>
      <c r="C51" s="295"/>
      <c r="D51" s="296" t="s">
        <v>260</v>
      </c>
      <c r="F51" s="259"/>
      <c r="G51" s="259"/>
      <c r="H51" s="265"/>
    </row>
    <row r="52" spans="1:8" ht="15.75" customHeight="1" x14ac:dyDescent="0.25">
      <c r="B52" s="299"/>
      <c r="C52" s="1272"/>
      <c r="D52" s="1272"/>
      <c r="E52" s="296"/>
      <c r="F52" s="259"/>
      <c r="G52" s="259"/>
      <c r="H52" s="265"/>
    </row>
    <row r="53" spans="1:8" x14ac:dyDescent="0.25">
      <c r="B53" s="300" t="s">
        <v>644</v>
      </c>
      <c r="C53" s="301"/>
      <c r="D53" s="301"/>
      <c r="E53" s="301"/>
      <c r="F53" s="301"/>
      <c r="G53" s="261"/>
      <c r="H53" s="262"/>
    </row>
    <row r="54" spans="1:8" x14ac:dyDescent="0.25">
      <c r="B54" s="263" t="s">
        <v>614</v>
      </c>
      <c r="C54" s="296"/>
      <c r="D54" s="296"/>
      <c r="E54" s="296" t="s">
        <v>28</v>
      </c>
      <c r="F54" s="259" t="s">
        <v>645</v>
      </c>
      <c r="G54" s="259"/>
      <c r="H54" s="265"/>
    </row>
    <row r="55" spans="1:8" x14ac:dyDescent="0.25">
      <c r="B55" s="263" t="s">
        <v>616</v>
      </c>
      <c r="C55" s="296"/>
      <c r="D55" s="296"/>
      <c r="E55" s="296" t="s">
        <v>28</v>
      </c>
      <c r="F55" s="259" t="s">
        <v>646</v>
      </c>
      <c r="G55" s="259"/>
      <c r="H55" s="265"/>
    </row>
    <row r="56" spans="1:8" x14ac:dyDescent="0.25">
      <c r="B56" s="263" t="s">
        <v>618</v>
      </c>
      <c r="C56" s="296"/>
      <c r="D56" s="296"/>
      <c r="E56" s="296" t="s">
        <v>28</v>
      </c>
      <c r="F56" s="259" t="s">
        <v>647</v>
      </c>
      <c r="G56" s="259"/>
      <c r="H56" s="265"/>
    </row>
    <row r="57" spans="1:8" x14ac:dyDescent="0.25">
      <c r="A57" s="259"/>
      <c r="B57" s="263" t="s">
        <v>620</v>
      </c>
      <c r="C57" s="296"/>
      <c r="D57" s="296"/>
      <c r="E57" s="296" t="s">
        <v>648</v>
      </c>
      <c r="F57" s="259"/>
      <c r="G57" s="259"/>
      <c r="H57" s="265"/>
    </row>
    <row r="58" spans="1:8" x14ac:dyDescent="0.25">
      <c r="A58" s="259"/>
      <c r="B58" s="302"/>
      <c r="C58" s="303"/>
      <c r="D58" s="303"/>
      <c r="E58" s="304"/>
      <c r="F58" s="271"/>
      <c r="G58" s="271"/>
      <c r="H58" s="272"/>
    </row>
    <row r="59" spans="1:8" x14ac:dyDescent="0.25">
      <c r="A59" s="259"/>
      <c r="G59" s="259"/>
      <c r="H59" s="259"/>
    </row>
    <row r="60" spans="1:8" x14ac:dyDescent="0.25">
      <c r="A60" s="259"/>
      <c r="B60" s="259"/>
      <c r="C60" s="259"/>
      <c r="D60" s="259"/>
      <c r="E60" s="259"/>
      <c r="F60" s="259"/>
      <c r="G60" s="259"/>
      <c r="H60" s="259"/>
    </row>
    <row r="61" spans="1:8" x14ac:dyDescent="0.25">
      <c r="A61" s="259"/>
      <c r="B61" s="259"/>
      <c r="C61" s="259"/>
      <c r="D61" s="259"/>
      <c r="E61" s="259"/>
      <c r="F61" s="259"/>
      <c r="G61" s="259"/>
      <c r="H61" s="259"/>
    </row>
    <row r="62" spans="1:8" x14ac:dyDescent="0.25">
      <c r="A62" s="259"/>
      <c r="B62" s="259"/>
      <c r="C62" s="259"/>
      <c r="D62" s="259"/>
      <c r="E62" s="259"/>
      <c r="F62" s="259"/>
      <c r="G62" s="259"/>
      <c r="H62" s="259"/>
    </row>
    <row r="63" spans="1:8" x14ac:dyDescent="0.25">
      <c r="A63" s="259"/>
      <c r="B63" s="259"/>
      <c r="C63" s="259"/>
      <c r="D63" s="259"/>
      <c r="E63" s="259"/>
      <c r="F63" s="259"/>
      <c r="G63" s="259"/>
      <c r="H63" s="259"/>
    </row>
    <row r="64" spans="1:8" x14ac:dyDescent="0.25">
      <c r="A64" s="259"/>
      <c r="B64" s="259"/>
      <c r="C64" s="259"/>
      <c r="D64" s="259"/>
      <c r="E64" s="259"/>
      <c r="F64" s="259"/>
      <c r="G64" s="259"/>
      <c r="H64" s="259"/>
    </row>
    <row r="65" spans="1:8" x14ac:dyDescent="0.25">
      <c r="A65" s="259"/>
      <c r="B65" s="259"/>
      <c r="C65" s="259"/>
      <c r="D65" s="259"/>
      <c r="E65" s="259"/>
      <c r="F65" s="259"/>
      <c r="G65" s="259"/>
      <c r="H65" s="259"/>
    </row>
    <row r="66" spans="1:8" x14ac:dyDescent="0.25">
      <c r="A66" s="259"/>
      <c r="B66" s="259"/>
      <c r="C66" s="259"/>
      <c r="D66" s="259"/>
      <c r="E66" s="259"/>
      <c r="F66" s="259"/>
      <c r="G66" s="259"/>
      <c r="H66" s="259"/>
    </row>
    <row r="67" spans="1:8" x14ac:dyDescent="0.25">
      <c r="A67" s="259"/>
      <c r="B67" s="259"/>
      <c r="C67" s="259"/>
      <c r="D67" s="259"/>
      <c r="E67" s="259"/>
      <c r="F67" s="259"/>
      <c r="G67" s="259"/>
      <c r="H67" s="259"/>
    </row>
    <row r="68" spans="1:8" x14ac:dyDescent="0.25">
      <c r="A68" s="259"/>
      <c r="B68" s="259"/>
      <c r="C68" s="259"/>
      <c r="D68" s="259"/>
      <c r="E68" s="259"/>
      <c r="F68" s="259"/>
      <c r="G68" s="259"/>
      <c r="H68" s="259"/>
    </row>
    <row r="69" spans="1:8" x14ac:dyDescent="0.25">
      <c r="A69" s="259"/>
      <c r="B69" s="291"/>
      <c r="C69" s="291"/>
      <c r="D69" s="291"/>
      <c r="E69" s="291"/>
      <c r="F69" s="291"/>
      <c r="G69" s="291"/>
      <c r="H69" s="291"/>
    </row>
    <row r="70" spans="1:8" x14ac:dyDescent="0.25">
      <c r="A70" s="259"/>
      <c r="B70" s="291"/>
      <c r="C70" s="291"/>
      <c r="D70" s="291"/>
      <c r="E70" s="291"/>
      <c r="F70" s="291"/>
      <c r="G70" s="291"/>
      <c r="H70" s="291"/>
    </row>
    <row r="71" spans="1:8" x14ac:dyDescent="0.25">
      <c r="A71" s="259"/>
      <c r="B71" s="291"/>
      <c r="C71" s="291"/>
      <c r="D71" s="291"/>
      <c r="E71" s="291"/>
      <c r="F71" s="291"/>
      <c r="G71" s="291"/>
      <c r="H71" s="291"/>
    </row>
    <row r="72" spans="1:8" x14ac:dyDescent="0.25">
      <c r="A72" s="259"/>
      <c r="B72" s="259"/>
      <c r="C72" s="259"/>
      <c r="D72" s="259"/>
      <c r="E72" s="259"/>
      <c r="F72" s="259"/>
      <c r="G72" s="259"/>
      <c r="H72" s="259"/>
    </row>
    <row r="73" spans="1:8" x14ac:dyDescent="0.25">
      <c r="A73" s="259"/>
      <c r="B73" s="259"/>
      <c r="C73" s="259"/>
      <c r="D73" s="259"/>
      <c r="E73" s="259"/>
      <c r="F73" s="259"/>
      <c r="G73" s="259"/>
      <c r="H73" s="259"/>
    </row>
    <row r="74" spans="1:8" x14ac:dyDescent="0.25">
      <c r="A74" s="259"/>
      <c r="B74" s="259"/>
      <c r="C74" s="259"/>
      <c r="D74" s="259"/>
      <c r="E74" s="259"/>
      <c r="F74" s="259"/>
      <c r="G74" s="259"/>
      <c r="H74" s="259"/>
    </row>
    <row r="75" spans="1:8" x14ac:dyDescent="0.25">
      <c r="A75" s="259"/>
      <c r="B75" s="259"/>
      <c r="C75" s="259"/>
      <c r="D75" s="259"/>
      <c r="E75" s="259"/>
      <c r="F75" s="259"/>
      <c r="G75" s="259"/>
      <c r="H75" s="259"/>
    </row>
    <row r="76" spans="1:8" x14ac:dyDescent="0.25">
      <c r="A76" s="259"/>
      <c r="B76" s="259"/>
      <c r="C76" s="259"/>
      <c r="D76" s="259"/>
      <c r="E76" s="259"/>
      <c r="F76" s="259"/>
      <c r="G76" s="259"/>
      <c r="H76" s="259"/>
    </row>
    <row r="77" spans="1:8" x14ac:dyDescent="0.25">
      <c r="A77" s="259"/>
      <c r="B77" s="259"/>
      <c r="C77" s="259"/>
      <c r="D77" s="259"/>
      <c r="E77" s="259"/>
      <c r="F77" s="259"/>
      <c r="G77" s="259"/>
      <c r="H77" s="259"/>
    </row>
    <row r="78" spans="1:8" x14ac:dyDescent="0.25">
      <c r="A78" s="259"/>
      <c r="B78" s="259"/>
      <c r="C78" s="259"/>
      <c r="D78" s="259"/>
      <c r="E78" s="259"/>
      <c r="F78" s="259"/>
      <c r="G78" s="259"/>
      <c r="H78" s="259"/>
    </row>
    <row r="79" spans="1:8" x14ac:dyDescent="0.25">
      <c r="A79" s="259"/>
      <c r="B79" s="259"/>
      <c r="C79" s="259"/>
      <c r="D79" s="259"/>
      <c r="E79" s="259"/>
      <c r="F79" s="259"/>
      <c r="G79" s="259"/>
      <c r="H79" s="259"/>
    </row>
    <row r="80" spans="1:8" x14ac:dyDescent="0.25">
      <c r="A80" s="259"/>
      <c r="B80" s="259"/>
      <c r="C80" s="259"/>
      <c r="D80" s="259"/>
      <c r="E80" s="259"/>
      <c r="F80" s="259"/>
      <c r="G80" s="259"/>
      <c r="H80" s="259"/>
    </row>
    <row r="81" spans="1:8" x14ac:dyDescent="0.25">
      <c r="A81" s="259"/>
      <c r="B81" s="259"/>
      <c r="C81" s="259"/>
      <c r="D81" s="259"/>
      <c r="E81" s="259"/>
      <c r="F81" s="259"/>
      <c r="G81" s="259"/>
      <c r="H81" s="259"/>
    </row>
    <row r="82" spans="1:8" x14ac:dyDescent="0.25">
      <c r="A82" s="259"/>
      <c r="B82" s="259"/>
      <c r="C82" s="259"/>
      <c r="D82" s="259"/>
      <c r="E82" s="259"/>
      <c r="F82" s="259"/>
      <c r="G82" s="259"/>
      <c r="H82" s="259"/>
    </row>
  </sheetData>
  <mergeCells count="1">
    <mergeCell ref="C52:D52"/>
  </mergeCells>
  <pageMargins left="0.7" right="0.7" top="0.75" bottom="0.75" header="0.511811023622047" footer="0.511811023622047"/>
  <pageSetup fitToHeight="0"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Q388"/>
  <sheetViews>
    <sheetView topLeftCell="A264" zoomScaleNormal="100" workbookViewId="0">
      <selection activeCell="H264" sqref="H264"/>
    </sheetView>
  </sheetViews>
  <sheetFormatPr defaultColWidth="8" defaultRowHeight="12" x14ac:dyDescent="0.3"/>
  <cols>
    <col min="1" max="1" width="3.8984375" style="291" customWidth="1"/>
    <col min="2" max="2" width="3.69921875" style="291" customWidth="1"/>
    <col min="3" max="3" width="10.09765625" style="291" customWidth="1"/>
    <col min="4" max="4" width="13.69921875" style="291" customWidth="1"/>
    <col min="5" max="5" width="12.5" style="291" customWidth="1"/>
    <col min="6" max="6" width="12.8984375" style="291" customWidth="1"/>
    <col min="7" max="7" width="13.5" style="291" customWidth="1"/>
    <col min="8" max="8" width="14" style="291" customWidth="1"/>
    <col min="9" max="9" width="11.3984375" style="291" customWidth="1"/>
    <col min="10" max="10" width="8" style="291"/>
    <col min="11" max="11" width="12.8984375" style="291" customWidth="1"/>
    <col min="12" max="16384" width="8" style="291"/>
  </cols>
  <sheetData>
    <row r="2" spans="2:12" x14ac:dyDescent="0.25">
      <c r="B2" s="1273" t="s">
        <v>114</v>
      </c>
      <c r="C2" s="1273"/>
      <c r="D2" s="1273"/>
      <c r="E2" s="1273"/>
      <c r="F2" s="1273"/>
      <c r="G2" s="1273"/>
      <c r="I2" s="1273" t="s">
        <v>649</v>
      </c>
      <c r="J2" s="1273"/>
      <c r="K2" s="1273"/>
      <c r="L2" s="1273"/>
    </row>
    <row r="3" spans="2:12" x14ac:dyDescent="0.25">
      <c r="B3" s="305"/>
      <c r="C3" s="306"/>
      <c r="D3" s="306"/>
      <c r="E3" s="266"/>
      <c r="F3" s="266"/>
      <c r="G3" s="265"/>
      <c r="I3" s="307" t="s">
        <v>126</v>
      </c>
      <c r="J3" s="259"/>
      <c r="K3" s="259"/>
      <c r="L3" s="265"/>
    </row>
    <row r="4" spans="2:12" x14ac:dyDescent="0.25">
      <c r="B4" s="1274" t="s">
        <v>116</v>
      </c>
      <c r="C4" s="1274"/>
      <c r="D4" s="1274"/>
      <c r="E4" s="1275" t="s">
        <v>330</v>
      </c>
      <c r="F4" s="1275"/>
      <c r="G4" s="265"/>
      <c r="I4" s="309" t="s">
        <v>128</v>
      </c>
      <c r="J4" s="310">
        <f>HARVARLD!N23</f>
        <v>0.51444400000000001</v>
      </c>
      <c r="K4" s="259" t="s">
        <v>129</v>
      </c>
      <c r="L4" s="265"/>
    </row>
    <row r="5" spans="2:12" x14ac:dyDescent="0.25">
      <c r="B5" s="1274" t="s">
        <v>118</v>
      </c>
      <c r="C5" s="1274"/>
      <c r="D5" s="1274"/>
      <c r="E5" s="291" t="e">
        <f>HARVARLD!F6</f>
        <v>#REF!</v>
      </c>
      <c r="G5" s="265" t="s">
        <v>11</v>
      </c>
      <c r="I5" s="311" t="s">
        <v>650</v>
      </c>
      <c r="J5" s="312">
        <v>1.94384</v>
      </c>
      <c r="K5" s="291" t="s">
        <v>16</v>
      </c>
      <c r="L5" s="265"/>
    </row>
    <row r="6" spans="2:12" x14ac:dyDescent="0.25">
      <c r="B6" s="1274" t="s">
        <v>121</v>
      </c>
      <c r="C6" s="1274"/>
      <c r="D6" s="1274"/>
      <c r="E6" s="291" t="e">
        <f>HARVARLD!F8</f>
        <v>#REF!</v>
      </c>
      <c r="G6" s="265" t="s">
        <v>11</v>
      </c>
      <c r="I6" s="311" t="s">
        <v>263</v>
      </c>
      <c r="J6" s="312">
        <f>'EN &amp; GEAR'!F3</f>
        <v>1.3596189999999999</v>
      </c>
      <c r="K6" s="291" t="s">
        <v>262</v>
      </c>
      <c r="L6" s="265"/>
    </row>
    <row r="7" spans="2:12" x14ac:dyDescent="0.25">
      <c r="B7" s="1274" t="s">
        <v>124</v>
      </c>
      <c r="C7" s="1274"/>
      <c r="D7" s="1274"/>
      <c r="E7" s="313" t="e">
        <f>HARVARLD!F14</f>
        <v>#REF!</v>
      </c>
      <c r="F7" s="313"/>
      <c r="G7" s="265" t="s">
        <v>11</v>
      </c>
      <c r="I7" s="311" t="s">
        <v>605</v>
      </c>
      <c r="J7" s="312">
        <f>HARVARLD!I183</f>
        <v>0.73550000000000004</v>
      </c>
      <c r="K7" s="291" t="s">
        <v>315</v>
      </c>
      <c r="L7" s="292"/>
    </row>
    <row r="8" spans="2:12" x14ac:dyDescent="0.25">
      <c r="B8" s="1274" t="s">
        <v>12</v>
      </c>
      <c r="C8" s="1274"/>
      <c r="D8" s="1274"/>
      <c r="E8" s="291">
        <f>HARVARLD!F16</f>
        <v>23.7</v>
      </c>
      <c r="G8" s="265" t="s">
        <v>11</v>
      </c>
      <c r="I8" s="311" t="s">
        <v>651</v>
      </c>
      <c r="J8" s="310">
        <f>E11*J4</f>
        <v>8.2311040000000002</v>
      </c>
      <c r="K8" s="259" t="s">
        <v>129</v>
      </c>
      <c r="L8" s="292"/>
    </row>
    <row r="9" spans="2:12" x14ac:dyDescent="0.25">
      <c r="B9" s="1274" t="s">
        <v>14</v>
      </c>
      <c r="C9" s="1274"/>
      <c r="D9" s="1274"/>
      <c r="E9" s="291">
        <f>HARVARLD!F23</f>
        <v>9.9469999999999992</v>
      </c>
      <c r="G9" s="265" t="s">
        <v>11</v>
      </c>
      <c r="I9" s="309" t="s">
        <v>131</v>
      </c>
      <c r="J9" s="280">
        <v>9.8000000000000007</v>
      </c>
      <c r="K9" s="259" t="s">
        <v>132</v>
      </c>
      <c r="L9" s="265"/>
    </row>
    <row r="10" spans="2:12" x14ac:dyDescent="0.25">
      <c r="B10" s="305" t="s">
        <v>13</v>
      </c>
      <c r="C10" s="306"/>
      <c r="D10" s="306"/>
      <c r="E10" s="291">
        <f>HARVARLD!F25</f>
        <v>13.34</v>
      </c>
      <c r="G10" s="265" t="s">
        <v>11</v>
      </c>
      <c r="I10" s="314" t="s">
        <v>138</v>
      </c>
      <c r="J10" s="315">
        <v>5.0000000000000001E-3</v>
      </c>
      <c r="K10" s="271" t="s">
        <v>139</v>
      </c>
      <c r="L10" s="272"/>
    </row>
    <row r="11" spans="2:12" x14ac:dyDescent="0.25">
      <c r="B11" s="1274" t="s">
        <v>130</v>
      </c>
      <c r="C11" s="1274"/>
      <c r="D11" s="1274"/>
      <c r="E11" s="291">
        <f>HARVARLD!F27</f>
        <v>16</v>
      </c>
      <c r="G11" s="265" t="s">
        <v>16</v>
      </c>
    </row>
    <row r="12" spans="2:12" x14ac:dyDescent="0.25">
      <c r="B12" s="1274" t="s">
        <v>19</v>
      </c>
      <c r="C12" s="1274"/>
      <c r="D12" s="1274"/>
      <c r="E12" s="291" t="e">
        <f>HARVARLD!F28</f>
        <v>#REF!</v>
      </c>
      <c r="G12" s="265" t="s">
        <v>20</v>
      </c>
    </row>
    <row r="13" spans="2:12" x14ac:dyDescent="0.25">
      <c r="B13" s="305" t="s">
        <v>137</v>
      </c>
      <c r="C13" s="306"/>
      <c r="D13" s="306"/>
      <c r="E13" s="291">
        <f>HARVARLD!F30</f>
        <v>0.98199999999999998</v>
      </c>
      <c r="G13" s="265"/>
    </row>
    <row r="14" spans="2:12" x14ac:dyDescent="0.25">
      <c r="B14" s="305" t="s">
        <v>140</v>
      </c>
      <c r="C14" s="306"/>
      <c r="D14" s="306"/>
      <c r="E14" s="291">
        <f>HARVARLD!F31</f>
        <v>0.68</v>
      </c>
      <c r="G14" s="265"/>
    </row>
    <row r="15" spans="2:12" x14ac:dyDescent="0.25">
      <c r="B15" s="316" t="s">
        <v>141</v>
      </c>
      <c r="C15" s="317"/>
      <c r="D15" s="317"/>
      <c r="E15" s="318">
        <f>HARVARLD!F32</f>
        <v>0.69</v>
      </c>
      <c r="F15" s="318"/>
      <c r="G15" s="272"/>
    </row>
    <row r="17" spans="2:17" x14ac:dyDescent="0.3">
      <c r="B17" s="291" t="s">
        <v>652</v>
      </c>
    </row>
    <row r="18" spans="2:17" x14ac:dyDescent="0.3">
      <c r="B18" s="1276" t="s">
        <v>653</v>
      </c>
      <c r="C18" s="1276"/>
      <c r="D18" s="308" t="str">
        <f>'EN &amp; GEAR'!C3</f>
        <v>Wartsila</v>
      </c>
    </row>
    <row r="19" spans="2:17" ht="15.75" customHeight="1" x14ac:dyDescent="0.3">
      <c r="B19" s="1276" t="s">
        <v>654</v>
      </c>
      <c r="C19" s="1276"/>
      <c r="D19" s="308" t="str">
        <f>'EN &amp; GEAR'!C4</f>
        <v>7L46F</v>
      </c>
    </row>
    <row r="20" spans="2:17" ht="14.25" customHeight="1" x14ac:dyDescent="0.3">
      <c r="B20" s="1276" t="s">
        <v>655</v>
      </c>
      <c r="C20" s="1276"/>
      <c r="D20" s="308" t="str">
        <f>'EN &amp; GEAR'!C5</f>
        <v>4 stroke</v>
      </c>
      <c r="Q20" s="319"/>
    </row>
    <row r="21" spans="2:17" ht="14.25" customHeight="1" x14ac:dyDescent="0.3">
      <c r="B21" s="1276" t="s">
        <v>656</v>
      </c>
      <c r="C21" s="1276"/>
      <c r="D21" s="308">
        <f>'EN &amp; GEAR'!C6</f>
        <v>8400</v>
      </c>
      <c r="E21" s="291" t="s">
        <v>260</v>
      </c>
      <c r="F21" s="258"/>
      <c r="G21" s="258"/>
      <c r="H21" s="258"/>
    </row>
    <row r="22" spans="2:17" ht="14.25" customHeight="1" x14ac:dyDescent="0.3">
      <c r="B22" s="319"/>
      <c r="C22" s="319"/>
      <c r="D22" s="320">
        <f>D21*J6</f>
        <v>11420.799599999998</v>
      </c>
      <c r="E22" s="291" t="s">
        <v>262</v>
      </c>
    </row>
    <row r="23" spans="2:17" ht="15.75" customHeight="1" x14ac:dyDescent="0.3">
      <c r="B23" s="1276" t="s">
        <v>657</v>
      </c>
      <c r="C23" s="1276"/>
      <c r="D23" s="308">
        <f>'EN &amp; GEAR'!C8</f>
        <v>7</v>
      </c>
    </row>
    <row r="24" spans="2:17" ht="15.75" customHeight="1" x14ac:dyDescent="0.3">
      <c r="B24" s="1276" t="s">
        <v>658</v>
      </c>
      <c r="C24" s="1276"/>
      <c r="D24" s="308">
        <f>'EN &amp; GEAR'!C9</f>
        <v>460</v>
      </c>
      <c r="E24" s="291" t="s">
        <v>28</v>
      </c>
      <c r="K24" s="321"/>
    </row>
    <row r="25" spans="2:17" ht="15.75" customHeight="1" x14ac:dyDescent="0.3">
      <c r="B25" s="1276" t="s">
        <v>659</v>
      </c>
      <c r="C25" s="1276"/>
      <c r="D25" s="308">
        <f>'EN &amp; GEAR'!C10</f>
        <v>580</v>
      </c>
      <c r="E25" s="291" t="s">
        <v>28</v>
      </c>
      <c r="K25" s="322"/>
    </row>
    <row r="26" spans="2:17" ht="15.75" customHeight="1" x14ac:dyDescent="0.3">
      <c r="B26" s="319"/>
      <c r="C26" s="319"/>
      <c r="D26" s="308"/>
      <c r="K26" s="322"/>
    </row>
    <row r="27" spans="2:17" ht="15.75" customHeight="1" x14ac:dyDescent="0.3">
      <c r="B27" s="319" t="s">
        <v>660</v>
      </c>
      <c r="C27" s="319"/>
      <c r="D27" s="308"/>
    </row>
    <row r="28" spans="2:17" ht="15.75" customHeight="1" x14ac:dyDescent="0.25">
      <c r="B28" s="1276" t="s">
        <v>661</v>
      </c>
      <c r="C28" s="1276"/>
      <c r="D28" s="266">
        <f>'EN &amp; GEAR'!C12</f>
        <v>10005</v>
      </c>
      <c r="E28" s="291" t="s">
        <v>28</v>
      </c>
    </row>
    <row r="29" spans="2:17" ht="15.75" customHeight="1" x14ac:dyDescent="0.25">
      <c r="B29" s="1276" t="s">
        <v>662</v>
      </c>
      <c r="C29" s="1276"/>
      <c r="D29" s="266">
        <f>'EN &amp; GEAR'!C13</f>
        <v>3130</v>
      </c>
      <c r="E29" s="291" t="s">
        <v>28</v>
      </c>
      <c r="K29" s="323"/>
    </row>
    <row r="30" spans="2:17" ht="15.75" customHeight="1" x14ac:dyDescent="0.25">
      <c r="B30" s="1276" t="s">
        <v>663</v>
      </c>
      <c r="C30" s="1276"/>
      <c r="D30" s="266">
        <f>'EN &amp; GEAR'!C14</f>
        <v>5230</v>
      </c>
      <c r="E30" s="291" t="s">
        <v>28</v>
      </c>
    </row>
    <row r="31" spans="2:17" ht="15.75" customHeight="1" x14ac:dyDescent="0.3">
      <c r="B31" s="1276" t="s">
        <v>664</v>
      </c>
      <c r="C31" s="1276"/>
      <c r="D31" s="308">
        <f>'EN &amp; GEAR'!C16</f>
        <v>600</v>
      </c>
    </row>
    <row r="32" spans="2:17" x14ac:dyDescent="0.3">
      <c r="B32" s="1276" t="s">
        <v>133</v>
      </c>
      <c r="C32" s="1276"/>
      <c r="D32" s="308">
        <f>'EN &amp; GEAR'!C17</f>
        <v>96.4</v>
      </c>
      <c r="E32" s="291" t="str">
        <f>'EN &amp; GEAR'!D17</f>
        <v>l/cyl</v>
      </c>
    </row>
    <row r="33" spans="2:13" x14ac:dyDescent="0.3">
      <c r="B33" s="1276" t="s">
        <v>665</v>
      </c>
      <c r="C33" s="1276"/>
      <c r="D33" s="324">
        <f>D21/D31</f>
        <v>14</v>
      </c>
    </row>
    <row r="36" spans="2:13" ht="15.75" customHeight="1" x14ac:dyDescent="0.3">
      <c r="B36" s="291" t="s">
        <v>638</v>
      </c>
      <c r="I36" s="308"/>
      <c r="J36" s="308"/>
      <c r="K36" s="308"/>
      <c r="L36" s="308"/>
      <c r="M36" s="308"/>
    </row>
    <row r="37" spans="2:13" x14ac:dyDescent="0.3">
      <c r="G37" s="291" t="s">
        <v>666</v>
      </c>
    </row>
    <row r="38" spans="2:13" x14ac:dyDescent="0.3">
      <c r="B38" s="1277" t="s">
        <v>653</v>
      </c>
      <c r="C38" s="1277"/>
      <c r="D38" s="319" t="str">
        <f>'EN &amp; GEAR'!C46</f>
        <v>ZF Marine Gearbox</v>
      </c>
    </row>
    <row r="39" spans="2:13" x14ac:dyDescent="0.3">
      <c r="B39" s="1277" t="s">
        <v>654</v>
      </c>
      <c r="C39" s="1277"/>
      <c r="D39" s="319" t="str">
        <f>'EN &amp; GEAR'!C47</f>
        <v>ZF W43100 NC</v>
      </c>
    </row>
    <row r="40" spans="2:13" x14ac:dyDescent="0.3">
      <c r="B40" s="1276" t="s">
        <v>667</v>
      </c>
      <c r="C40" s="1276"/>
      <c r="D40" s="325">
        <f>'EN &amp; GEAR'!C48</f>
        <v>14</v>
      </c>
    </row>
    <row r="41" spans="2:13" x14ac:dyDescent="0.3">
      <c r="B41" s="1277" t="s">
        <v>668</v>
      </c>
      <c r="C41" s="1277"/>
      <c r="D41" s="308">
        <f>'EN &amp; GEAR'!C49</f>
        <v>4.41</v>
      </c>
      <c r="H41" s="291">
        <v>335.66642000000002</v>
      </c>
      <c r="I41" s="291">
        <v>5.2671339599592599E-3</v>
      </c>
    </row>
    <row r="42" spans="2:13" x14ac:dyDescent="0.3">
      <c r="B42" s="1276" t="s">
        <v>664</v>
      </c>
      <c r="C42" s="1276"/>
      <c r="D42" s="308">
        <f>'EN &amp; GEAR'!C50</f>
        <v>136.05442176870747</v>
      </c>
      <c r="E42" s="291" t="s">
        <v>622</v>
      </c>
      <c r="H42" s="291">
        <f>H41*I41</f>
        <v>1.7679999999999483</v>
      </c>
    </row>
    <row r="43" spans="2:13" x14ac:dyDescent="0.3">
      <c r="B43" s="1276" t="s">
        <v>669</v>
      </c>
      <c r="C43" s="1276"/>
      <c r="D43" s="308">
        <f>'EN &amp; GEAR'!C51</f>
        <v>0</v>
      </c>
      <c r="E43" s="291" t="s">
        <v>260</v>
      </c>
    </row>
    <row r="44" spans="2:13" x14ac:dyDescent="0.3">
      <c r="B44" s="258"/>
      <c r="C44" s="1275"/>
      <c r="D44" s="1275"/>
    </row>
    <row r="45" spans="2:13" x14ac:dyDescent="0.3">
      <c r="B45" s="319" t="s">
        <v>644</v>
      </c>
      <c r="C45" s="258"/>
      <c r="D45" s="258"/>
      <c r="E45" s="258"/>
      <c r="F45" s="258"/>
    </row>
    <row r="46" spans="2:13" x14ac:dyDescent="0.3">
      <c r="B46" s="1276" t="s">
        <v>661</v>
      </c>
      <c r="C46" s="1276"/>
      <c r="D46" s="308">
        <f>'EN &amp; GEAR'!C54</f>
        <v>0</v>
      </c>
      <c r="E46" s="291" t="s">
        <v>28</v>
      </c>
      <c r="F46" s="291" t="s">
        <v>645</v>
      </c>
    </row>
    <row r="47" spans="2:13" x14ac:dyDescent="0.3">
      <c r="B47" s="1276" t="s">
        <v>662</v>
      </c>
      <c r="C47" s="1276"/>
      <c r="D47" s="308">
        <f>'EN &amp; GEAR'!C55</f>
        <v>0</v>
      </c>
      <c r="E47" s="291" t="s">
        <v>28</v>
      </c>
      <c r="F47" s="291" t="s">
        <v>646</v>
      </c>
    </row>
    <row r="48" spans="2:13" x14ac:dyDescent="0.3">
      <c r="B48" s="1276" t="s">
        <v>663</v>
      </c>
      <c r="C48" s="1276"/>
      <c r="D48" s="308">
        <f>'EN &amp; GEAR'!C56</f>
        <v>0</v>
      </c>
      <c r="E48" s="291" t="s">
        <v>28</v>
      </c>
      <c r="F48" s="291" t="s">
        <v>647</v>
      </c>
    </row>
    <row r="49" spans="2:5" x14ac:dyDescent="0.3">
      <c r="B49" s="1276" t="s">
        <v>670</v>
      </c>
      <c r="C49" s="1276"/>
      <c r="D49" s="308">
        <f>'EN &amp; GEAR'!C57</f>
        <v>0</v>
      </c>
      <c r="E49" s="291" t="s">
        <v>648</v>
      </c>
    </row>
    <row r="50" spans="2:5" x14ac:dyDescent="0.3">
      <c r="B50" s="312"/>
      <c r="C50" s="308"/>
      <c r="D50" s="308"/>
    </row>
    <row r="51" spans="2:5" x14ac:dyDescent="0.3">
      <c r="B51" s="312"/>
      <c r="C51" s="308"/>
      <c r="D51" s="308"/>
    </row>
    <row r="52" spans="2:5" x14ac:dyDescent="0.3">
      <c r="B52" s="290" t="s">
        <v>671</v>
      </c>
    </row>
    <row r="53" spans="2:5" x14ac:dyDescent="0.3">
      <c r="B53" s="290" t="s">
        <v>672</v>
      </c>
    </row>
    <row r="54" spans="2:5" ht="14.4" x14ac:dyDescent="0.3">
      <c r="B54" s="326" t="s">
        <v>174</v>
      </c>
      <c r="C54" s="290" t="s">
        <v>673</v>
      </c>
    </row>
    <row r="55" spans="2:5" ht="14.4" x14ac:dyDescent="0.3">
      <c r="B55" s="308"/>
      <c r="C55" s="312" t="s">
        <v>674</v>
      </c>
      <c r="D55" s="291" t="s">
        <v>675</v>
      </c>
      <c r="E55" s="327"/>
    </row>
    <row r="56" spans="2:5" x14ac:dyDescent="0.3">
      <c r="B56" s="308"/>
      <c r="C56" s="312" t="s">
        <v>10</v>
      </c>
      <c r="D56" s="328">
        <f>D31/D41</f>
        <v>136.05442176870747</v>
      </c>
      <c r="E56" s="291" t="s">
        <v>622</v>
      </c>
    </row>
    <row r="57" spans="2:5" x14ac:dyDescent="0.3">
      <c r="B57" s="308"/>
      <c r="C57" s="312"/>
    </row>
    <row r="58" spans="2:5" x14ac:dyDescent="0.3">
      <c r="B58" s="308"/>
      <c r="C58" s="319" t="s">
        <v>676</v>
      </c>
    </row>
    <row r="59" spans="2:5" ht="14.4" x14ac:dyDescent="0.3">
      <c r="B59" s="308"/>
      <c r="C59" s="319" t="s">
        <v>677</v>
      </c>
    </row>
    <row r="60" spans="2:5" x14ac:dyDescent="0.3">
      <c r="B60" s="308"/>
    </row>
    <row r="61" spans="2:5" x14ac:dyDescent="0.3">
      <c r="B61" s="326" t="s">
        <v>175</v>
      </c>
      <c r="C61" s="290" t="s">
        <v>678</v>
      </c>
    </row>
    <row r="62" spans="2:5" x14ac:dyDescent="0.3">
      <c r="B62" s="308"/>
      <c r="C62" s="312" t="s">
        <v>679</v>
      </c>
      <c r="D62" s="291" t="s">
        <v>680</v>
      </c>
    </row>
    <row r="63" spans="2:5" x14ac:dyDescent="0.3">
      <c r="B63" s="308"/>
      <c r="C63" s="312" t="s">
        <v>10</v>
      </c>
      <c r="D63" s="329">
        <f>J8*(1-HARVARLD!F193)</f>
        <v>5.8440838399999997</v>
      </c>
      <c r="E63" s="330" t="s">
        <v>129</v>
      </c>
    </row>
    <row r="64" spans="2:5" x14ac:dyDescent="0.3">
      <c r="B64" s="308"/>
      <c r="C64" s="312" t="s">
        <v>10</v>
      </c>
      <c r="D64" s="329">
        <f>D63*J5</f>
        <v>11.3599639315456</v>
      </c>
      <c r="E64" s="330" t="s">
        <v>16</v>
      </c>
    </row>
    <row r="65" spans="2:5" x14ac:dyDescent="0.3">
      <c r="B65" s="308"/>
      <c r="C65" s="312"/>
      <c r="D65" s="319"/>
      <c r="E65" s="330"/>
    </row>
    <row r="66" spans="2:5" x14ac:dyDescent="0.3">
      <c r="B66" s="308"/>
      <c r="C66" s="291" t="s">
        <v>676</v>
      </c>
    </row>
    <row r="67" spans="2:5" x14ac:dyDescent="0.3">
      <c r="B67" s="308"/>
      <c r="C67" s="312" t="s">
        <v>571</v>
      </c>
      <c r="D67" s="291" t="s">
        <v>681</v>
      </c>
    </row>
    <row r="68" spans="2:5" x14ac:dyDescent="0.3">
      <c r="B68" s="308"/>
    </row>
    <row r="69" spans="2:5" x14ac:dyDescent="0.3">
      <c r="B69" s="326" t="s">
        <v>358</v>
      </c>
      <c r="C69" s="290" t="s">
        <v>682</v>
      </c>
    </row>
    <row r="70" spans="2:5" x14ac:dyDescent="0.3">
      <c r="B70" s="308"/>
    </row>
    <row r="71" spans="2:5" x14ac:dyDescent="0.3">
      <c r="B71" s="308"/>
    </row>
    <row r="72" spans="2:5" x14ac:dyDescent="0.3">
      <c r="B72" s="308"/>
      <c r="C72" s="291" t="s">
        <v>683</v>
      </c>
      <c r="D72" s="291" t="s">
        <v>684</v>
      </c>
    </row>
    <row r="73" spans="2:5" x14ac:dyDescent="0.3">
      <c r="B73" s="308"/>
      <c r="C73" s="331" t="s">
        <v>685</v>
      </c>
      <c r="D73" s="328">
        <f>(D56*('EN &amp; GEAR'!C34^0.5))/(D64^2.5)</f>
        <v>31.078919720791195</v>
      </c>
    </row>
    <row r="74" spans="2:5" x14ac:dyDescent="0.3">
      <c r="B74" s="308"/>
      <c r="C74" s="331"/>
      <c r="D74" s="328"/>
    </row>
    <row r="75" spans="2:5" x14ac:dyDescent="0.3">
      <c r="B75" s="308"/>
      <c r="C75" s="291" t="s">
        <v>676</v>
      </c>
      <c r="D75" s="291" t="s">
        <v>686</v>
      </c>
    </row>
    <row r="76" spans="2:5" x14ac:dyDescent="0.3">
      <c r="B76" s="308"/>
      <c r="C76" s="312"/>
      <c r="D76" s="291" t="s">
        <v>687</v>
      </c>
    </row>
    <row r="77" spans="2:5" x14ac:dyDescent="0.3">
      <c r="B77" s="308"/>
    </row>
    <row r="78" spans="2:5" ht="13.2" x14ac:dyDescent="0.3">
      <c r="B78" s="326" t="s">
        <v>362</v>
      </c>
      <c r="C78" s="332" t="s">
        <v>688</v>
      </c>
      <c r="D78" s="291" t="s">
        <v>689</v>
      </c>
    </row>
    <row r="79" spans="2:5" x14ac:dyDescent="0.3">
      <c r="B79" s="308"/>
      <c r="D79" s="328">
        <f>0.1739*(D73^0.5)</f>
        <v>0.96946590339711691</v>
      </c>
    </row>
    <row r="81" spans="2:11" x14ac:dyDescent="0.25">
      <c r="B81" s="333" t="s">
        <v>690</v>
      </c>
    </row>
    <row r="82" spans="2:11" x14ac:dyDescent="0.3">
      <c r="B82" s="326" t="s">
        <v>174</v>
      </c>
      <c r="C82" s="290" t="s">
        <v>691</v>
      </c>
    </row>
    <row r="83" spans="2:11" ht="14.4" x14ac:dyDescent="0.3">
      <c r="C83" s="312" t="s">
        <v>692</v>
      </c>
      <c r="D83" s="291" t="s">
        <v>693</v>
      </c>
    </row>
    <row r="84" spans="2:11" x14ac:dyDescent="0.3">
      <c r="C84" s="312" t="s">
        <v>10</v>
      </c>
      <c r="D84" s="322">
        <f>0.65*E9</f>
        <v>6.4655499999999995</v>
      </c>
    </row>
    <row r="86" spans="2:11" ht="15" customHeight="1" x14ac:dyDescent="0.25">
      <c r="C86" s="334" t="s">
        <v>694</v>
      </c>
      <c r="D86" s="335" t="s">
        <v>695</v>
      </c>
      <c r="E86" s="336" t="s">
        <v>696</v>
      </c>
      <c r="F86" s="336" t="s">
        <v>697</v>
      </c>
      <c r="G86" s="336" t="s">
        <v>698</v>
      </c>
      <c r="H86" s="336" t="s">
        <v>699</v>
      </c>
      <c r="I86" s="336" t="s">
        <v>700</v>
      </c>
      <c r="J86" s="336" t="s">
        <v>701</v>
      </c>
      <c r="K86" s="337" t="s">
        <v>702</v>
      </c>
    </row>
    <row r="87" spans="2:11" x14ac:dyDescent="0.25">
      <c r="C87" s="338" t="s">
        <v>703</v>
      </c>
      <c r="D87" s="268">
        <f>'EN &amp; GEAR'!C34</f>
        <v>9871.6845683208685</v>
      </c>
      <c r="E87" s="282">
        <f t="shared" ref="E87:E104" si="0">$D$31</f>
        <v>600</v>
      </c>
      <c r="F87" s="339">
        <f t="shared" ref="F87:F104" si="1">$D$56</f>
        <v>136.05442176870747</v>
      </c>
      <c r="G87" s="339">
        <f>HARVARLD!$F$193</f>
        <v>0.29000000000000004</v>
      </c>
      <c r="H87" s="282">
        <f t="shared" ref="H87:H104" si="2">$E$11</f>
        <v>16</v>
      </c>
      <c r="I87" s="278">
        <f t="shared" ref="I87:I104" si="3">$D$64</f>
        <v>11.3599639315456</v>
      </c>
      <c r="J87" s="278">
        <f t="shared" ref="J87:J104" si="4">$D$73</f>
        <v>31.078919720791195</v>
      </c>
      <c r="K87" s="340">
        <f t="shared" ref="K87:K104" si="5">$D$79</f>
        <v>0.96946590339711691</v>
      </c>
    </row>
    <row r="88" spans="2:11" x14ac:dyDescent="0.25">
      <c r="C88" s="338" t="s">
        <v>704</v>
      </c>
      <c r="D88" s="268">
        <f>'EN &amp; GEAR'!C34</f>
        <v>9871.6845683208685</v>
      </c>
      <c r="E88" s="282">
        <f t="shared" si="0"/>
        <v>600</v>
      </c>
      <c r="F88" s="339">
        <f t="shared" si="1"/>
        <v>136.05442176870747</v>
      </c>
      <c r="G88" s="339">
        <f>HARVARLD!$F$193</f>
        <v>0.29000000000000004</v>
      </c>
      <c r="H88" s="282">
        <f t="shared" si="2"/>
        <v>16</v>
      </c>
      <c r="I88" s="278">
        <f t="shared" si="3"/>
        <v>11.3599639315456</v>
      </c>
      <c r="J88" s="278">
        <f t="shared" si="4"/>
        <v>31.078919720791195</v>
      </c>
      <c r="K88" s="340">
        <f t="shared" si="5"/>
        <v>0.96946590339711691</v>
      </c>
    </row>
    <row r="89" spans="2:11" x14ac:dyDescent="0.25">
      <c r="C89" s="338" t="s">
        <v>705</v>
      </c>
      <c r="D89" s="268">
        <f>'EN &amp; GEAR'!C34</f>
        <v>9871.6845683208685</v>
      </c>
      <c r="E89" s="282">
        <f t="shared" si="0"/>
        <v>600</v>
      </c>
      <c r="F89" s="339">
        <f t="shared" si="1"/>
        <v>136.05442176870747</v>
      </c>
      <c r="G89" s="339">
        <f>HARVARLD!$F$193</f>
        <v>0.29000000000000004</v>
      </c>
      <c r="H89" s="282">
        <f t="shared" si="2"/>
        <v>16</v>
      </c>
      <c r="I89" s="278">
        <f t="shared" si="3"/>
        <v>11.3599639315456</v>
      </c>
      <c r="J89" s="278">
        <f t="shared" si="4"/>
        <v>31.078919720791195</v>
      </c>
      <c r="K89" s="340">
        <f t="shared" si="5"/>
        <v>0.96946590339711691</v>
      </c>
    </row>
    <row r="90" spans="2:11" x14ac:dyDescent="0.25">
      <c r="C90" s="338" t="s">
        <v>706</v>
      </c>
      <c r="D90" s="268">
        <f>'EN &amp; GEAR'!C34</f>
        <v>9871.6845683208685</v>
      </c>
      <c r="E90" s="282">
        <f t="shared" si="0"/>
        <v>600</v>
      </c>
      <c r="F90" s="339">
        <f t="shared" si="1"/>
        <v>136.05442176870747</v>
      </c>
      <c r="G90" s="339">
        <f>HARVARLD!$F$193</f>
        <v>0.29000000000000004</v>
      </c>
      <c r="H90" s="282">
        <f t="shared" si="2"/>
        <v>16</v>
      </c>
      <c r="I90" s="278">
        <f t="shared" si="3"/>
        <v>11.3599639315456</v>
      </c>
      <c r="J90" s="278">
        <f t="shared" si="4"/>
        <v>31.078919720791195</v>
      </c>
      <c r="K90" s="340">
        <f t="shared" si="5"/>
        <v>0.96946590339711691</v>
      </c>
    </row>
    <row r="91" spans="2:11" x14ac:dyDescent="0.25">
      <c r="C91" s="338" t="s">
        <v>707</v>
      </c>
      <c r="D91" s="268">
        <f>'EN &amp; GEAR'!C34</f>
        <v>9871.6845683208685</v>
      </c>
      <c r="E91" s="282">
        <f t="shared" si="0"/>
        <v>600</v>
      </c>
      <c r="F91" s="339">
        <f t="shared" si="1"/>
        <v>136.05442176870747</v>
      </c>
      <c r="G91" s="339">
        <f>HARVARLD!$F$193</f>
        <v>0.29000000000000004</v>
      </c>
      <c r="H91" s="282">
        <f t="shared" si="2"/>
        <v>16</v>
      </c>
      <c r="I91" s="278">
        <f t="shared" si="3"/>
        <v>11.3599639315456</v>
      </c>
      <c r="J91" s="278">
        <f t="shared" si="4"/>
        <v>31.078919720791195</v>
      </c>
      <c r="K91" s="340">
        <f t="shared" si="5"/>
        <v>0.96946590339711691</v>
      </c>
    </row>
    <row r="92" spans="2:11" x14ac:dyDescent="0.25">
      <c r="C92" s="338" t="s">
        <v>708</v>
      </c>
      <c r="D92" s="268">
        <f>'EN &amp; GEAR'!C34</f>
        <v>9871.6845683208685</v>
      </c>
      <c r="E92" s="282">
        <f t="shared" si="0"/>
        <v>600</v>
      </c>
      <c r="F92" s="339">
        <f t="shared" si="1"/>
        <v>136.05442176870747</v>
      </c>
      <c r="G92" s="339">
        <f>HARVARLD!$F$193</f>
        <v>0.29000000000000004</v>
      </c>
      <c r="H92" s="282">
        <f t="shared" si="2"/>
        <v>16</v>
      </c>
      <c r="I92" s="278">
        <f t="shared" si="3"/>
        <v>11.3599639315456</v>
      </c>
      <c r="J92" s="278">
        <f t="shared" si="4"/>
        <v>31.078919720791195</v>
      </c>
      <c r="K92" s="340">
        <f t="shared" si="5"/>
        <v>0.96946590339711691</v>
      </c>
    </row>
    <row r="93" spans="2:11" x14ac:dyDescent="0.25">
      <c r="C93" s="341" t="s">
        <v>709</v>
      </c>
      <c r="D93" s="268">
        <f>'EN &amp; GEAR'!C34</f>
        <v>9871.6845683208685</v>
      </c>
      <c r="E93" s="282">
        <f t="shared" si="0"/>
        <v>600</v>
      </c>
      <c r="F93" s="339">
        <f t="shared" si="1"/>
        <v>136.05442176870747</v>
      </c>
      <c r="G93" s="339">
        <f>HARVARLD!$F$193</f>
        <v>0.29000000000000004</v>
      </c>
      <c r="H93" s="282">
        <f t="shared" si="2"/>
        <v>16</v>
      </c>
      <c r="I93" s="278">
        <f t="shared" si="3"/>
        <v>11.3599639315456</v>
      </c>
      <c r="J93" s="278">
        <f t="shared" si="4"/>
        <v>31.078919720791195</v>
      </c>
      <c r="K93" s="340">
        <f t="shared" si="5"/>
        <v>0.96946590339711691</v>
      </c>
    </row>
    <row r="94" spans="2:11" x14ac:dyDescent="0.25">
      <c r="C94" s="338" t="s">
        <v>710</v>
      </c>
      <c r="D94" s="268">
        <f>'EN &amp; GEAR'!C34</f>
        <v>9871.6845683208685</v>
      </c>
      <c r="E94" s="282">
        <f t="shared" si="0"/>
        <v>600</v>
      </c>
      <c r="F94" s="339">
        <f t="shared" si="1"/>
        <v>136.05442176870747</v>
      </c>
      <c r="G94" s="339">
        <f>HARVARLD!$F$193</f>
        <v>0.29000000000000004</v>
      </c>
      <c r="H94" s="282">
        <f t="shared" si="2"/>
        <v>16</v>
      </c>
      <c r="I94" s="278">
        <f t="shared" si="3"/>
        <v>11.3599639315456</v>
      </c>
      <c r="J94" s="278">
        <f t="shared" si="4"/>
        <v>31.078919720791195</v>
      </c>
      <c r="K94" s="340">
        <f t="shared" si="5"/>
        <v>0.96946590339711691</v>
      </c>
    </row>
    <row r="95" spans="2:11" x14ac:dyDescent="0.25">
      <c r="C95" s="341" t="s">
        <v>711</v>
      </c>
      <c r="D95" s="268">
        <f>'EN &amp; GEAR'!C34</f>
        <v>9871.6845683208685</v>
      </c>
      <c r="E95" s="282">
        <f t="shared" si="0"/>
        <v>600</v>
      </c>
      <c r="F95" s="339">
        <f t="shared" si="1"/>
        <v>136.05442176870747</v>
      </c>
      <c r="G95" s="339">
        <f>HARVARLD!$F$193</f>
        <v>0.29000000000000004</v>
      </c>
      <c r="H95" s="282">
        <f t="shared" si="2"/>
        <v>16</v>
      </c>
      <c r="I95" s="278">
        <f t="shared" si="3"/>
        <v>11.3599639315456</v>
      </c>
      <c r="J95" s="278">
        <f t="shared" si="4"/>
        <v>31.078919720791195</v>
      </c>
      <c r="K95" s="340">
        <f t="shared" si="5"/>
        <v>0.96946590339711691</v>
      </c>
    </row>
    <row r="96" spans="2:11" x14ac:dyDescent="0.25">
      <c r="C96" s="338" t="s">
        <v>712</v>
      </c>
      <c r="D96" s="268">
        <f>'EN &amp; GEAR'!C34</f>
        <v>9871.6845683208685</v>
      </c>
      <c r="E96" s="282">
        <f t="shared" si="0"/>
        <v>600</v>
      </c>
      <c r="F96" s="339">
        <f t="shared" si="1"/>
        <v>136.05442176870747</v>
      </c>
      <c r="G96" s="339">
        <f>HARVARLD!$F$193</f>
        <v>0.29000000000000004</v>
      </c>
      <c r="H96" s="282">
        <f t="shared" si="2"/>
        <v>16</v>
      </c>
      <c r="I96" s="278">
        <f t="shared" si="3"/>
        <v>11.3599639315456</v>
      </c>
      <c r="J96" s="278">
        <f t="shared" si="4"/>
        <v>31.078919720791195</v>
      </c>
      <c r="K96" s="340">
        <f t="shared" si="5"/>
        <v>0.96946590339711691</v>
      </c>
    </row>
    <row r="97" spans="2:11" x14ac:dyDescent="0.25">
      <c r="C97" s="338" t="s">
        <v>713</v>
      </c>
      <c r="D97" s="268">
        <f>'EN &amp; GEAR'!C34</f>
        <v>9871.6845683208685</v>
      </c>
      <c r="E97" s="282">
        <f t="shared" si="0"/>
        <v>600</v>
      </c>
      <c r="F97" s="339">
        <f t="shared" si="1"/>
        <v>136.05442176870747</v>
      </c>
      <c r="G97" s="339">
        <f>HARVARLD!$F$193</f>
        <v>0.29000000000000004</v>
      </c>
      <c r="H97" s="282">
        <f t="shared" si="2"/>
        <v>16</v>
      </c>
      <c r="I97" s="278">
        <f t="shared" si="3"/>
        <v>11.3599639315456</v>
      </c>
      <c r="J97" s="278">
        <f t="shared" si="4"/>
        <v>31.078919720791195</v>
      </c>
      <c r="K97" s="340">
        <f t="shared" si="5"/>
        <v>0.96946590339711691</v>
      </c>
    </row>
    <row r="98" spans="2:11" x14ac:dyDescent="0.25">
      <c r="C98" s="338" t="s">
        <v>714</v>
      </c>
      <c r="D98" s="268">
        <f>'EN &amp; GEAR'!C34</f>
        <v>9871.6845683208685</v>
      </c>
      <c r="E98" s="282">
        <f t="shared" si="0"/>
        <v>600</v>
      </c>
      <c r="F98" s="339">
        <f t="shared" si="1"/>
        <v>136.05442176870747</v>
      </c>
      <c r="G98" s="339">
        <f>HARVARLD!$F$193</f>
        <v>0.29000000000000004</v>
      </c>
      <c r="H98" s="282">
        <f t="shared" si="2"/>
        <v>16</v>
      </c>
      <c r="I98" s="278">
        <f t="shared" si="3"/>
        <v>11.3599639315456</v>
      </c>
      <c r="J98" s="278">
        <f t="shared" si="4"/>
        <v>31.078919720791195</v>
      </c>
      <c r="K98" s="340">
        <f t="shared" si="5"/>
        <v>0.96946590339711691</v>
      </c>
    </row>
    <row r="99" spans="2:11" x14ac:dyDescent="0.25">
      <c r="C99" s="338" t="s">
        <v>715</v>
      </c>
      <c r="D99" s="268">
        <f>'EN &amp; GEAR'!C34</f>
        <v>9871.6845683208685</v>
      </c>
      <c r="E99" s="282">
        <f t="shared" si="0"/>
        <v>600</v>
      </c>
      <c r="F99" s="339">
        <f t="shared" si="1"/>
        <v>136.05442176870747</v>
      </c>
      <c r="G99" s="339">
        <f>HARVARLD!$F$193</f>
        <v>0.29000000000000004</v>
      </c>
      <c r="H99" s="282">
        <f t="shared" si="2"/>
        <v>16</v>
      </c>
      <c r="I99" s="278">
        <f t="shared" si="3"/>
        <v>11.3599639315456</v>
      </c>
      <c r="J99" s="278">
        <f t="shared" si="4"/>
        <v>31.078919720791195</v>
      </c>
      <c r="K99" s="340">
        <f t="shared" si="5"/>
        <v>0.96946590339711691</v>
      </c>
    </row>
    <row r="100" spans="2:11" x14ac:dyDescent="0.25">
      <c r="C100" s="338" t="s">
        <v>716</v>
      </c>
      <c r="D100" s="268">
        <f>'EN &amp; GEAR'!C34</f>
        <v>9871.6845683208685</v>
      </c>
      <c r="E100" s="282">
        <f t="shared" si="0"/>
        <v>600</v>
      </c>
      <c r="F100" s="339">
        <f t="shared" si="1"/>
        <v>136.05442176870747</v>
      </c>
      <c r="G100" s="339">
        <f>HARVARLD!$F$193</f>
        <v>0.29000000000000004</v>
      </c>
      <c r="H100" s="282">
        <f t="shared" si="2"/>
        <v>16</v>
      </c>
      <c r="I100" s="278">
        <f t="shared" si="3"/>
        <v>11.3599639315456</v>
      </c>
      <c r="J100" s="278">
        <f t="shared" si="4"/>
        <v>31.078919720791195</v>
      </c>
      <c r="K100" s="340">
        <f t="shared" si="5"/>
        <v>0.96946590339711691</v>
      </c>
    </row>
    <row r="101" spans="2:11" x14ac:dyDescent="0.25">
      <c r="C101" s="341" t="s">
        <v>717</v>
      </c>
      <c r="D101" s="268">
        <f>'EN &amp; GEAR'!C34</f>
        <v>9871.6845683208685</v>
      </c>
      <c r="E101" s="282">
        <f t="shared" si="0"/>
        <v>600</v>
      </c>
      <c r="F101" s="339">
        <f t="shared" si="1"/>
        <v>136.05442176870747</v>
      </c>
      <c r="G101" s="339">
        <f>HARVARLD!$F$193</f>
        <v>0.29000000000000004</v>
      </c>
      <c r="H101" s="282">
        <f t="shared" si="2"/>
        <v>16</v>
      </c>
      <c r="I101" s="278">
        <f t="shared" si="3"/>
        <v>11.3599639315456</v>
      </c>
      <c r="J101" s="278">
        <f t="shared" si="4"/>
        <v>31.078919720791195</v>
      </c>
      <c r="K101" s="340">
        <f t="shared" si="5"/>
        <v>0.96946590339711691</v>
      </c>
    </row>
    <row r="102" spans="2:11" x14ac:dyDescent="0.25">
      <c r="C102" s="341" t="s">
        <v>718</v>
      </c>
      <c r="D102" s="268">
        <f>'EN &amp; GEAR'!C34</f>
        <v>9871.6845683208685</v>
      </c>
      <c r="E102" s="282">
        <f t="shared" si="0"/>
        <v>600</v>
      </c>
      <c r="F102" s="339">
        <f t="shared" si="1"/>
        <v>136.05442176870747</v>
      </c>
      <c r="G102" s="339">
        <f>HARVARLD!$F$193</f>
        <v>0.29000000000000004</v>
      </c>
      <c r="H102" s="282">
        <f t="shared" si="2"/>
        <v>16</v>
      </c>
      <c r="I102" s="278">
        <f t="shared" si="3"/>
        <v>11.3599639315456</v>
      </c>
      <c r="J102" s="278">
        <f t="shared" si="4"/>
        <v>31.078919720791195</v>
      </c>
      <c r="K102" s="340">
        <f t="shared" si="5"/>
        <v>0.96946590339711691</v>
      </c>
    </row>
    <row r="103" spans="2:11" x14ac:dyDescent="0.25">
      <c r="C103" s="341" t="s">
        <v>719</v>
      </c>
      <c r="D103" s="268">
        <f>'EN &amp; GEAR'!C34</f>
        <v>9871.6845683208685</v>
      </c>
      <c r="E103" s="282">
        <f t="shared" si="0"/>
        <v>600</v>
      </c>
      <c r="F103" s="339">
        <f t="shared" si="1"/>
        <v>136.05442176870747</v>
      </c>
      <c r="G103" s="339">
        <f>HARVARLD!$F$193</f>
        <v>0.29000000000000004</v>
      </c>
      <c r="H103" s="282">
        <f t="shared" si="2"/>
        <v>16</v>
      </c>
      <c r="I103" s="278">
        <f t="shared" si="3"/>
        <v>11.3599639315456</v>
      </c>
      <c r="J103" s="278">
        <f t="shared" si="4"/>
        <v>31.078919720791195</v>
      </c>
      <c r="K103" s="340">
        <f t="shared" si="5"/>
        <v>0.96946590339711691</v>
      </c>
    </row>
    <row r="104" spans="2:11" x14ac:dyDescent="0.3">
      <c r="C104" s="342" t="s">
        <v>720</v>
      </c>
      <c r="D104" s="343">
        <f>'EN &amp; GEAR'!C34</f>
        <v>9871.6845683208685</v>
      </c>
      <c r="E104" s="344">
        <f t="shared" si="0"/>
        <v>600</v>
      </c>
      <c r="F104" s="345">
        <f t="shared" si="1"/>
        <v>136.05442176870747</v>
      </c>
      <c r="G104" s="345">
        <f>HARVARLD!$F$193</f>
        <v>0.29000000000000004</v>
      </c>
      <c r="H104" s="344">
        <f t="shared" si="2"/>
        <v>16</v>
      </c>
      <c r="I104" s="346">
        <f t="shared" si="3"/>
        <v>11.3599639315456</v>
      </c>
      <c r="J104" s="346">
        <f t="shared" si="4"/>
        <v>31.078919720791195</v>
      </c>
      <c r="K104" s="347">
        <f t="shared" si="5"/>
        <v>0.96946590339711691</v>
      </c>
    </row>
    <row r="105" spans="2:11" x14ac:dyDescent="0.3">
      <c r="E105" s="327"/>
    </row>
    <row r="106" spans="2:11" x14ac:dyDescent="0.25">
      <c r="B106" s="326" t="s">
        <v>175</v>
      </c>
      <c r="C106" s="259" t="s">
        <v>721</v>
      </c>
      <c r="D106" s="259" t="s">
        <v>722</v>
      </c>
      <c r="E106" s="259"/>
      <c r="F106" s="319"/>
    </row>
    <row r="107" spans="2:11" x14ac:dyDescent="0.25">
      <c r="B107" s="308"/>
      <c r="C107" s="259"/>
      <c r="D107" s="259"/>
      <c r="E107" s="259"/>
      <c r="F107" s="319"/>
      <c r="G107" s="319"/>
    </row>
    <row r="108" spans="2:11" x14ac:dyDescent="0.25">
      <c r="B108" s="326" t="s">
        <v>358</v>
      </c>
      <c r="C108" s="333" t="s">
        <v>723</v>
      </c>
      <c r="D108" s="259"/>
      <c r="E108" s="259"/>
      <c r="G108" s="348"/>
    </row>
    <row r="109" spans="2:11" x14ac:dyDescent="0.25">
      <c r="B109" s="308"/>
      <c r="C109" s="259"/>
      <c r="D109" s="259"/>
      <c r="E109" s="259"/>
    </row>
    <row r="110" spans="2:11" x14ac:dyDescent="0.25">
      <c r="B110" s="308"/>
      <c r="C110" s="259"/>
      <c r="D110" s="259"/>
      <c r="E110" s="259"/>
    </row>
    <row r="111" spans="2:11" x14ac:dyDescent="0.25">
      <c r="B111" s="308"/>
      <c r="C111" s="259"/>
      <c r="D111" s="259"/>
      <c r="E111" s="259"/>
      <c r="F111" s="349"/>
      <c r="G111" s="349"/>
      <c r="H111" s="349"/>
      <c r="I111" s="350"/>
      <c r="J111" s="350"/>
    </row>
    <row r="112" spans="2:11" x14ac:dyDescent="0.25">
      <c r="B112" s="326" t="s">
        <v>362</v>
      </c>
      <c r="C112" s="333" t="s">
        <v>724</v>
      </c>
      <c r="D112" s="259"/>
      <c r="E112" s="259"/>
      <c r="F112" s="349"/>
      <c r="G112" s="351"/>
      <c r="H112" s="349"/>
      <c r="I112" s="350"/>
      <c r="J112" s="350"/>
    </row>
    <row r="113" spans="2:17" x14ac:dyDescent="0.25">
      <c r="B113" s="308"/>
      <c r="C113" s="259" t="s">
        <v>725</v>
      </c>
      <c r="D113" s="259"/>
      <c r="E113" s="259"/>
      <c r="F113" s="349"/>
      <c r="G113" s="349"/>
      <c r="H113" s="350"/>
      <c r="I113" s="352"/>
      <c r="J113" s="350"/>
    </row>
    <row r="114" spans="2:17" x14ac:dyDescent="0.25">
      <c r="B114" s="308"/>
      <c r="C114" s="259" t="s">
        <v>726</v>
      </c>
      <c r="D114" s="259"/>
      <c r="E114" s="259"/>
      <c r="F114" s="349"/>
      <c r="G114" s="349"/>
      <c r="H114" s="349"/>
      <c r="I114" s="350"/>
      <c r="J114" s="350"/>
    </row>
    <row r="115" spans="2:17" x14ac:dyDescent="0.25">
      <c r="B115" s="308"/>
      <c r="C115" s="259" t="s">
        <v>727</v>
      </c>
      <c r="D115" s="259"/>
      <c r="E115" s="259"/>
      <c r="F115" s="350"/>
      <c r="G115" s="350"/>
      <c r="H115" s="349"/>
      <c r="I115" s="350"/>
      <c r="J115" s="350">
        <f>0.5/6.77</f>
        <v>7.3855243722304287E-2</v>
      </c>
      <c r="K115" s="291">
        <f>J115*L115/10</f>
        <v>4.9113737075332356E-2</v>
      </c>
      <c r="L115" s="291">
        <v>6.65</v>
      </c>
    </row>
    <row r="116" spans="2:17" x14ac:dyDescent="0.3">
      <c r="B116" s="308"/>
      <c r="D116" s="349"/>
      <c r="E116" s="349"/>
      <c r="F116" s="349"/>
      <c r="G116" s="349"/>
      <c r="H116" s="351"/>
      <c r="I116" s="350"/>
      <c r="J116" s="350"/>
    </row>
    <row r="117" spans="2:17" x14ac:dyDescent="0.25">
      <c r="B117" s="326" t="s">
        <v>370</v>
      </c>
      <c r="C117" s="333" t="s">
        <v>728</v>
      </c>
      <c r="D117" s="353"/>
      <c r="E117" s="353"/>
      <c r="F117" s="349"/>
      <c r="G117" s="349"/>
      <c r="H117" s="349"/>
      <c r="I117" s="350"/>
      <c r="J117" s="350">
        <v>0.6</v>
      </c>
      <c r="K117" s="291">
        <f>J117+K115</f>
        <v>0.64911373707533238</v>
      </c>
    </row>
    <row r="118" spans="2:17" ht="25.2" x14ac:dyDescent="0.25">
      <c r="D118" s="349"/>
      <c r="E118" s="354"/>
      <c r="F118" s="349"/>
      <c r="G118" s="349"/>
      <c r="H118" s="349"/>
      <c r="I118" s="350"/>
      <c r="J118" s="350"/>
      <c r="L118" s="355" t="s">
        <v>654</v>
      </c>
      <c r="M118" s="356" t="s">
        <v>729</v>
      </c>
      <c r="N118" s="356" t="s">
        <v>730</v>
      </c>
      <c r="O118" s="356" t="s">
        <v>731</v>
      </c>
      <c r="P118" s="335" t="s">
        <v>732</v>
      </c>
      <c r="Q118" s="357" t="s">
        <v>733</v>
      </c>
    </row>
    <row r="119" spans="2:17" ht="15.75" customHeight="1" x14ac:dyDescent="0.25">
      <c r="C119" s="358" t="s">
        <v>654</v>
      </c>
      <c r="D119" s="359" t="s">
        <v>729</v>
      </c>
      <c r="E119" s="359" t="s">
        <v>730</v>
      </c>
      <c r="F119" s="359" t="s">
        <v>731</v>
      </c>
      <c r="G119" s="336" t="s">
        <v>732</v>
      </c>
      <c r="H119" s="337" t="s">
        <v>733</v>
      </c>
      <c r="I119" s="350"/>
      <c r="J119" s="350"/>
      <c r="L119" s="360" t="s">
        <v>703</v>
      </c>
      <c r="M119" s="361">
        <f>$D$79</f>
        <v>0.96946590339711691</v>
      </c>
      <c r="N119" s="361">
        <v>0.68500000000000005</v>
      </c>
      <c r="O119" s="361">
        <v>2.36</v>
      </c>
      <c r="P119" s="362">
        <f>O119/0.009875</f>
        <v>238.98734177215189</v>
      </c>
      <c r="Q119" s="363">
        <v>0.57420000000000004</v>
      </c>
    </row>
    <row r="120" spans="2:17" x14ac:dyDescent="0.25">
      <c r="C120" s="360" t="s">
        <v>703</v>
      </c>
      <c r="D120" s="364">
        <f t="shared" ref="D120:D137" si="6">$D$79</f>
        <v>0.96946590339711691</v>
      </c>
      <c r="E120" s="365">
        <v>0.7</v>
      </c>
      <c r="F120" s="366">
        <v>2.2250000000000001</v>
      </c>
      <c r="G120" s="367">
        <f t="shared" ref="G120:G137" si="7">F120/0.009875</f>
        <v>225.31645569620252</v>
      </c>
      <c r="H120" s="368">
        <v>0.59299999999999997</v>
      </c>
      <c r="I120" s="350"/>
      <c r="J120" s="350"/>
      <c r="L120" s="360" t="s">
        <v>704</v>
      </c>
      <c r="M120" s="361">
        <f>$D$79</f>
        <v>0.96946590339711691</v>
      </c>
      <c r="N120" s="361">
        <v>0.6825</v>
      </c>
      <c r="O120" s="361">
        <v>2.35</v>
      </c>
      <c r="P120" s="362">
        <f>O120/0.009875</f>
        <v>237.97468354430382</v>
      </c>
      <c r="Q120" s="363">
        <v>0.55900000000000005</v>
      </c>
    </row>
    <row r="121" spans="2:17" x14ac:dyDescent="0.25">
      <c r="C121" s="360" t="s">
        <v>704</v>
      </c>
      <c r="D121" s="369">
        <f t="shared" si="6"/>
        <v>0.96946590339711691</v>
      </c>
      <c r="E121" s="365">
        <v>0.7</v>
      </c>
      <c r="F121" s="366">
        <v>2.2229999999999999</v>
      </c>
      <c r="G121" s="370">
        <f t="shared" si="7"/>
        <v>225.1139240506329</v>
      </c>
      <c r="H121" s="368">
        <v>0.57499999999999996</v>
      </c>
      <c r="I121" s="350"/>
      <c r="J121" s="350"/>
      <c r="L121" s="360" t="s">
        <v>705</v>
      </c>
      <c r="M121" s="361">
        <f>$D$79</f>
        <v>0.96946590339711691</v>
      </c>
      <c r="N121" s="361">
        <v>0.72199999999999998</v>
      </c>
      <c r="O121" s="361">
        <v>2.2829999999999999</v>
      </c>
      <c r="P121" s="362">
        <f>O121/0.009875</f>
        <v>231.18987341772151</v>
      </c>
      <c r="Q121" s="363">
        <v>0.53669999999999995</v>
      </c>
    </row>
    <row r="122" spans="2:17" x14ac:dyDescent="0.25">
      <c r="C122" s="360" t="s">
        <v>705</v>
      </c>
      <c r="D122" s="369">
        <f t="shared" si="6"/>
        <v>0.96946590339711691</v>
      </c>
      <c r="E122" s="365">
        <v>0.72799999999999998</v>
      </c>
      <c r="F122" s="366">
        <v>2.2170000000000001</v>
      </c>
      <c r="G122" s="370">
        <f t="shared" si="7"/>
        <v>224.50632911392407</v>
      </c>
      <c r="H122" s="368">
        <v>0.55500000000000005</v>
      </c>
      <c r="I122" s="350"/>
      <c r="J122" s="350"/>
      <c r="L122" s="371" t="s">
        <v>706</v>
      </c>
      <c r="M122" s="372">
        <f>$D$79</f>
        <v>0.96946590339711691</v>
      </c>
      <c r="N122" s="372">
        <v>0.78300000000000003</v>
      </c>
      <c r="O122" s="372">
        <v>2.19</v>
      </c>
      <c r="P122" s="373">
        <f>O122/0.009875</f>
        <v>221.77215189873417</v>
      </c>
      <c r="Q122" s="374">
        <v>0.51319999999999999</v>
      </c>
    </row>
    <row r="123" spans="2:17" x14ac:dyDescent="0.25">
      <c r="C123" s="360" t="s">
        <v>706</v>
      </c>
      <c r="D123" s="369">
        <f t="shared" si="6"/>
        <v>0.96946590339711691</v>
      </c>
      <c r="E123" s="365">
        <v>0.8</v>
      </c>
      <c r="F123" s="366">
        <v>2.08</v>
      </c>
      <c r="G123" s="370">
        <f t="shared" si="7"/>
        <v>210.63291139240508</v>
      </c>
      <c r="H123" s="368">
        <v>0.53</v>
      </c>
      <c r="I123" s="350"/>
      <c r="J123" s="350"/>
    </row>
    <row r="124" spans="2:17" x14ac:dyDescent="0.25">
      <c r="C124" s="360" t="s">
        <v>707</v>
      </c>
      <c r="D124" s="369">
        <f t="shared" si="6"/>
        <v>0.96946590339711691</v>
      </c>
      <c r="E124" s="365">
        <v>0.68100000000000005</v>
      </c>
      <c r="F124" s="366">
        <v>2.52</v>
      </c>
      <c r="G124" s="370">
        <f t="shared" si="7"/>
        <v>255.18987341772151</v>
      </c>
      <c r="H124" s="368">
        <v>0.52200000000000002</v>
      </c>
      <c r="I124" s="350"/>
      <c r="J124" s="350"/>
    </row>
    <row r="125" spans="2:17" x14ac:dyDescent="0.25">
      <c r="C125" s="360" t="s">
        <v>708</v>
      </c>
      <c r="D125" s="375">
        <f t="shared" si="6"/>
        <v>0.96946590339711691</v>
      </c>
      <c r="E125" s="365">
        <v>0.73299999999999998</v>
      </c>
      <c r="F125" s="366">
        <v>2.14</v>
      </c>
      <c r="G125" s="369">
        <f t="shared" si="7"/>
        <v>216.70886075949369</v>
      </c>
      <c r="H125" s="376">
        <v>0.56599999999999995</v>
      </c>
      <c r="I125" s="350"/>
      <c r="J125" s="350"/>
    </row>
    <row r="126" spans="2:17" x14ac:dyDescent="0.25">
      <c r="C126" s="360" t="s">
        <v>709</v>
      </c>
      <c r="D126" s="369">
        <f t="shared" si="6"/>
        <v>0.96946590339711691</v>
      </c>
      <c r="E126" s="365">
        <v>0.71499999999999997</v>
      </c>
      <c r="F126" s="366">
        <v>2.48</v>
      </c>
      <c r="G126" s="370">
        <f t="shared" si="7"/>
        <v>251.13924050632912</v>
      </c>
      <c r="H126" s="368">
        <v>0.50800000000000001</v>
      </c>
      <c r="J126" s="350"/>
    </row>
    <row r="127" spans="2:17" x14ac:dyDescent="0.25">
      <c r="C127" s="360" t="s">
        <v>710</v>
      </c>
      <c r="D127" s="369">
        <f t="shared" si="6"/>
        <v>0.96946590339711691</v>
      </c>
      <c r="E127" s="365">
        <v>0.751</v>
      </c>
      <c r="F127" s="366">
        <v>2.41</v>
      </c>
      <c r="G127" s="370">
        <f t="shared" si="7"/>
        <v>244.05063291139243</v>
      </c>
      <c r="H127" s="368">
        <v>0.49399999999999999</v>
      </c>
    </row>
    <row r="128" spans="2:17" x14ac:dyDescent="0.25">
      <c r="C128" s="360" t="s">
        <v>711</v>
      </c>
      <c r="D128" s="369">
        <f t="shared" si="6"/>
        <v>0.96946590339711691</v>
      </c>
      <c r="E128" s="365">
        <v>0.81499999999999995</v>
      </c>
      <c r="F128" s="366">
        <v>2.44</v>
      </c>
      <c r="G128" s="370">
        <f t="shared" si="7"/>
        <v>247.08860759493669</v>
      </c>
      <c r="H128" s="368">
        <v>0.48</v>
      </c>
    </row>
    <row r="129" spans="2:10" x14ac:dyDescent="0.25">
      <c r="C129" s="338" t="s">
        <v>712</v>
      </c>
      <c r="D129" s="369">
        <f t="shared" si="6"/>
        <v>0.96946590339711691</v>
      </c>
      <c r="E129" s="365">
        <v>0.73</v>
      </c>
      <c r="F129" s="366">
        <v>2.4180000000000001</v>
      </c>
      <c r="G129" s="370">
        <f t="shared" si="7"/>
        <v>244.86075949367091</v>
      </c>
      <c r="H129" s="368">
        <v>0.51100000000000001</v>
      </c>
    </row>
    <row r="130" spans="2:10" x14ac:dyDescent="0.25">
      <c r="C130" s="338" t="s">
        <v>713</v>
      </c>
      <c r="D130" s="375">
        <f t="shared" si="6"/>
        <v>0.96946590339711691</v>
      </c>
      <c r="E130" s="365">
        <v>0.72</v>
      </c>
      <c r="F130" s="366">
        <v>2.44</v>
      </c>
      <c r="G130" s="369">
        <f t="shared" si="7"/>
        <v>247.08860759493669</v>
      </c>
      <c r="H130" s="376">
        <v>0.51300000000000001</v>
      </c>
    </row>
    <row r="131" spans="2:10" x14ac:dyDescent="0.25">
      <c r="C131" s="338" t="s">
        <v>714</v>
      </c>
      <c r="D131" s="369">
        <f t="shared" si="6"/>
        <v>0.96946590339711691</v>
      </c>
      <c r="E131" s="365">
        <v>0.73099999999999998</v>
      </c>
      <c r="F131" s="366">
        <v>2.415</v>
      </c>
      <c r="G131" s="370">
        <f t="shared" si="7"/>
        <v>244.55696202531647</v>
      </c>
      <c r="H131" s="368">
        <v>0.50800000000000001</v>
      </c>
    </row>
    <row r="132" spans="2:10" x14ac:dyDescent="0.25">
      <c r="C132" s="338" t="s">
        <v>715</v>
      </c>
      <c r="D132" s="369">
        <f t="shared" si="6"/>
        <v>0.96946590339711691</v>
      </c>
      <c r="E132" s="365">
        <v>0.76</v>
      </c>
      <c r="F132" s="366">
        <v>2.4500000000000002</v>
      </c>
      <c r="G132" s="370">
        <f t="shared" si="7"/>
        <v>248.10126582278482</v>
      </c>
      <c r="H132" s="368">
        <v>0.48749999999999999</v>
      </c>
    </row>
    <row r="133" spans="2:10" x14ac:dyDescent="0.25">
      <c r="C133" s="338" t="s">
        <v>716</v>
      </c>
      <c r="D133" s="369">
        <f t="shared" si="6"/>
        <v>0.96946590339711691</v>
      </c>
      <c r="E133" s="365">
        <v>0.80500000000000005</v>
      </c>
      <c r="F133" s="366">
        <v>2.3879999999999999</v>
      </c>
      <c r="G133" s="370">
        <f t="shared" si="7"/>
        <v>241.82278481012656</v>
      </c>
      <c r="H133" s="368">
        <v>0.47399999999999998</v>
      </c>
    </row>
    <row r="134" spans="2:10" x14ac:dyDescent="0.25">
      <c r="C134" s="341" t="s">
        <v>717</v>
      </c>
      <c r="D134" s="369">
        <f t="shared" si="6"/>
        <v>0.96946590339711691</v>
      </c>
      <c r="E134" s="365">
        <v>0.78</v>
      </c>
      <c r="F134" s="366">
        <v>2.335</v>
      </c>
      <c r="G134" s="370">
        <f t="shared" si="7"/>
        <v>236.45569620253164</v>
      </c>
      <c r="H134" s="368">
        <v>0.502</v>
      </c>
    </row>
    <row r="135" spans="2:10" x14ac:dyDescent="0.25">
      <c r="C135" s="341" t="s">
        <v>718</v>
      </c>
      <c r="D135" s="369">
        <f t="shared" si="6"/>
        <v>0.96946590339711691</v>
      </c>
      <c r="E135" s="365">
        <v>0.76</v>
      </c>
      <c r="F135" s="366">
        <v>2.355</v>
      </c>
      <c r="G135" s="370">
        <f t="shared" si="7"/>
        <v>238.48101265822785</v>
      </c>
      <c r="H135" s="368">
        <v>0.505</v>
      </c>
    </row>
    <row r="136" spans="2:10" x14ac:dyDescent="0.25">
      <c r="C136" s="341" t="s">
        <v>719</v>
      </c>
      <c r="D136" s="369">
        <f t="shared" si="6"/>
        <v>0.96946590339711691</v>
      </c>
      <c r="E136" s="365">
        <v>0.77</v>
      </c>
      <c r="F136" s="366">
        <v>2.351</v>
      </c>
      <c r="G136" s="370">
        <f t="shared" si="7"/>
        <v>238.07594936708861</v>
      </c>
      <c r="H136" s="368">
        <v>0.501</v>
      </c>
    </row>
    <row r="137" spans="2:10" x14ac:dyDescent="0.25">
      <c r="C137" s="342" t="s">
        <v>720</v>
      </c>
      <c r="D137" s="377">
        <f t="shared" si="6"/>
        <v>0.96946590339711691</v>
      </c>
      <c r="E137" s="378">
        <v>0.78</v>
      </c>
      <c r="F137" s="379">
        <v>2.3199999999999998</v>
      </c>
      <c r="G137" s="370">
        <f t="shared" si="7"/>
        <v>234.93670886075947</v>
      </c>
      <c r="H137" s="380">
        <v>0.49299999999999999</v>
      </c>
    </row>
    <row r="139" spans="2:10" x14ac:dyDescent="0.3">
      <c r="B139" s="326" t="s">
        <v>375</v>
      </c>
      <c r="C139" s="381" t="s">
        <v>724</v>
      </c>
      <c r="D139" s="319"/>
      <c r="E139" s="319"/>
    </row>
    <row r="140" spans="2:10" x14ac:dyDescent="0.25">
      <c r="C140" s="259" t="s">
        <v>734</v>
      </c>
      <c r="D140" s="259"/>
      <c r="E140" s="259"/>
    </row>
    <row r="141" spans="2:10" x14ac:dyDescent="0.3">
      <c r="C141" s="319" t="s">
        <v>735</v>
      </c>
      <c r="D141" s="319"/>
      <c r="E141" s="319"/>
    </row>
    <row r="142" spans="2:10" x14ac:dyDescent="0.3">
      <c r="C142" s="319" t="s">
        <v>736</v>
      </c>
      <c r="D142" s="319"/>
      <c r="E142" s="319"/>
    </row>
    <row r="143" spans="2:10" x14ac:dyDescent="0.25">
      <c r="C143" s="382"/>
      <c r="D143" s="282"/>
      <c r="E143" s="282"/>
    </row>
    <row r="144" spans="2:10" ht="12" customHeight="1" x14ac:dyDescent="0.25">
      <c r="C144" s="1278" t="s">
        <v>737</v>
      </c>
      <c r="D144" s="383" t="s">
        <v>738</v>
      </c>
      <c r="E144" s="284"/>
      <c r="F144" s="384"/>
      <c r="G144" s="384"/>
      <c r="H144" s="384"/>
      <c r="I144" s="384"/>
      <c r="J144" s="384"/>
    </row>
    <row r="145" spans="3:10" x14ac:dyDescent="0.25">
      <c r="C145" s="1278"/>
      <c r="D145" s="385" t="s">
        <v>249</v>
      </c>
      <c r="E145" s="284"/>
      <c r="F145" s="384"/>
      <c r="G145" s="384"/>
      <c r="H145" s="384"/>
      <c r="I145" s="384"/>
      <c r="J145" s="384"/>
    </row>
    <row r="146" spans="3:10" x14ac:dyDescent="0.25">
      <c r="C146" s="386"/>
      <c r="D146" s="387"/>
      <c r="E146" s="284"/>
      <c r="F146" s="384"/>
      <c r="G146" s="384"/>
      <c r="H146" s="384"/>
      <c r="I146" s="384"/>
      <c r="J146" s="384"/>
    </row>
    <row r="147" spans="3:10" x14ac:dyDescent="0.25">
      <c r="C147" s="388" t="s">
        <v>739</v>
      </c>
      <c r="D147" s="389" t="s">
        <v>740</v>
      </c>
      <c r="E147" s="389" t="s">
        <v>741</v>
      </c>
      <c r="F147" s="384"/>
      <c r="G147" s="384"/>
      <c r="H147" s="384"/>
      <c r="I147" s="384"/>
      <c r="J147" s="384"/>
    </row>
    <row r="148" spans="3:10" x14ac:dyDescent="0.25">
      <c r="C148" s="390"/>
      <c r="D148" s="284"/>
      <c r="E148" s="284"/>
      <c r="F148" s="384"/>
      <c r="G148" s="384"/>
      <c r="H148" s="384"/>
      <c r="I148" s="384"/>
      <c r="J148" s="384"/>
    </row>
    <row r="149" spans="3:10" x14ac:dyDescent="0.25">
      <c r="C149" s="391" t="s">
        <v>739</v>
      </c>
      <c r="D149" s="392" t="s">
        <v>742</v>
      </c>
      <c r="E149" s="392" t="s">
        <v>743</v>
      </c>
    </row>
    <row r="150" spans="3:10" x14ac:dyDescent="0.25">
      <c r="C150" s="390"/>
      <c r="D150" s="284"/>
      <c r="E150" s="284"/>
    </row>
    <row r="151" spans="3:10" ht="12" customHeight="1" x14ac:dyDescent="0.25">
      <c r="C151" s="1279" t="s">
        <v>744</v>
      </c>
      <c r="D151" s="393" t="s">
        <v>745</v>
      </c>
      <c r="E151" s="284"/>
    </row>
    <row r="152" spans="3:10" x14ac:dyDescent="0.25">
      <c r="C152" s="1279"/>
      <c r="D152" s="394" t="s">
        <v>746</v>
      </c>
      <c r="E152" s="284"/>
    </row>
    <row r="153" spans="3:10" x14ac:dyDescent="0.25">
      <c r="C153" s="386"/>
      <c r="D153" s="387"/>
      <c r="E153" s="284"/>
    </row>
    <row r="154" spans="3:10" x14ac:dyDescent="0.25">
      <c r="C154" s="391" t="s">
        <v>747</v>
      </c>
      <c r="D154" s="395" t="s">
        <v>748</v>
      </c>
      <c r="E154" s="284"/>
      <c r="F154" s="308"/>
    </row>
    <row r="155" spans="3:10" x14ac:dyDescent="0.3">
      <c r="E155" s="308"/>
      <c r="F155" s="308"/>
    </row>
    <row r="156" spans="3:10" x14ac:dyDescent="0.3">
      <c r="C156" s="396" t="s">
        <v>654</v>
      </c>
      <c r="D156" s="397" t="s">
        <v>749</v>
      </c>
      <c r="E156" s="397" t="s">
        <v>750</v>
      </c>
      <c r="F156" s="397" t="s">
        <v>751</v>
      </c>
      <c r="G156" s="397" t="s">
        <v>752</v>
      </c>
      <c r="H156" s="397" t="s">
        <v>753</v>
      </c>
      <c r="I156" s="398" t="s">
        <v>754</v>
      </c>
    </row>
    <row r="157" spans="3:10" x14ac:dyDescent="0.3">
      <c r="C157" s="399" t="s">
        <v>703</v>
      </c>
      <c r="D157" s="364">
        <f t="shared" ref="D157:D174" si="8">G120*I87/F87</f>
        <v>18.812963052710266</v>
      </c>
      <c r="E157" s="364">
        <f t="shared" ref="E157:E174" si="9">0.96*D157</f>
        <v>18.060444530601856</v>
      </c>
      <c r="F157" s="364">
        <f t="shared" ref="F157:F174" si="10">E157*F87/I87</f>
        <v>216.30379746835445</v>
      </c>
      <c r="G157" s="400">
        <f t="shared" ref="G157:G174" si="11">0.009875*F157</f>
        <v>2.1360000000000001</v>
      </c>
      <c r="H157" s="365">
        <f t="shared" ref="H157:H174" si="12">E120</f>
        <v>0.7</v>
      </c>
      <c r="I157" s="401">
        <f t="shared" ref="I157:I174" si="13">H120</f>
        <v>0.59299999999999997</v>
      </c>
    </row>
    <row r="158" spans="3:10" x14ac:dyDescent="0.3">
      <c r="C158" s="399" t="s">
        <v>704</v>
      </c>
      <c r="D158" s="369">
        <f t="shared" si="8"/>
        <v>18.79605252412356</v>
      </c>
      <c r="E158" s="369">
        <f t="shared" si="9"/>
        <v>18.044210423158617</v>
      </c>
      <c r="F158" s="369">
        <f t="shared" si="10"/>
        <v>216.10936708860757</v>
      </c>
      <c r="G158" s="402">
        <f t="shared" si="11"/>
        <v>2.13408</v>
      </c>
      <c r="H158" s="365">
        <f t="shared" si="12"/>
        <v>0.7</v>
      </c>
      <c r="I158" s="401">
        <f t="shared" si="13"/>
        <v>0.57499999999999996</v>
      </c>
    </row>
    <row r="159" spans="3:10" x14ac:dyDescent="0.3">
      <c r="C159" s="399" t="s">
        <v>705</v>
      </c>
      <c r="D159" s="369">
        <f t="shared" si="8"/>
        <v>18.745320938363445</v>
      </c>
      <c r="E159" s="369">
        <f t="shared" si="9"/>
        <v>17.995508100828907</v>
      </c>
      <c r="F159" s="369">
        <f t="shared" si="10"/>
        <v>215.52607594936708</v>
      </c>
      <c r="G159" s="402">
        <f t="shared" si="11"/>
        <v>2.12832</v>
      </c>
      <c r="H159" s="365">
        <f t="shared" si="12"/>
        <v>0.72799999999999998</v>
      </c>
      <c r="I159" s="401">
        <f t="shared" si="13"/>
        <v>0.55500000000000005</v>
      </c>
    </row>
    <row r="160" spans="3:10" x14ac:dyDescent="0.3">
      <c r="C160" s="399" t="s">
        <v>706</v>
      </c>
      <c r="D160" s="369">
        <f t="shared" si="8"/>
        <v>17.586949730174091</v>
      </c>
      <c r="E160" s="369">
        <f t="shared" si="9"/>
        <v>16.883471740967128</v>
      </c>
      <c r="F160" s="369">
        <f t="shared" si="10"/>
        <v>202.20759493670889</v>
      </c>
      <c r="G160" s="402">
        <f t="shared" si="11"/>
        <v>1.9968000000000004</v>
      </c>
      <c r="H160" s="365">
        <f t="shared" si="12"/>
        <v>0.8</v>
      </c>
      <c r="I160" s="401">
        <f t="shared" si="13"/>
        <v>0.53</v>
      </c>
    </row>
    <row r="161" spans="3:13" x14ac:dyDescent="0.25">
      <c r="C161" s="360" t="s">
        <v>707</v>
      </c>
      <c r="D161" s="375">
        <f t="shared" si="8"/>
        <v>21.307266019249379</v>
      </c>
      <c r="E161" s="375">
        <f t="shared" si="9"/>
        <v>20.454975378479404</v>
      </c>
      <c r="F161" s="375">
        <f t="shared" si="10"/>
        <v>244.98227848101263</v>
      </c>
      <c r="G161" s="402">
        <f t="shared" si="11"/>
        <v>2.4191999999999996</v>
      </c>
      <c r="H161" s="365">
        <f t="shared" si="12"/>
        <v>0.68100000000000005</v>
      </c>
      <c r="I161" s="401">
        <f t="shared" si="13"/>
        <v>0.52200000000000002</v>
      </c>
    </row>
    <row r="162" spans="3:13" x14ac:dyDescent="0.25">
      <c r="C162" s="360" t="s">
        <v>708</v>
      </c>
      <c r="D162" s="369">
        <f t="shared" si="8"/>
        <v>18.094265587775269</v>
      </c>
      <c r="E162" s="369">
        <f t="shared" si="9"/>
        <v>17.370494964264257</v>
      </c>
      <c r="F162" s="369">
        <f t="shared" si="10"/>
        <v>208.04050632911395</v>
      </c>
      <c r="G162" s="403">
        <f t="shared" si="11"/>
        <v>2.0544000000000002</v>
      </c>
      <c r="H162" s="365">
        <f t="shared" si="12"/>
        <v>0.73299999999999998</v>
      </c>
      <c r="I162" s="401">
        <f t="shared" si="13"/>
        <v>0.56599999999999995</v>
      </c>
    </row>
    <row r="163" spans="3:13" x14ac:dyDescent="0.25">
      <c r="C163" s="360" t="s">
        <v>709</v>
      </c>
      <c r="D163" s="369">
        <f t="shared" si="8"/>
        <v>20.969055447515263</v>
      </c>
      <c r="E163" s="369">
        <f t="shared" si="9"/>
        <v>20.130293229614651</v>
      </c>
      <c r="F163" s="369">
        <f t="shared" si="10"/>
        <v>241.09367088607596</v>
      </c>
      <c r="G163" s="403">
        <f t="shared" si="11"/>
        <v>2.3808000000000002</v>
      </c>
      <c r="H163" s="365">
        <f t="shared" si="12"/>
        <v>0.71499999999999997</v>
      </c>
      <c r="I163" s="401">
        <f t="shared" si="13"/>
        <v>0.50800000000000001</v>
      </c>
    </row>
    <row r="164" spans="3:13" x14ac:dyDescent="0.25">
      <c r="C164" s="360" t="s">
        <v>710</v>
      </c>
      <c r="D164" s="369">
        <f t="shared" si="8"/>
        <v>20.377186946980562</v>
      </c>
      <c r="E164" s="369">
        <f t="shared" si="9"/>
        <v>19.562099469101337</v>
      </c>
      <c r="F164" s="369">
        <f t="shared" si="10"/>
        <v>234.28860759493671</v>
      </c>
      <c r="G164" s="403">
        <f t="shared" si="11"/>
        <v>2.3136000000000001</v>
      </c>
      <c r="H164" s="365">
        <f t="shared" si="12"/>
        <v>0.751</v>
      </c>
      <c r="I164" s="401">
        <f t="shared" si="13"/>
        <v>0.49399999999999999</v>
      </c>
    </row>
    <row r="165" spans="3:13" x14ac:dyDescent="0.25">
      <c r="C165" s="360" t="s">
        <v>711</v>
      </c>
      <c r="D165" s="369">
        <f t="shared" si="8"/>
        <v>20.630844875781143</v>
      </c>
      <c r="E165" s="369">
        <f t="shared" si="9"/>
        <v>19.805611080749898</v>
      </c>
      <c r="F165" s="369">
        <f t="shared" si="10"/>
        <v>237.20506329113923</v>
      </c>
      <c r="G165" s="403">
        <f t="shared" si="11"/>
        <v>2.3424</v>
      </c>
      <c r="H165" s="365">
        <f t="shared" si="12"/>
        <v>0.81499999999999995</v>
      </c>
      <c r="I165" s="401">
        <f t="shared" si="13"/>
        <v>0.48</v>
      </c>
    </row>
    <row r="166" spans="3:13" ht="15.75" customHeight="1" x14ac:dyDescent="0.25">
      <c r="C166" s="338" t="s">
        <v>712</v>
      </c>
      <c r="D166" s="369">
        <f t="shared" si="8"/>
        <v>20.444829061327383</v>
      </c>
      <c r="E166" s="369">
        <f t="shared" si="9"/>
        <v>19.627035898874286</v>
      </c>
      <c r="F166" s="369">
        <f t="shared" si="10"/>
        <v>235.06632911392407</v>
      </c>
      <c r="G166" s="403">
        <f t="shared" si="11"/>
        <v>2.3212800000000002</v>
      </c>
      <c r="H166" s="365">
        <f t="shared" si="12"/>
        <v>0.73</v>
      </c>
      <c r="I166" s="401">
        <f t="shared" si="13"/>
        <v>0.51100000000000001</v>
      </c>
      <c r="J166" s="308"/>
      <c r="K166" s="308"/>
      <c r="L166" s="308"/>
      <c r="M166" s="308"/>
    </row>
    <row r="167" spans="3:13" x14ac:dyDescent="0.25">
      <c r="C167" s="338" t="s">
        <v>713</v>
      </c>
      <c r="D167" s="369">
        <f t="shared" si="8"/>
        <v>20.630844875781143</v>
      </c>
      <c r="E167" s="369">
        <f t="shared" si="9"/>
        <v>19.805611080749898</v>
      </c>
      <c r="F167" s="369">
        <f t="shared" si="10"/>
        <v>237.20506329113923</v>
      </c>
      <c r="G167" s="403">
        <f t="shared" si="11"/>
        <v>2.3424</v>
      </c>
      <c r="H167" s="365">
        <f t="shared" si="12"/>
        <v>0.72</v>
      </c>
      <c r="I167" s="401">
        <f t="shared" si="13"/>
        <v>0.51300000000000001</v>
      </c>
    </row>
    <row r="168" spans="3:13" x14ac:dyDescent="0.25">
      <c r="C168" s="338" t="s">
        <v>714</v>
      </c>
      <c r="D168" s="369">
        <f t="shared" si="8"/>
        <v>20.419463268447323</v>
      </c>
      <c r="E168" s="369">
        <f t="shared" si="9"/>
        <v>19.602684737709431</v>
      </c>
      <c r="F168" s="369">
        <f t="shared" si="10"/>
        <v>234.77468354430383</v>
      </c>
      <c r="G168" s="403">
        <f t="shared" si="11"/>
        <v>2.3184000000000005</v>
      </c>
      <c r="H168" s="365">
        <f t="shared" si="12"/>
        <v>0.73099999999999998</v>
      </c>
      <c r="I168" s="401">
        <f t="shared" si="13"/>
        <v>0.50800000000000001</v>
      </c>
    </row>
    <row r="169" spans="3:13" x14ac:dyDescent="0.25">
      <c r="C169" s="338" t="s">
        <v>715</v>
      </c>
      <c r="D169" s="369">
        <f t="shared" si="8"/>
        <v>20.715397518714678</v>
      </c>
      <c r="E169" s="369">
        <f t="shared" si="9"/>
        <v>19.88678161796609</v>
      </c>
      <c r="F169" s="369">
        <f t="shared" si="10"/>
        <v>238.17721518987344</v>
      </c>
      <c r="G169" s="403">
        <f t="shared" si="11"/>
        <v>2.3520000000000003</v>
      </c>
      <c r="H169" s="365">
        <f t="shared" si="12"/>
        <v>0.76</v>
      </c>
      <c r="I169" s="401">
        <f t="shared" si="13"/>
        <v>0.48749999999999999</v>
      </c>
    </row>
    <row r="170" spans="3:13" x14ac:dyDescent="0.25">
      <c r="C170" s="338" t="s">
        <v>716</v>
      </c>
      <c r="D170" s="369">
        <f t="shared" si="8"/>
        <v>20.191171132526794</v>
      </c>
      <c r="E170" s="369">
        <f t="shared" si="9"/>
        <v>19.383524287225722</v>
      </c>
      <c r="F170" s="369">
        <f t="shared" si="10"/>
        <v>232.14987341772152</v>
      </c>
      <c r="G170" s="403">
        <f t="shared" si="11"/>
        <v>2.2924799999999999</v>
      </c>
      <c r="H170" s="365">
        <f t="shared" si="12"/>
        <v>0.80500000000000005</v>
      </c>
      <c r="I170" s="401">
        <f t="shared" si="13"/>
        <v>0.47399999999999998</v>
      </c>
    </row>
    <row r="171" spans="3:13" x14ac:dyDescent="0.25">
      <c r="C171" s="341" t="s">
        <v>717</v>
      </c>
      <c r="D171" s="369">
        <f t="shared" si="8"/>
        <v>19.743042124979088</v>
      </c>
      <c r="E171" s="369">
        <f t="shared" si="9"/>
        <v>18.953320439979922</v>
      </c>
      <c r="F171" s="369">
        <f t="shared" si="10"/>
        <v>226.99746835443034</v>
      </c>
      <c r="G171" s="403">
        <f t="shared" si="11"/>
        <v>2.2415999999999996</v>
      </c>
      <c r="H171" s="365">
        <f t="shared" si="12"/>
        <v>0.78</v>
      </c>
      <c r="I171" s="401">
        <f t="shared" si="13"/>
        <v>0.502</v>
      </c>
    </row>
    <row r="172" spans="3:13" x14ac:dyDescent="0.25">
      <c r="C172" s="341" t="s">
        <v>718</v>
      </c>
      <c r="D172" s="369">
        <f t="shared" si="8"/>
        <v>19.912147410846149</v>
      </c>
      <c r="E172" s="369">
        <f t="shared" si="9"/>
        <v>19.115661514412302</v>
      </c>
      <c r="F172" s="369">
        <f t="shared" si="10"/>
        <v>228.94177215189876</v>
      </c>
      <c r="G172" s="403">
        <f t="shared" si="11"/>
        <v>2.2608000000000001</v>
      </c>
      <c r="H172" s="365">
        <f t="shared" si="12"/>
        <v>0.76</v>
      </c>
      <c r="I172" s="401">
        <f t="shared" si="13"/>
        <v>0.505</v>
      </c>
    </row>
    <row r="173" spans="3:13" x14ac:dyDescent="0.25">
      <c r="C173" s="341" t="s">
        <v>719</v>
      </c>
      <c r="D173" s="369">
        <f t="shared" si="8"/>
        <v>19.878326353672737</v>
      </c>
      <c r="E173" s="369">
        <f t="shared" si="9"/>
        <v>19.083193299525828</v>
      </c>
      <c r="F173" s="369">
        <f t="shared" si="10"/>
        <v>228.55291139240506</v>
      </c>
      <c r="G173" s="403">
        <f t="shared" si="11"/>
        <v>2.2569599999999999</v>
      </c>
      <c r="H173" s="365">
        <f t="shared" si="12"/>
        <v>0.77</v>
      </c>
      <c r="I173" s="401">
        <f t="shared" si="13"/>
        <v>0.501</v>
      </c>
    </row>
    <row r="174" spans="3:13" x14ac:dyDescent="0.25">
      <c r="C174" s="342" t="s">
        <v>720</v>
      </c>
      <c r="D174" s="377">
        <f t="shared" si="8"/>
        <v>19.616213160578791</v>
      </c>
      <c r="E174" s="377">
        <f t="shared" si="9"/>
        <v>18.83156463415564</v>
      </c>
      <c r="F174" s="377">
        <f t="shared" si="10"/>
        <v>225.53924050632907</v>
      </c>
      <c r="G174" s="404">
        <f t="shared" si="11"/>
        <v>2.2271999999999994</v>
      </c>
      <c r="H174" s="365">
        <f t="shared" si="12"/>
        <v>0.78</v>
      </c>
      <c r="I174" s="401">
        <f t="shared" si="13"/>
        <v>0.49299999999999999</v>
      </c>
    </row>
    <row r="176" spans="3:13" ht="12" customHeight="1" x14ac:dyDescent="0.3">
      <c r="C176" s="1280" t="s">
        <v>654</v>
      </c>
      <c r="D176" s="1281" t="s">
        <v>750</v>
      </c>
      <c r="E176" s="1281" t="s">
        <v>755</v>
      </c>
      <c r="F176" s="1281" t="s">
        <v>756</v>
      </c>
      <c r="G176" s="1282" t="s">
        <v>757</v>
      </c>
      <c r="H176" s="1283" t="s">
        <v>758</v>
      </c>
    </row>
    <row r="177" spans="2:8" ht="15.75" customHeight="1" x14ac:dyDescent="0.3">
      <c r="C177" s="1280"/>
      <c r="D177" s="1281"/>
      <c r="E177" s="1281"/>
      <c r="F177" s="1281"/>
      <c r="G177" s="1282"/>
      <c r="H177" s="1283"/>
    </row>
    <row r="178" spans="2:8" ht="15.75" customHeight="1" x14ac:dyDescent="0.25">
      <c r="C178" s="399" t="s">
        <v>703</v>
      </c>
      <c r="D178" s="405">
        <f t="shared" ref="D178:D195" si="14">E157</f>
        <v>18.060444530601856</v>
      </c>
      <c r="E178" s="405">
        <f t="shared" ref="E178:E195" si="15">D178*0.3048</f>
        <v>5.5048234929274464</v>
      </c>
      <c r="F178" s="406">
        <f t="shared" ref="F178:F195" si="16">$D$84</f>
        <v>6.4655499999999995</v>
      </c>
      <c r="G178" s="407">
        <f t="shared" ref="G178:G195" si="17">F178/$E$9</f>
        <v>0.65</v>
      </c>
      <c r="H178" s="408" t="str">
        <f t="shared" ref="H178:H195" si="18">IF(E178&lt;F178, "Terpenuhi", "Tidak Terpenuhi")</f>
        <v>Terpenuhi</v>
      </c>
    </row>
    <row r="179" spans="2:8" ht="15.75" customHeight="1" x14ac:dyDescent="0.25">
      <c r="C179" s="399" t="s">
        <v>704</v>
      </c>
      <c r="D179" s="409">
        <f t="shared" si="14"/>
        <v>18.044210423158617</v>
      </c>
      <c r="E179" s="409">
        <f t="shared" si="15"/>
        <v>5.4998753369787465</v>
      </c>
      <c r="F179" s="410">
        <f t="shared" si="16"/>
        <v>6.4655499999999995</v>
      </c>
      <c r="G179" s="407">
        <f t="shared" si="17"/>
        <v>0.65</v>
      </c>
      <c r="H179" s="408" t="str">
        <f t="shared" si="18"/>
        <v>Terpenuhi</v>
      </c>
    </row>
    <row r="180" spans="2:8" ht="15.75" customHeight="1" x14ac:dyDescent="0.25">
      <c r="C180" s="399" t="s">
        <v>705</v>
      </c>
      <c r="D180" s="409">
        <f t="shared" si="14"/>
        <v>17.995508100828907</v>
      </c>
      <c r="E180" s="409">
        <f t="shared" si="15"/>
        <v>5.4850308691326513</v>
      </c>
      <c r="F180" s="410">
        <f t="shared" si="16"/>
        <v>6.4655499999999995</v>
      </c>
      <c r="G180" s="407">
        <f t="shared" si="17"/>
        <v>0.65</v>
      </c>
      <c r="H180" s="408" t="str">
        <f t="shared" si="18"/>
        <v>Terpenuhi</v>
      </c>
    </row>
    <row r="181" spans="2:8" ht="15.75" customHeight="1" x14ac:dyDescent="0.25">
      <c r="C181" s="411" t="s">
        <v>706</v>
      </c>
      <c r="D181" s="409">
        <f t="shared" si="14"/>
        <v>16.883471740967128</v>
      </c>
      <c r="E181" s="409">
        <f t="shared" si="15"/>
        <v>5.1460821866467805</v>
      </c>
      <c r="F181" s="410">
        <f t="shared" si="16"/>
        <v>6.4655499999999995</v>
      </c>
      <c r="G181" s="407">
        <f t="shared" si="17"/>
        <v>0.65</v>
      </c>
      <c r="H181" s="408" t="str">
        <f t="shared" si="18"/>
        <v>Terpenuhi</v>
      </c>
    </row>
    <row r="182" spans="2:8" ht="15.75" customHeight="1" x14ac:dyDescent="0.25">
      <c r="C182" s="360" t="s">
        <v>707</v>
      </c>
      <c r="D182" s="409">
        <f t="shared" si="14"/>
        <v>20.454975378479404</v>
      </c>
      <c r="E182" s="412">
        <f t="shared" si="15"/>
        <v>6.2346764953605227</v>
      </c>
      <c r="F182" s="407">
        <f t="shared" si="16"/>
        <v>6.4655499999999995</v>
      </c>
      <c r="G182" s="407">
        <f t="shared" si="17"/>
        <v>0.65</v>
      </c>
      <c r="H182" s="408" t="str">
        <f t="shared" si="18"/>
        <v>Terpenuhi</v>
      </c>
    </row>
    <row r="183" spans="2:8" ht="15.75" customHeight="1" x14ac:dyDescent="0.25">
      <c r="C183" s="360" t="s">
        <v>708</v>
      </c>
      <c r="D183" s="409">
        <f t="shared" si="14"/>
        <v>17.370494964264257</v>
      </c>
      <c r="E183" s="412">
        <f t="shared" si="15"/>
        <v>5.2945268651077457</v>
      </c>
      <c r="F183" s="407">
        <f t="shared" si="16"/>
        <v>6.4655499999999995</v>
      </c>
      <c r="G183" s="407">
        <f t="shared" si="17"/>
        <v>0.65</v>
      </c>
      <c r="H183" s="408" t="str">
        <f t="shared" si="18"/>
        <v>Terpenuhi</v>
      </c>
    </row>
    <row r="184" spans="2:8" ht="15.75" customHeight="1" x14ac:dyDescent="0.25">
      <c r="C184" s="360" t="s">
        <v>709</v>
      </c>
      <c r="D184" s="409">
        <f t="shared" si="14"/>
        <v>20.130293229614651</v>
      </c>
      <c r="E184" s="412">
        <f t="shared" si="15"/>
        <v>6.1357133763865459</v>
      </c>
      <c r="F184" s="407">
        <f t="shared" si="16"/>
        <v>6.4655499999999995</v>
      </c>
      <c r="G184" s="407">
        <f t="shared" si="17"/>
        <v>0.65</v>
      </c>
      <c r="H184" s="408" t="str">
        <f t="shared" si="18"/>
        <v>Terpenuhi</v>
      </c>
    </row>
    <row r="185" spans="2:8" ht="15.75" customHeight="1" x14ac:dyDescent="0.25">
      <c r="C185" s="413" t="s">
        <v>710</v>
      </c>
      <c r="D185" s="409">
        <f t="shared" si="14"/>
        <v>19.562099469101337</v>
      </c>
      <c r="E185" s="412">
        <f t="shared" si="15"/>
        <v>5.9625279181820883</v>
      </c>
      <c r="F185" s="407">
        <f t="shared" si="16"/>
        <v>6.4655499999999995</v>
      </c>
      <c r="G185" s="407">
        <f t="shared" si="17"/>
        <v>0.65</v>
      </c>
      <c r="H185" s="408" t="str">
        <f t="shared" si="18"/>
        <v>Terpenuhi</v>
      </c>
    </row>
    <row r="186" spans="2:8" ht="15.75" customHeight="1" x14ac:dyDescent="0.25">
      <c r="C186" s="413" t="s">
        <v>711</v>
      </c>
      <c r="D186" s="409">
        <f t="shared" si="14"/>
        <v>19.805611080749898</v>
      </c>
      <c r="E186" s="412">
        <f t="shared" si="15"/>
        <v>6.0367502574125691</v>
      </c>
      <c r="F186" s="407">
        <f t="shared" si="16"/>
        <v>6.4655499999999995</v>
      </c>
      <c r="G186" s="407">
        <f t="shared" si="17"/>
        <v>0.65</v>
      </c>
      <c r="H186" s="408" t="str">
        <f t="shared" si="18"/>
        <v>Terpenuhi</v>
      </c>
    </row>
    <row r="187" spans="2:8" ht="16.5" customHeight="1" x14ac:dyDescent="0.25">
      <c r="C187" s="341" t="s">
        <v>712</v>
      </c>
      <c r="D187" s="409">
        <f t="shared" si="14"/>
        <v>19.627035898874286</v>
      </c>
      <c r="E187" s="412">
        <f t="shared" si="15"/>
        <v>5.9823205419768826</v>
      </c>
      <c r="F187" s="407">
        <f t="shared" si="16"/>
        <v>6.4655499999999995</v>
      </c>
      <c r="G187" s="407">
        <f t="shared" si="17"/>
        <v>0.65</v>
      </c>
      <c r="H187" s="408" t="str">
        <f t="shared" si="18"/>
        <v>Terpenuhi</v>
      </c>
    </row>
    <row r="188" spans="2:8" ht="15.75" customHeight="1" x14ac:dyDescent="0.25">
      <c r="C188" s="338" t="s">
        <v>713</v>
      </c>
      <c r="D188" s="409">
        <f t="shared" si="14"/>
        <v>19.805611080749898</v>
      </c>
      <c r="E188" s="412">
        <f t="shared" si="15"/>
        <v>6.0367502574125691</v>
      </c>
      <c r="F188" s="407">
        <f t="shared" si="16"/>
        <v>6.4655499999999995</v>
      </c>
      <c r="G188" s="407">
        <f t="shared" si="17"/>
        <v>0.65</v>
      </c>
      <c r="H188" s="408" t="str">
        <f t="shared" si="18"/>
        <v>Terpenuhi</v>
      </c>
    </row>
    <row r="189" spans="2:8" ht="15.75" customHeight="1" x14ac:dyDescent="0.25">
      <c r="C189" s="338" t="s">
        <v>714</v>
      </c>
      <c r="D189" s="409">
        <f t="shared" si="14"/>
        <v>19.602684737709431</v>
      </c>
      <c r="E189" s="412">
        <f t="shared" si="15"/>
        <v>5.9748983080538354</v>
      </c>
      <c r="F189" s="407">
        <f t="shared" si="16"/>
        <v>6.4655499999999995</v>
      </c>
      <c r="G189" s="407">
        <f t="shared" si="17"/>
        <v>0.65</v>
      </c>
      <c r="H189" s="408" t="str">
        <f t="shared" si="18"/>
        <v>Terpenuhi</v>
      </c>
    </row>
    <row r="190" spans="2:8" ht="15.75" customHeight="1" x14ac:dyDescent="0.25">
      <c r="C190" s="338" t="s">
        <v>715</v>
      </c>
      <c r="D190" s="409">
        <f t="shared" si="14"/>
        <v>19.88678161796609</v>
      </c>
      <c r="E190" s="412">
        <f t="shared" si="15"/>
        <v>6.0614910371560642</v>
      </c>
      <c r="F190" s="407">
        <f t="shared" si="16"/>
        <v>6.4655499999999995</v>
      </c>
      <c r="G190" s="407">
        <f t="shared" si="17"/>
        <v>0.65</v>
      </c>
      <c r="H190" s="408" t="str">
        <f t="shared" si="18"/>
        <v>Terpenuhi</v>
      </c>
    </row>
    <row r="191" spans="2:8" ht="15.75" customHeight="1" x14ac:dyDescent="0.25">
      <c r="B191" s="319"/>
      <c r="C191" s="338" t="s">
        <v>716</v>
      </c>
      <c r="D191" s="409">
        <f t="shared" si="14"/>
        <v>19.383524287225722</v>
      </c>
      <c r="E191" s="412">
        <f t="shared" si="15"/>
        <v>5.9080982027464</v>
      </c>
      <c r="F191" s="407">
        <f t="shared" si="16"/>
        <v>6.4655499999999995</v>
      </c>
      <c r="G191" s="407">
        <f t="shared" si="17"/>
        <v>0.65</v>
      </c>
      <c r="H191" s="408" t="str">
        <f t="shared" si="18"/>
        <v>Terpenuhi</v>
      </c>
    </row>
    <row r="192" spans="2:8" ht="15.75" customHeight="1" x14ac:dyDescent="0.25">
      <c r="B192" s="319"/>
      <c r="C192" s="341" t="s">
        <v>717</v>
      </c>
      <c r="D192" s="409">
        <f t="shared" si="14"/>
        <v>18.953320439979922</v>
      </c>
      <c r="E192" s="412">
        <f t="shared" si="15"/>
        <v>5.7769720701058809</v>
      </c>
      <c r="F192" s="407">
        <f t="shared" si="16"/>
        <v>6.4655499999999995</v>
      </c>
      <c r="G192" s="407">
        <f t="shared" si="17"/>
        <v>0.65</v>
      </c>
      <c r="H192" s="408" t="str">
        <f t="shared" si="18"/>
        <v>Terpenuhi</v>
      </c>
    </row>
    <row r="193" spans="2:10" ht="15.75" customHeight="1" x14ac:dyDescent="0.25">
      <c r="B193" s="319"/>
      <c r="C193" s="341" t="s">
        <v>718</v>
      </c>
      <c r="D193" s="409">
        <f t="shared" si="14"/>
        <v>19.115661514412302</v>
      </c>
      <c r="E193" s="412">
        <f t="shared" si="15"/>
        <v>5.8264536295928702</v>
      </c>
      <c r="F193" s="407">
        <f t="shared" si="16"/>
        <v>6.4655499999999995</v>
      </c>
      <c r="G193" s="407">
        <f t="shared" si="17"/>
        <v>0.65</v>
      </c>
      <c r="H193" s="408" t="str">
        <f t="shared" si="18"/>
        <v>Terpenuhi</v>
      </c>
    </row>
    <row r="194" spans="2:10" ht="15.75" customHeight="1" x14ac:dyDescent="0.25">
      <c r="B194" s="319"/>
      <c r="C194" s="341" t="s">
        <v>719</v>
      </c>
      <c r="D194" s="409">
        <f t="shared" si="14"/>
        <v>19.083193299525828</v>
      </c>
      <c r="E194" s="412">
        <f t="shared" si="15"/>
        <v>5.816557317695473</v>
      </c>
      <c r="F194" s="407">
        <f t="shared" si="16"/>
        <v>6.4655499999999995</v>
      </c>
      <c r="G194" s="407">
        <f t="shared" si="17"/>
        <v>0.65</v>
      </c>
      <c r="H194" s="408" t="str">
        <f t="shared" si="18"/>
        <v>Terpenuhi</v>
      </c>
    </row>
    <row r="195" spans="2:10" ht="15.75" customHeight="1" x14ac:dyDescent="0.25">
      <c r="B195" s="319"/>
      <c r="C195" s="342" t="s">
        <v>720</v>
      </c>
      <c r="D195" s="414">
        <f t="shared" si="14"/>
        <v>18.83156463415564</v>
      </c>
      <c r="E195" s="415">
        <f t="shared" si="15"/>
        <v>5.7398609004906396</v>
      </c>
      <c r="F195" s="416">
        <f t="shared" si="16"/>
        <v>6.4655499999999995</v>
      </c>
      <c r="G195" s="407">
        <f t="shared" si="17"/>
        <v>0.65</v>
      </c>
      <c r="H195" s="408" t="str">
        <f t="shared" si="18"/>
        <v>Terpenuhi</v>
      </c>
    </row>
    <row r="197" spans="2:10" x14ac:dyDescent="0.25">
      <c r="B197" s="290" t="s">
        <v>759</v>
      </c>
      <c r="C197" s="284"/>
      <c r="D197" s="284"/>
      <c r="E197" s="417"/>
      <c r="F197" s="387"/>
      <c r="G197" s="417"/>
    </row>
    <row r="198" spans="2:10" x14ac:dyDescent="0.25">
      <c r="B198" s="326" t="s">
        <v>174</v>
      </c>
      <c r="C198" s="333" t="s">
        <v>760</v>
      </c>
      <c r="D198" s="259"/>
      <c r="E198" s="259"/>
      <c r="F198" s="259"/>
      <c r="G198" s="259"/>
    </row>
    <row r="199" spans="2:10" x14ac:dyDescent="0.25">
      <c r="B199" s="308"/>
      <c r="C199" s="280" t="s">
        <v>761</v>
      </c>
      <c r="D199" s="259" t="s">
        <v>762</v>
      </c>
      <c r="E199" s="284"/>
      <c r="F199" s="284"/>
      <c r="G199" s="284"/>
    </row>
    <row r="200" spans="2:10" x14ac:dyDescent="0.25">
      <c r="B200" s="308"/>
      <c r="C200" s="284"/>
      <c r="D200" s="284"/>
      <c r="E200" s="284"/>
      <c r="F200" s="284"/>
      <c r="G200" s="284"/>
    </row>
    <row r="201" spans="2:10" x14ac:dyDescent="0.25">
      <c r="B201" s="308"/>
      <c r="C201" s="284"/>
      <c r="D201" s="284"/>
      <c r="E201" s="284"/>
      <c r="F201" s="284"/>
      <c r="G201" s="284"/>
    </row>
    <row r="202" spans="2:10" x14ac:dyDescent="0.25">
      <c r="B202" s="308"/>
      <c r="C202" s="259" t="s">
        <v>763</v>
      </c>
      <c r="D202" s="259"/>
      <c r="E202" s="259"/>
      <c r="F202" s="284"/>
      <c r="G202" s="284"/>
    </row>
    <row r="203" spans="2:10" x14ac:dyDescent="0.25">
      <c r="B203" s="308"/>
      <c r="C203" s="280" t="s">
        <v>764</v>
      </c>
      <c r="D203" s="259" t="s">
        <v>765</v>
      </c>
      <c r="E203" s="259"/>
      <c r="F203" s="284"/>
      <c r="G203" s="284"/>
    </row>
    <row r="204" spans="2:10" x14ac:dyDescent="0.25">
      <c r="B204" s="308"/>
      <c r="C204" s="280"/>
      <c r="D204" s="306"/>
      <c r="E204" s="259"/>
      <c r="F204" s="284"/>
      <c r="G204" s="284"/>
    </row>
    <row r="205" spans="2:10" x14ac:dyDescent="0.25">
      <c r="B205" s="308"/>
      <c r="C205" s="280" t="s">
        <v>764</v>
      </c>
      <c r="D205" s="387">
        <f>E9-(0.33*E9)</f>
        <v>6.6644899999999989</v>
      </c>
      <c r="E205" s="259" t="s">
        <v>11</v>
      </c>
      <c r="F205" s="284"/>
      <c r="G205" s="284"/>
    </row>
    <row r="206" spans="2:10" x14ac:dyDescent="0.25">
      <c r="B206" s="308"/>
      <c r="C206" s="387"/>
      <c r="D206" s="418"/>
      <c r="E206" s="419"/>
      <c r="F206" s="418"/>
      <c r="G206" s="418"/>
    </row>
    <row r="207" spans="2:10" x14ac:dyDescent="0.25">
      <c r="B207" s="326" t="s">
        <v>175</v>
      </c>
      <c r="C207" s="420" t="s">
        <v>766</v>
      </c>
      <c r="D207" s="418"/>
      <c r="E207" s="419"/>
      <c r="F207" s="418"/>
      <c r="G207" s="418"/>
    </row>
    <row r="208" spans="2:10" x14ac:dyDescent="0.25">
      <c r="B208" s="308"/>
      <c r="C208" s="390" t="s">
        <v>767</v>
      </c>
      <c r="D208" s="284" t="s">
        <v>768</v>
      </c>
      <c r="E208" s="284"/>
      <c r="F208" s="284"/>
      <c r="G208" s="284"/>
      <c r="H208" s="319"/>
      <c r="I208" s="319"/>
      <c r="J208" s="319"/>
    </row>
    <row r="209" spans="2:12" x14ac:dyDescent="0.25">
      <c r="B209" s="308"/>
      <c r="C209" s="284" t="s">
        <v>107</v>
      </c>
      <c r="E209" s="284"/>
      <c r="F209" s="284"/>
      <c r="G209" s="421"/>
    </row>
    <row r="210" spans="2:12" x14ac:dyDescent="0.25">
      <c r="B210" s="308"/>
      <c r="C210" s="390" t="s">
        <v>769</v>
      </c>
      <c r="D210" s="419" t="e">
        <f>HARVARLD!F171</f>
        <v>#REF!</v>
      </c>
      <c r="E210" s="259" t="s">
        <v>251</v>
      </c>
      <c r="G210" s="421"/>
    </row>
    <row r="211" spans="2:12" x14ac:dyDescent="0.25">
      <c r="B211" s="308"/>
      <c r="C211" s="390" t="s">
        <v>574</v>
      </c>
      <c r="D211" s="419">
        <f>HARVARLD!F197</f>
        <v>0.20300000000000001</v>
      </c>
      <c r="E211" s="259"/>
      <c r="G211" s="421"/>
    </row>
    <row r="212" spans="2:12" x14ac:dyDescent="0.25">
      <c r="B212" s="308"/>
      <c r="C212" s="390"/>
      <c r="D212" s="419"/>
      <c r="E212" s="259"/>
      <c r="G212" s="421"/>
    </row>
    <row r="213" spans="2:12" x14ac:dyDescent="0.25">
      <c r="B213" s="308"/>
      <c r="C213" s="390" t="s">
        <v>770</v>
      </c>
      <c r="D213" s="284" t="s">
        <v>768</v>
      </c>
      <c r="E213" s="284"/>
      <c r="F213" s="419"/>
      <c r="G213" s="421"/>
    </row>
    <row r="214" spans="2:12" x14ac:dyDescent="0.25">
      <c r="B214" s="308"/>
      <c r="C214" s="390" t="s">
        <v>771</v>
      </c>
      <c r="D214" s="422" t="e">
        <f>D210/(1-D211)</f>
        <v>#REF!</v>
      </c>
      <c r="E214" s="284" t="s">
        <v>251</v>
      </c>
      <c r="F214" s="423"/>
      <c r="G214" s="284"/>
      <c r="L214" s="384"/>
    </row>
    <row r="215" spans="2:12" x14ac:dyDescent="0.3">
      <c r="B215" s="308"/>
      <c r="G215" s="279"/>
      <c r="H215" s="279"/>
      <c r="I215" s="279"/>
      <c r="J215" s="279"/>
      <c r="K215" s="279"/>
      <c r="L215" s="384"/>
    </row>
    <row r="216" spans="2:12" x14ac:dyDescent="0.25">
      <c r="B216" s="326" t="s">
        <v>358</v>
      </c>
      <c r="C216" s="420" t="s">
        <v>772</v>
      </c>
      <c r="E216" s="327"/>
      <c r="G216" s="384"/>
      <c r="H216" s="276"/>
      <c r="I216" s="384"/>
      <c r="J216" s="384"/>
      <c r="K216" s="384"/>
    </row>
    <row r="217" spans="2:12" ht="14.4" x14ac:dyDescent="0.35">
      <c r="C217" s="390" t="s">
        <v>773</v>
      </c>
      <c r="D217" s="284" t="s">
        <v>774</v>
      </c>
      <c r="E217" s="284"/>
      <c r="F217" s="284" t="s">
        <v>775</v>
      </c>
      <c r="G217" s="259"/>
      <c r="H217" s="284"/>
    </row>
    <row r="218" spans="2:12" x14ac:dyDescent="0.25">
      <c r="C218" s="390" t="s">
        <v>107</v>
      </c>
      <c r="D218" s="284"/>
      <c r="E218" s="387"/>
      <c r="F218" s="284"/>
      <c r="G218" s="284"/>
    </row>
    <row r="219" spans="2:12" ht="14.4" x14ac:dyDescent="0.35">
      <c r="C219" s="390" t="s">
        <v>776</v>
      </c>
      <c r="D219" s="284" t="s">
        <v>777</v>
      </c>
      <c r="E219" s="284"/>
      <c r="F219" s="284"/>
      <c r="G219" s="284"/>
    </row>
    <row r="220" spans="2:12" x14ac:dyDescent="0.25">
      <c r="C220" s="390" t="s">
        <v>679</v>
      </c>
      <c r="D220" s="269">
        <f>D63</f>
        <v>5.8440838399999997</v>
      </c>
      <c r="E220" s="284" t="s">
        <v>129</v>
      </c>
      <c r="F220" s="284"/>
      <c r="G220" s="284"/>
    </row>
    <row r="221" spans="2:12" x14ac:dyDescent="0.25">
      <c r="C221" s="390" t="s">
        <v>778</v>
      </c>
      <c r="D221" s="269">
        <f>F87</f>
        <v>136.05442176870747</v>
      </c>
      <c r="E221" s="284" t="s">
        <v>622</v>
      </c>
      <c r="F221" s="418">
        <f>D221/60</f>
        <v>2.2675736961451247</v>
      </c>
      <c r="G221" s="424" t="s">
        <v>779</v>
      </c>
    </row>
    <row r="222" spans="2:12" x14ac:dyDescent="0.25">
      <c r="C222" s="390" t="s">
        <v>780</v>
      </c>
      <c r="D222" s="284" t="s">
        <v>781</v>
      </c>
      <c r="E222" s="284"/>
      <c r="F222" s="284"/>
      <c r="G222" s="284"/>
    </row>
    <row r="223" spans="2:12" ht="13.2" x14ac:dyDescent="0.25">
      <c r="C223" s="390" t="s">
        <v>782</v>
      </c>
      <c r="D223" s="387">
        <v>1.026</v>
      </c>
      <c r="E223" s="284" t="s">
        <v>783</v>
      </c>
      <c r="F223" s="284"/>
      <c r="G223" s="284"/>
    </row>
    <row r="224" spans="2:12" ht="14.4" x14ac:dyDescent="0.35">
      <c r="C224" s="390" t="s">
        <v>784</v>
      </c>
      <c r="D224" s="284" t="s">
        <v>785</v>
      </c>
      <c r="E224" s="418"/>
      <c r="F224" s="419"/>
      <c r="G224" s="419"/>
      <c r="H224" s="291">
        <f>0.426*I224</f>
        <v>0.17500000000000013</v>
      </c>
      <c r="I224" s="291">
        <v>0.41079812206572802</v>
      </c>
    </row>
    <row r="225" spans="3:8" ht="14.4" x14ac:dyDescent="0.35">
      <c r="C225" s="390" t="s">
        <v>786</v>
      </c>
      <c r="D225" s="284" t="s">
        <v>787</v>
      </c>
      <c r="E225" s="284"/>
      <c r="F225" s="284"/>
      <c r="G225" s="284"/>
      <c r="H225" s="291">
        <f>0.43*I224</f>
        <v>0.17664319248826305</v>
      </c>
    </row>
    <row r="226" spans="3:8" x14ac:dyDescent="0.25">
      <c r="C226" s="390"/>
      <c r="D226" s="284"/>
      <c r="E226" s="284"/>
      <c r="F226" s="284"/>
      <c r="G226" s="284"/>
    </row>
    <row r="227" spans="3:8" x14ac:dyDescent="0.25">
      <c r="C227" s="390"/>
      <c r="D227" s="284"/>
      <c r="E227" s="284"/>
      <c r="F227" s="284"/>
      <c r="G227" s="284"/>
    </row>
    <row r="228" spans="3:8" x14ac:dyDescent="0.25">
      <c r="C228" s="390"/>
      <c r="D228" s="284"/>
      <c r="E228" s="284"/>
      <c r="F228" s="284"/>
      <c r="G228" s="284"/>
    </row>
    <row r="229" spans="3:8" x14ac:dyDescent="0.25">
      <c r="C229" s="390"/>
      <c r="D229" s="284"/>
      <c r="E229" s="284"/>
      <c r="F229" s="284"/>
      <c r="G229" s="284"/>
    </row>
    <row r="230" spans="3:8" x14ac:dyDescent="0.25">
      <c r="C230" s="390"/>
      <c r="D230" s="284"/>
      <c r="E230" s="284"/>
      <c r="F230" s="284"/>
      <c r="G230" s="284"/>
    </row>
    <row r="231" spans="3:8" x14ac:dyDescent="0.25">
      <c r="C231" s="291" t="s">
        <v>788</v>
      </c>
      <c r="D231" s="284" t="s">
        <v>789</v>
      </c>
      <c r="E231" s="284"/>
      <c r="F231" s="284"/>
      <c r="G231" s="284"/>
    </row>
    <row r="232" spans="3:8" x14ac:dyDescent="0.25">
      <c r="C232" s="390" t="s">
        <v>790</v>
      </c>
      <c r="D232" s="284">
        <v>101.325</v>
      </c>
      <c r="E232" s="284"/>
      <c r="F232" s="284"/>
      <c r="G232" s="284"/>
    </row>
    <row r="233" spans="3:8" x14ac:dyDescent="0.25">
      <c r="C233" s="390" t="s">
        <v>791</v>
      </c>
      <c r="D233" s="284">
        <v>1.671</v>
      </c>
      <c r="E233" s="284"/>
      <c r="F233" s="284"/>
      <c r="G233" s="284"/>
    </row>
    <row r="234" spans="3:8" x14ac:dyDescent="0.25">
      <c r="C234" s="390"/>
      <c r="D234" s="284"/>
      <c r="E234" s="284"/>
      <c r="F234" s="284"/>
      <c r="G234" s="284"/>
    </row>
    <row r="235" spans="3:8" x14ac:dyDescent="0.25">
      <c r="C235" s="291">
        <v>0.15</v>
      </c>
      <c r="E235" s="284"/>
      <c r="F235" s="284"/>
      <c r="G235" s="284"/>
    </row>
    <row r="236" spans="3:8" x14ac:dyDescent="0.25">
      <c r="C236" s="390">
        <v>0.2</v>
      </c>
      <c r="D236" s="284">
        <v>0.10299999999999999</v>
      </c>
      <c r="E236" s="284"/>
      <c r="F236" s="284"/>
      <c r="G236" s="284"/>
    </row>
    <row r="237" spans="3:8" x14ac:dyDescent="0.25">
      <c r="C237" s="390"/>
      <c r="D237" s="284"/>
      <c r="E237" s="284"/>
      <c r="F237" s="284"/>
      <c r="G237" s="284"/>
    </row>
    <row r="238" spans="3:8" x14ac:dyDescent="0.25">
      <c r="C238" s="390"/>
      <c r="D238" s="284"/>
      <c r="E238" s="284"/>
      <c r="F238" s="284"/>
      <c r="G238" s="284"/>
    </row>
    <row r="239" spans="3:8" x14ac:dyDescent="0.25">
      <c r="C239" s="284"/>
      <c r="D239" s="390"/>
      <c r="E239" s="284"/>
      <c r="F239" s="284"/>
      <c r="G239" s="284"/>
      <c r="H239" s="284"/>
    </row>
    <row r="240" spans="3:8" x14ac:dyDescent="0.25">
      <c r="C240" s="284"/>
      <c r="D240" s="390"/>
      <c r="E240" s="284"/>
      <c r="F240" s="284"/>
      <c r="G240" s="284"/>
      <c r="H240" s="284"/>
    </row>
    <row r="241" spans="3:12" x14ac:dyDescent="0.3">
      <c r="E241" s="322"/>
    </row>
    <row r="242" spans="3:12" ht="14.4" x14ac:dyDescent="0.3">
      <c r="C242" s="334" t="s">
        <v>654</v>
      </c>
      <c r="D242" s="336" t="s">
        <v>792</v>
      </c>
      <c r="E242" s="336" t="s">
        <v>793</v>
      </c>
      <c r="F242" s="336" t="s">
        <v>794</v>
      </c>
      <c r="G242" s="336" t="s">
        <v>795</v>
      </c>
      <c r="H242" s="336" t="s">
        <v>796</v>
      </c>
      <c r="I242" s="336" t="s">
        <v>797</v>
      </c>
      <c r="J242" s="336" t="s">
        <v>798</v>
      </c>
      <c r="K242" s="425" t="s">
        <v>799</v>
      </c>
      <c r="L242" s="426" t="s">
        <v>800</v>
      </c>
    </row>
    <row r="243" spans="3:12" x14ac:dyDescent="0.3">
      <c r="C243" s="427" t="s">
        <v>703</v>
      </c>
      <c r="D243" s="428">
        <f t="shared" ref="D243:D260" si="19">$F$221</f>
        <v>2.2675736961451247</v>
      </c>
      <c r="E243" s="428">
        <f t="shared" ref="E243:E260" si="20">E178</f>
        <v>5.5048234929274464</v>
      </c>
      <c r="F243" s="428">
        <f t="shared" ref="F243:F260" si="21">(188.2 + 19.62 * $D$205) / ($D$220^2 + 4.836 * $F$221^2 * E178^2)</f>
        <v>0.40493501086928618</v>
      </c>
      <c r="G243" s="429">
        <f t="shared" ref="G243:G260" si="22">0.715 * L243^0.184 - 0.437</f>
        <v>0.11573305865014388</v>
      </c>
      <c r="H243" s="430">
        <f t="shared" ref="H243:H260" si="23">($D$220)^2+(0.7*3.14*$F$221*E243)^2</f>
        <v>786.92798011091929</v>
      </c>
      <c r="I243" s="428">
        <f t="shared" ref="I243:I260" si="24">1/4*3.14*D178^2</f>
        <v>256.05103046471299</v>
      </c>
      <c r="J243" s="431">
        <v>0.35</v>
      </c>
      <c r="K243" s="430">
        <f t="shared" ref="K243:K260" si="25">I243*J243</f>
        <v>89.617860662649548</v>
      </c>
      <c r="L243" s="432">
        <f t="shared" ref="L243:L260" si="26">($D$232 - $D$233) / (0.5 * $D$223 * H243)</f>
        <v>0.24685525848774553</v>
      </c>
    </row>
    <row r="244" spans="3:12" x14ac:dyDescent="0.3">
      <c r="C244" s="433" t="s">
        <v>704</v>
      </c>
      <c r="D244" s="434">
        <f t="shared" si="19"/>
        <v>2.2675736961451247</v>
      </c>
      <c r="E244" s="434">
        <f t="shared" si="20"/>
        <v>5.4998753369787465</v>
      </c>
      <c r="F244" s="428">
        <f t="shared" si="21"/>
        <v>0.40563230495006058</v>
      </c>
      <c r="G244" s="429">
        <f t="shared" si="22"/>
        <v>0.1159080595530409</v>
      </c>
      <c r="H244" s="435">
        <f t="shared" si="23"/>
        <v>785.57528556981299</v>
      </c>
      <c r="I244" s="434">
        <f t="shared" si="24"/>
        <v>255.59092088925246</v>
      </c>
      <c r="J244" s="435">
        <v>0.5</v>
      </c>
      <c r="K244" s="435">
        <f t="shared" si="25"/>
        <v>127.79546044462623</v>
      </c>
      <c r="L244" s="432">
        <f t="shared" si="26"/>
        <v>0.24728032247172455</v>
      </c>
    </row>
    <row r="245" spans="3:12" x14ac:dyDescent="0.3">
      <c r="C245" s="433" t="s">
        <v>705</v>
      </c>
      <c r="D245" s="434">
        <f t="shared" si="19"/>
        <v>2.2675736961451247</v>
      </c>
      <c r="E245" s="434">
        <f t="shared" si="20"/>
        <v>5.4850308691326513</v>
      </c>
      <c r="F245" s="428">
        <f t="shared" si="21"/>
        <v>0.40773486275163567</v>
      </c>
      <c r="G245" s="429">
        <f t="shared" si="22"/>
        <v>0.11643425951806624</v>
      </c>
      <c r="H245" s="435">
        <f t="shared" si="23"/>
        <v>781.52450065804817</v>
      </c>
      <c r="I245" s="434">
        <f t="shared" si="24"/>
        <v>254.2130747684941</v>
      </c>
      <c r="J245" s="435">
        <v>0.65</v>
      </c>
      <c r="K245" s="435">
        <f t="shared" si="25"/>
        <v>165.23849859952117</v>
      </c>
      <c r="L245" s="432">
        <f t="shared" si="26"/>
        <v>0.24856202176381506</v>
      </c>
    </row>
    <row r="246" spans="3:12" x14ac:dyDescent="0.3">
      <c r="C246" s="433" t="s">
        <v>706</v>
      </c>
      <c r="D246" s="434">
        <f t="shared" si="19"/>
        <v>2.2675736961451247</v>
      </c>
      <c r="E246" s="434">
        <f t="shared" si="20"/>
        <v>5.1460821866467805</v>
      </c>
      <c r="F246" s="428">
        <f t="shared" si="21"/>
        <v>0.46047937652074783</v>
      </c>
      <c r="G246" s="429">
        <f t="shared" si="22"/>
        <v>0.12896130860159954</v>
      </c>
      <c r="H246" s="435">
        <f t="shared" si="23"/>
        <v>692.01051721502415</v>
      </c>
      <c r="I246" s="434">
        <f t="shared" si="24"/>
        <v>223.76552015200795</v>
      </c>
      <c r="J246" s="435">
        <v>0.8</v>
      </c>
      <c r="K246" s="435">
        <f t="shared" si="25"/>
        <v>179.01241612160638</v>
      </c>
      <c r="L246" s="432">
        <f t="shared" si="26"/>
        <v>0.28071438960682743</v>
      </c>
    </row>
    <row r="247" spans="3:12" x14ac:dyDescent="0.25">
      <c r="C247" s="436" t="s">
        <v>707</v>
      </c>
      <c r="D247" s="437">
        <f t="shared" si="19"/>
        <v>2.2675736961451247</v>
      </c>
      <c r="E247" s="437">
        <f t="shared" si="20"/>
        <v>6.2346764953605227</v>
      </c>
      <c r="F247" s="438">
        <f t="shared" si="21"/>
        <v>0.31872416695370293</v>
      </c>
      <c r="G247" s="439">
        <f t="shared" si="22"/>
        <v>9.1914692487679639E-2</v>
      </c>
      <c r="H247" s="440">
        <f t="shared" si="23"/>
        <v>999.77285435514432</v>
      </c>
      <c r="I247" s="437">
        <f t="shared" si="24"/>
        <v>328.4487239213459</v>
      </c>
      <c r="J247" s="440">
        <v>0.4</v>
      </c>
      <c r="K247" s="440">
        <f t="shared" si="25"/>
        <v>131.37948956853836</v>
      </c>
      <c r="L247" s="441">
        <f t="shared" si="26"/>
        <v>0.19430144466846608</v>
      </c>
    </row>
    <row r="248" spans="3:12" x14ac:dyDescent="0.25">
      <c r="C248" s="442" t="s">
        <v>708</v>
      </c>
      <c r="D248" s="437">
        <f t="shared" si="19"/>
        <v>2.2675736961451247</v>
      </c>
      <c r="E248" s="437">
        <f t="shared" si="20"/>
        <v>5.2945268651077457</v>
      </c>
      <c r="F248" s="438">
        <f t="shared" si="21"/>
        <v>0.43620924696773938</v>
      </c>
      <c r="G248" s="439">
        <f t="shared" si="22"/>
        <v>0.12335097248999732</v>
      </c>
      <c r="H248" s="440">
        <f t="shared" si="23"/>
        <v>730.51122065567563</v>
      </c>
      <c r="I248" s="437">
        <f t="shared" si="24"/>
        <v>236.86126481327099</v>
      </c>
      <c r="J248" s="440">
        <v>0.55000000000000004</v>
      </c>
      <c r="K248" s="440">
        <f t="shared" si="25"/>
        <v>130.27369564729906</v>
      </c>
      <c r="L248" s="441">
        <f t="shared" si="26"/>
        <v>0.26591967987454512</v>
      </c>
    </row>
    <row r="249" spans="3:12" x14ac:dyDescent="0.25">
      <c r="C249" s="442" t="s">
        <v>709</v>
      </c>
      <c r="D249" s="437">
        <f t="shared" si="19"/>
        <v>2.2675736961451247</v>
      </c>
      <c r="E249" s="437">
        <f t="shared" si="20"/>
        <v>6.1357133763865459</v>
      </c>
      <c r="F249" s="438">
        <f t="shared" si="21"/>
        <v>0.32872369117088862</v>
      </c>
      <c r="G249" s="439">
        <f t="shared" si="22"/>
        <v>9.492951947856626E-2</v>
      </c>
      <c r="H249" s="440">
        <f t="shared" si="23"/>
        <v>969.36155621876867</v>
      </c>
      <c r="I249" s="437">
        <f t="shared" si="24"/>
        <v>318.10453382556153</v>
      </c>
      <c r="J249" s="440">
        <v>0.7</v>
      </c>
      <c r="K249" s="440">
        <f t="shared" si="25"/>
        <v>222.67317367789306</v>
      </c>
      <c r="L249" s="441">
        <f t="shared" si="26"/>
        <v>0.2003971672853094</v>
      </c>
    </row>
    <row r="250" spans="3:12" x14ac:dyDescent="0.25">
      <c r="C250" s="442" t="s">
        <v>710</v>
      </c>
      <c r="D250" s="437">
        <f t="shared" si="19"/>
        <v>2.2675736961451247</v>
      </c>
      <c r="E250" s="437">
        <f t="shared" si="20"/>
        <v>5.9625279181820883</v>
      </c>
      <c r="F250" s="438">
        <f t="shared" si="21"/>
        <v>0.34737638386530378</v>
      </c>
      <c r="G250" s="439">
        <f t="shared" si="22"/>
        <v>0.10035869701005568</v>
      </c>
      <c r="H250" s="440">
        <f t="shared" si="23"/>
        <v>917.31261945836241</v>
      </c>
      <c r="I250" s="437">
        <f t="shared" si="24"/>
        <v>300.40045247662664</v>
      </c>
      <c r="J250" s="440">
        <v>0.85</v>
      </c>
      <c r="K250" s="440">
        <f t="shared" si="25"/>
        <v>255.34038460513264</v>
      </c>
      <c r="L250" s="441">
        <f t="shared" si="26"/>
        <v>0.21176783772605448</v>
      </c>
    </row>
    <row r="251" spans="3:12" x14ac:dyDescent="0.25">
      <c r="C251" s="442" t="s">
        <v>711</v>
      </c>
      <c r="D251" s="437">
        <f t="shared" si="19"/>
        <v>2.2675736961451247</v>
      </c>
      <c r="E251" s="437">
        <f t="shared" si="20"/>
        <v>6.0367502574125691</v>
      </c>
      <c r="F251" s="438">
        <f t="shared" si="21"/>
        <v>0.3391951968874406</v>
      </c>
      <c r="G251" s="439">
        <f t="shared" si="22"/>
        <v>9.8007465277298811E-2</v>
      </c>
      <c r="H251" s="440">
        <f t="shared" si="23"/>
        <v>939.43683885257508</v>
      </c>
      <c r="I251" s="437">
        <f t="shared" si="24"/>
        <v>307.92585077130968</v>
      </c>
      <c r="J251" s="440">
        <v>1</v>
      </c>
      <c r="K251" s="440">
        <f t="shared" si="25"/>
        <v>307.92585077130968</v>
      </c>
      <c r="L251" s="441">
        <f t="shared" si="26"/>
        <v>0.20678059653141309</v>
      </c>
    </row>
    <row r="252" spans="3:12" x14ac:dyDescent="0.25">
      <c r="C252" s="443" t="s">
        <v>712</v>
      </c>
      <c r="D252" s="444">
        <f t="shared" si="19"/>
        <v>2.2675736961451247</v>
      </c>
      <c r="E252" s="444">
        <f t="shared" si="20"/>
        <v>5.9823205419768826</v>
      </c>
      <c r="F252" s="445">
        <f t="shared" si="21"/>
        <v>0.34516639853560455</v>
      </c>
      <c r="G252" s="446">
        <f t="shared" si="22"/>
        <v>9.9728051360778058E-2</v>
      </c>
      <c r="H252" s="447">
        <f t="shared" si="23"/>
        <v>923.18564935445897</v>
      </c>
      <c r="I252" s="444">
        <f t="shared" si="24"/>
        <v>302.39812246792451</v>
      </c>
      <c r="J252" s="447">
        <v>0.45</v>
      </c>
      <c r="K252" s="447">
        <f t="shared" si="25"/>
        <v>136.07915511056603</v>
      </c>
      <c r="L252" s="448">
        <f t="shared" si="26"/>
        <v>0.21042063433000244</v>
      </c>
    </row>
    <row r="253" spans="3:12" x14ac:dyDescent="0.25">
      <c r="C253" s="443" t="s">
        <v>713</v>
      </c>
      <c r="D253" s="444">
        <f t="shared" si="19"/>
        <v>2.2675736961451247</v>
      </c>
      <c r="E253" s="444">
        <f t="shared" si="20"/>
        <v>6.0367502574125691</v>
      </c>
      <c r="F253" s="445">
        <f t="shared" si="21"/>
        <v>0.3391951968874406</v>
      </c>
      <c r="G253" s="446">
        <f t="shared" si="22"/>
        <v>9.8007465277298811E-2</v>
      </c>
      <c r="H253" s="447">
        <f t="shared" si="23"/>
        <v>939.43683885257508</v>
      </c>
      <c r="I253" s="444">
        <f t="shared" si="24"/>
        <v>307.92585077130968</v>
      </c>
      <c r="J253" s="447">
        <v>0.6</v>
      </c>
      <c r="K253" s="447">
        <f t="shared" si="25"/>
        <v>184.75551046278579</v>
      </c>
      <c r="L253" s="448">
        <f t="shared" si="26"/>
        <v>0.20678059653141309</v>
      </c>
    </row>
    <row r="254" spans="3:12" x14ac:dyDescent="0.25">
      <c r="C254" s="443" t="s">
        <v>714</v>
      </c>
      <c r="D254" s="444">
        <f t="shared" si="19"/>
        <v>2.2675736961451247</v>
      </c>
      <c r="E254" s="444">
        <f t="shared" si="20"/>
        <v>5.9748983080538354</v>
      </c>
      <c r="F254" s="445">
        <f t="shared" si="21"/>
        <v>0.3459926967877377</v>
      </c>
      <c r="G254" s="446">
        <f t="shared" si="22"/>
        <v>9.9964230049661651E-2</v>
      </c>
      <c r="H254" s="447">
        <f t="shared" si="23"/>
        <v>920.98098229606262</v>
      </c>
      <c r="I254" s="444">
        <f t="shared" si="24"/>
        <v>301.64822040693065</v>
      </c>
      <c r="J254" s="447">
        <v>0.75</v>
      </c>
      <c r="K254" s="447">
        <f t="shared" si="25"/>
        <v>226.23616530519797</v>
      </c>
      <c r="L254" s="448">
        <f t="shared" si="26"/>
        <v>0.21092434444978977</v>
      </c>
    </row>
    <row r="255" spans="3:12" x14ac:dyDescent="0.25">
      <c r="C255" s="443" t="s">
        <v>715</v>
      </c>
      <c r="D255" s="444">
        <f t="shared" si="19"/>
        <v>2.2675736961451247</v>
      </c>
      <c r="E255" s="444">
        <f t="shared" si="20"/>
        <v>6.0614910371560642</v>
      </c>
      <c r="F255" s="445">
        <f t="shared" si="21"/>
        <v>0.33653148288628887</v>
      </c>
      <c r="G255" s="446">
        <f t="shared" si="22"/>
        <v>9.7231940134897055E-2</v>
      </c>
      <c r="H255" s="447">
        <f t="shared" si="23"/>
        <v>946.87240124691914</v>
      </c>
      <c r="I255" s="444">
        <f t="shared" si="24"/>
        <v>310.45500524972908</v>
      </c>
      <c r="J255" s="447">
        <v>0.9</v>
      </c>
      <c r="K255" s="447">
        <f t="shared" si="25"/>
        <v>279.40950472475618</v>
      </c>
      <c r="L255" s="448">
        <f t="shared" si="26"/>
        <v>0.20515679798640926</v>
      </c>
    </row>
    <row r="256" spans="3:12" x14ac:dyDescent="0.25">
      <c r="C256" s="443" t="s">
        <v>716</v>
      </c>
      <c r="D256" s="444">
        <f t="shared" si="19"/>
        <v>2.2675736961451247</v>
      </c>
      <c r="E256" s="444">
        <f t="shared" si="20"/>
        <v>5.9080982027464</v>
      </c>
      <c r="F256" s="445">
        <f t="shared" si="21"/>
        <v>0.35356300284223829</v>
      </c>
      <c r="G256" s="446">
        <f t="shared" si="22"/>
        <v>0.10210687476671193</v>
      </c>
      <c r="H256" s="447">
        <f t="shared" si="23"/>
        <v>901.26214452794579</v>
      </c>
      <c r="I256" s="444">
        <f t="shared" si="24"/>
        <v>294.94099582787351</v>
      </c>
      <c r="J256" s="447">
        <v>1.05</v>
      </c>
      <c r="K256" s="447">
        <f t="shared" si="25"/>
        <v>309.6880456192672</v>
      </c>
      <c r="L256" s="448">
        <f t="shared" si="26"/>
        <v>0.21553918704004441</v>
      </c>
    </row>
    <row r="257" spans="3:12" x14ac:dyDescent="0.25">
      <c r="C257" s="443" t="s">
        <v>717</v>
      </c>
      <c r="D257" s="375">
        <f t="shared" si="19"/>
        <v>2.2675736961451247</v>
      </c>
      <c r="E257" s="375">
        <f t="shared" si="20"/>
        <v>5.7769720701058809</v>
      </c>
      <c r="F257" s="339">
        <f t="shared" si="21"/>
        <v>0.36915391215820242</v>
      </c>
      <c r="G257" s="278">
        <f t="shared" si="22"/>
        <v>0.10640423573757501</v>
      </c>
      <c r="H257" s="449">
        <f t="shared" si="23"/>
        <v>863.19951583694888</v>
      </c>
      <c r="I257" s="375">
        <f t="shared" si="24"/>
        <v>281.99425922494015</v>
      </c>
      <c r="J257" s="449">
        <v>0.5</v>
      </c>
      <c r="K257" s="449">
        <f t="shared" si="25"/>
        <v>140.99712961247008</v>
      </c>
      <c r="L257" s="291">
        <f t="shared" si="26"/>
        <v>0.22504334904911372</v>
      </c>
    </row>
    <row r="258" spans="3:12" x14ac:dyDescent="0.25">
      <c r="C258" s="443" t="s">
        <v>718</v>
      </c>
      <c r="D258" s="375">
        <f t="shared" si="19"/>
        <v>2.2675736961451247</v>
      </c>
      <c r="E258" s="375">
        <f t="shared" si="20"/>
        <v>5.8264536295928702</v>
      </c>
      <c r="F258" s="339">
        <f t="shared" si="21"/>
        <v>0.36315319000562513</v>
      </c>
      <c r="G258" s="278">
        <f t="shared" si="22"/>
        <v>0.10476810012350185</v>
      </c>
      <c r="H258" s="449">
        <f t="shared" si="23"/>
        <v>877.46241466290917</v>
      </c>
      <c r="I258" s="375">
        <f t="shared" si="24"/>
        <v>286.8456843798632</v>
      </c>
      <c r="J258" s="449">
        <v>0.65</v>
      </c>
      <c r="K258" s="449">
        <f t="shared" si="25"/>
        <v>186.44969484691109</v>
      </c>
      <c r="L258" s="291">
        <f t="shared" si="26"/>
        <v>0.22138533422670581</v>
      </c>
    </row>
    <row r="259" spans="3:12" x14ac:dyDescent="0.25">
      <c r="C259" s="443" t="s">
        <v>719</v>
      </c>
      <c r="D259" s="375">
        <f t="shared" si="19"/>
        <v>2.2675736961451247</v>
      </c>
      <c r="E259" s="375">
        <f t="shared" si="20"/>
        <v>5.816557317695473</v>
      </c>
      <c r="F259" s="339">
        <f t="shared" si="21"/>
        <v>0.36434173064448605</v>
      </c>
      <c r="G259" s="278">
        <f t="shared" si="22"/>
        <v>0.10509390641588962</v>
      </c>
      <c r="H259" s="449">
        <f t="shared" si="23"/>
        <v>874.60010328231385</v>
      </c>
      <c r="I259" s="375">
        <f t="shared" si="24"/>
        <v>285.87208920804795</v>
      </c>
      <c r="J259" s="449">
        <v>0.8</v>
      </c>
      <c r="K259" s="449">
        <f t="shared" si="25"/>
        <v>228.69767136643839</v>
      </c>
      <c r="L259" s="291">
        <f t="shared" si="26"/>
        <v>0.22210986393951496</v>
      </c>
    </row>
    <row r="260" spans="3:12" x14ac:dyDescent="0.25">
      <c r="C260" s="443" t="s">
        <v>720</v>
      </c>
      <c r="D260" s="375">
        <f t="shared" si="19"/>
        <v>2.2675736961451247</v>
      </c>
      <c r="E260" s="375">
        <f t="shared" si="20"/>
        <v>5.7398609004906396</v>
      </c>
      <c r="F260" s="339">
        <f t="shared" si="21"/>
        <v>0.37375122851235221</v>
      </c>
      <c r="G260" s="278">
        <f t="shared" si="22"/>
        <v>0.10764310320683473</v>
      </c>
      <c r="H260" s="449">
        <f t="shared" si="23"/>
        <v>852.58217137508677</v>
      </c>
      <c r="I260" s="375">
        <f t="shared" si="24"/>
        <v>278.38284385774944</v>
      </c>
      <c r="J260" s="449">
        <v>0.95</v>
      </c>
      <c r="K260" s="449">
        <f t="shared" si="25"/>
        <v>264.46370166486196</v>
      </c>
      <c r="L260" s="291">
        <f t="shared" si="26"/>
        <v>0.22784585048056147</v>
      </c>
    </row>
    <row r="261" spans="3:12" x14ac:dyDescent="0.3">
      <c r="D261" s="276"/>
      <c r="E261" s="450"/>
      <c r="F261" s="384"/>
      <c r="G261" s="384"/>
      <c r="H261" s="384"/>
      <c r="I261" s="384"/>
      <c r="J261" s="384"/>
      <c r="K261" s="384"/>
    </row>
    <row r="262" spans="3:12" ht="14.4" x14ac:dyDescent="0.35">
      <c r="C262" s="420" t="s">
        <v>801</v>
      </c>
      <c r="D262" s="284"/>
      <c r="E262" s="451" t="s">
        <v>795</v>
      </c>
      <c r="F262" s="452" t="s">
        <v>802</v>
      </c>
      <c r="G262" s="453" t="s">
        <v>803</v>
      </c>
      <c r="H262" s="384"/>
      <c r="I262" s="384"/>
      <c r="J262" s="384"/>
      <c r="K262" s="384"/>
    </row>
    <row r="263" spans="3:12" x14ac:dyDescent="0.25">
      <c r="C263" s="259"/>
      <c r="D263" s="259"/>
      <c r="E263" s="259"/>
      <c r="F263" s="259"/>
      <c r="G263" s="259"/>
    </row>
    <row r="264" spans="3:12" x14ac:dyDescent="0.25">
      <c r="C264" s="284" t="s">
        <v>804</v>
      </c>
      <c r="D264" s="284"/>
      <c r="E264" s="284"/>
      <c r="F264" s="284"/>
      <c r="G264" s="284"/>
      <c r="H264" s="384"/>
      <c r="I264" s="384"/>
      <c r="J264" s="384"/>
      <c r="K264" s="384"/>
    </row>
    <row r="265" spans="3:12" x14ac:dyDescent="0.25">
      <c r="C265" s="284" t="s">
        <v>805</v>
      </c>
      <c r="D265" s="284"/>
      <c r="E265" s="284"/>
      <c r="F265" s="284"/>
      <c r="G265" s="284"/>
      <c r="H265" s="384"/>
      <c r="I265" s="384"/>
      <c r="J265" s="384"/>
      <c r="K265" s="384"/>
    </row>
    <row r="266" spans="3:12" x14ac:dyDescent="0.25">
      <c r="C266" s="421" t="s">
        <v>806</v>
      </c>
      <c r="D266" s="284"/>
      <c r="E266" s="284"/>
      <c r="F266" s="284"/>
      <c r="G266" s="284"/>
      <c r="H266" s="384"/>
      <c r="I266" s="384"/>
      <c r="J266" s="384"/>
      <c r="K266" s="384"/>
    </row>
    <row r="267" spans="3:12" x14ac:dyDescent="0.25">
      <c r="C267" s="421" t="s">
        <v>807</v>
      </c>
      <c r="D267" s="284"/>
      <c r="E267" s="284"/>
      <c r="F267" s="284"/>
      <c r="G267" s="284"/>
      <c r="H267" s="384"/>
      <c r="I267" s="384"/>
      <c r="J267" s="384"/>
      <c r="K267" s="384"/>
    </row>
    <row r="268" spans="3:12" x14ac:dyDescent="0.25">
      <c r="C268" s="421" t="s">
        <v>808</v>
      </c>
      <c r="D268" s="284"/>
      <c r="E268" s="284"/>
      <c r="F268" s="284"/>
      <c r="G268" s="284"/>
      <c r="H268" s="384"/>
      <c r="I268" s="384"/>
      <c r="J268" s="384"/>
      <c r="K268" s="384"/>
    </row>
    <row r="269" spans="3:12" ht="15" customHeight="1" x14ac:dyDescent="0.25">
      <c r="C269" s="421" t="s">
        <v>809</v>
      </c>
      <c r="D269" s="284"/>
      <c r="E269" s="284"/>
      <c r="F269" s="284"/>
      <c r="G269" s="284"/>
      <c r="H269" s="384"/>
      <c r="I269" s="384"/>
      <c r="J269" s="384"/>
      <c r="K269" s="384"/>
    </row>
    <row r="270" spans="3:12" x14ac:dyDescent="0.25">
      <c r="C270" s="387"/>
      <c r="D270" s="418"/>
      <c r="E270" s="419"/>
      <c r="F270" s="418"/>
      <c r="G270" s="418"/>
      <c r="H270" s="279">
        <v>5.1227</v>
      </c>
      <c r="I270" s="279"/>
      <c r="J270" s="279"/>
      <c r="K270" s="384"/>
    </row>
    <row r="271" spans="3:12" x14ac:dyDescent="0.25">
      <c r="C271" s="420" t="s">
        <v>810</v>
      </c>
      <c r="D271" s="418"/>
      <c r="E271" s="419"/>
      <c r="F271" s="418"/>
      <c r="G271" s="418"/>
      <c r="H271" s="291">
        <v>7.4523999999999999</v>
      </c>
    </row>
    <row r="272" spans="3:12" x14ac:dyDescent="0.25">
      <c r="C272" s="284" t="s">
        <v>811</v>
      </c>
      <c r="D272" s="284"/>
      <c r="E272" s="284"/>
      <c r="F272" s="284"/>
      <c r="G272" s="284"/>
      <c r="H272" s="328">
        <f>H271/H270</f>
        <v>1.4547797060144065</v>
      </c>
    </row>
    <row r="273" spans="3:11" x14ac:dyDescent="0.25">
      <c r="C273" s="390" t="s">
        <v>603</v>
      </c>
      <c r="D273" s="454" t="s">
        <v>703</v>
      </c>
      <c r="E273" s="421"/>
      <c r="G273" s="421"/>
      <c r="H273" s="291">
        <v>0.29260000000000003</v>
      </c>
    </row>
    <row r="274" spans="3:11" ht="14.4" x14ac:dyDescent="0.35">
      <c r="C274" s="390" t="s">
        <v>812</v>
      </c>
      <c r="D274" s="454">
        <f>E178</f>
        <v>5.5048234929274464</v>
      </c>
      <c r="E274" s="421" t="s">
        <v>11</v>
      </c>
      <c r="G274" s="421"/>
      <c r="H274" s="258"/>
      <c r="K274" s="384"/>
    </row>
    <row r="275" spans="3:11" x14ac:dyDescent="0.25">
      <c r="C275" s="390" t="s">
        <v>813</v>
      </c>
      <c r="D275" s="454">
        <f>H157</f>
        <v>0.7</v>
      </c>
      <c r="E275" s="424"/>
      <c r="G275" s="421"/>
      <c r="H275" s="384"/>
      <c r="I275" s="384"/>
      <c r="J275" s="455"/>
      <c r="K275" s="455"/>
    </row>
    <row r="276" spans="3:11" x14ac:dyDescent="0.25">
      <c r="C276" s="390" t="s">
        <v>814</v>
      </c>
      <c r="D276" s="454">
        <f>I157</f>
        <v>0.59299999999999997</v>
      </c>
      <c r="E276" s="424"/>
      <c r="G276" s="421"/>
      <c r="J276" s="455"/>
    </row>
    <row r="277" spans="3:11" x14ac:dyDescent="0.25">
      <c r="C277" s="390" t="s">
        <v>778</v>
      </c>
      <c r="D277" s="454">
        <f>F87</f>
        <v>136.05442176870747</v>
      </c>
      <c r="E277" s="456" t="s">
        <v>622</v>
      </c>
      <c r="F277" s="291">
        <f>D277/60</f>
        <v>2.2675736961451247</v>
      </c>
      <c r="G277" s="284" t="s">
        <v>779</v>
      </c>
      <c r="H277" s="384"/>
    </row>
    <row r="278" spans="3:11" x14ac:dyDescent="0.3">
      <c r="E278" s="276"/>
      <c r="F278" s="308"/>
      <c r="G278" s="384"/>
    </row>
    <row r="279" spans="3:11" x14ac:dyDescent="0.3">
      <c r="E279" s="276"/>
      <c r="F279" s="457"/>
      <c r="G279" s="458"/>
      <c r="H279" s="384"/>
      <c r="I279" s="384"/>
    </row>
    <row r="289" spans="3:8" ht="14.4" x14ac:dyDescent="0.3">
      <c r="C289" s="459" t="s">
        <v>654</v>
      </c>
      <c r="D289" s="459" t="s">
        <v>815</v>
      </c>
      <c r="E289" s="459" t="s">
        <v>816</v>
      </c>
      <c r="F289" s="459" t="s">
        <v>817</v>
      </c>
      <c r="G289" s="460" t="s">
        <v>818</v>
      </c>
    </row>
    <row r="290" spans="3:8" x14ac:dyDescent="0.3">
      <c r="C290" s="461" t="s">
        <v>703</v>
      </c>
      <c r="D290" s="462">
        <f t="shared" ref="D290:D307" si="27">$K$243*(1.067-(0.229*(H157)))</f>
        <v>81.256514262824339</v>
      </c>
      <c r="E290" s="463" t="e">
        <f>$D$214/(0.5*D290*$D$223*H243)</f>
        <v>#REF!</v>
      </c>
      <c r="F290" s="464">
        <f t="shared" ref="F290:F307" si="28">G243</f>
        <v>0.11573305865014388</v>
      </c>
      <c r="G290" s="463" t="e">
        <f t="shared" ref="G290:G307" si="29">IF(E290&lt;F290,"Tidak Kavitasi","Kavitasi")</f>
        <v>#REF!</v>
      </c>
      <c r="H290" s="291">
        <f t="shared" ref="H290:H307" si="30">L243</f>
        <v>0.24685525848774553</v>
      </c>
    </row>
    <row r="291" spans="3:8" x14ac:dyDescent="0.3">
      <c r="C291" s="461" t="s">
        <v>704</v>
      </c>
      <c r="D291" s="434">
        <f t="shared" si="27"/>
        <v>81.256514262824339</v>
      </c>
      <c r="E291" s="463" t="e">
        <f t="shared" ref="E291:E307" si="31">$D$214/(0.5*D291*1.026*H244)</f>
        <v>#REF!</v>
      </c>
      <c r="F291" s="465">
        <f t="shared" si="28"/>
        <v>0.1159080595530409</v>
      </c>
      <c r="G291" s="466" t="e">
        <f t="shared" si="29"/>
        <v>#REF!</v>
      </c>
      <c r="H291" s="291">
        <f t="shared" si="30"/>
        <v>0.24728032247172455</v>
      </c>
    </row>
    <row r="292" spans="3:8" x14ac:dyDescent="0.3">
      <c r="C292" s="461" t="s">
        <v>705</v>
      </c>
      <c r="D292" s="434">
        <f t="shared" si="27"/>
        <v>80.681884540255439</v>
      </c>
      <c r="E292" s="463" t="e">
        <f t="shared" si="31"/>
        <v>#REF!</v>
      </c>
      <c r="F292" s="465">
        <f t="shared" si="28"/>
        <v>0.11643425951806624</v>
      </c>
      <c r="G292" s="466" t="e">
        <f t="shared" si="29"/>
        <v>#REF!</v>
      </c>
      <c r="H292" s="291">
        <f t="shared" si="30"/>
        <v>0.24856202176381506</v>
      </c>
    </row>
    <row r="293" spans="3:8" x14ac:dyDescent="0.3">
      <c r="C293" s="461" t="s">
        <v>706</v>
      </c>
      <c r="D293" s="434">
        <f t="shared" si="27"/>
        <v>79.204265253649666</v>
      </c>
      <c r="E293" s="463" t="e">
        <f t="shared" si="31"/>
        <v>#REF!</v>
      </c>
      <c r="F293" s="465">
        <f t="shared" si="28"/>
        <v>0.12896130860159954</v>
      </c>
      <c r="G293" s="466" t="e">
        <f t="shared" si="29"/>
        <v>#REF!</v>
      </c>
      <c r="H293" s="291">
        <f t="shared" si="30"/>
        <v>0.28071438960682743</v>
      </c>
    </row>
    <row r="294" spans="3:8" x14ac:dyDescent="0.25">
      <c r="C294" s="467" t="s">
        <v>707</v>
      </c>
      <c r="D294" s="468">
        <f t="shared" si="27"/>
        <v>81.646441574567532</v>
      </c>
      <c r="E294" s="469" t="e">
        <f t="shared" si="31"/>
        <v>#REF!</v>
      </c>
      <c r="F294" s="470">
        <f t="shared" si="28"/>
        <v>9.1914692487679639E-2</v>
      </c>
      <c r="G294" s="471" t="e">
        <f t="shared" si="29"/>
        <v>#REF!</v>
      </c>
      <c r="H294" s="291">
        <f t="shared" si="30"/>
        <v>0.19430144466846608</v>
      </c>
    </row>
    <row r="295" spans="3:8" x14ac:dyDescent="0.25">
      <c r="C295" s="467" t="s">
        <v>708</v>
      </c>
      <c r="D295" s="468">
        <f t="shared" si="27"/>
        <v>80.579272089796689</v>
      </c>
      <c r="E295" s="469" t="e">
        <f t="shared" si="31"/>
        <v>#REF!</v>
      </c>
      <c r="F295" s="470">
        <f t="shared" si="28"/>
        <v>0.12335097248999732</v>
      </c>
      <c r="G295" s="471" t="e">
        <f t="shared" si="29"/>
        <v>#REF!</v>
      </c>
      <c r="H295" s="291">
        <f t="shared" si="30"/>
        <v>0.26591967987454512</v>
      </c>
    </row>
    <row r="296" spans="3:8" x14ac:dyDescent="0.25">
      <c r="C296" s="467" t="s">
        <v>709</v>
      </c>
      <c r="D296" s="468">
        <f t="shared" si="27"/>
        <v>80.948676911448146</v>
      </c>
      <c r="E296" s="469" t="e">
        <f t="shared" si="31"/>
        <v>#REF!</v>
      </c>
      <c r="F296" s="470">
        <f t="shared" si="28"/>
        <v>9.492951947856626E-2</v>
      </c>
      <c r="G296" s="471" t="e">
        <f t="shared" si="29"/>
        <v>#REF!</v>
      </c>
      <c r="H296" s="291">
        <f t="shared" si="30"/>
        <v>0.2003971672853094</v>
      </c>
    </row>
    <row r="297" spans="3:8" x14ac:dyDescent="0.25">
      <c r="C297" s="467" t="s">
        <v>710</v>
      </c>
      <c r="D297" s="468">
        <f t="shared" si="27"/>
        <v>80.20986726814526</v>
      </c>
      <c r="E297" s="469" t="e">
        <f t="shared" si="31"/>
        <v>#REF!</v>
      </c>
      <c r="F297" s="470">
        <f t="shared" si="28"/>
        <v>0.10035869701005568</v>
      </c>
      <c r="G297" s="471" t="e">
        <f t="shared" si="29"/>
        <v>#REF!</v>
      </c>
      <c r="H297" s="291">
        <f t="shared" si="30"/>
        <v>0.21176783772605448</v>
      </c>
    </row>
    <row r="298" spans="3:8" x14ac:dyDescent="0.25">
      <c r="C298" s="467" t="s">
        <v>711</v>
      </c>
      <c r="D298" s="468">
        <f t="shared" si="27"/>
        <v>78.896427902273459</v>
      </c>
      <c r="E298" s="469" t="e">
        <f t="shared" si="31"/>
        <v>#REF!</v>
      </c>
      <c r="F298" s="470">
        <f t="shared" si="28"/>
        <v>9.8007465277298811E-2</v>
      </c>
      <c r="G298" s="471" t="e">
        <f t="shared" si="29"/>
        <v>#REF!</v>
      </c>
      <c r="H298" s="291">
        <f t="shared" si="30"/>
        <v>0.20678059653141309</v>
      </c>
    </row>
    <row r="299" spans="3:8" x14ac:dyDescent="0.3">
      <c r="C299" s="472" t="s">
        <v>712</v>
      </c>
      <c r="D299" s="473">
        <f t="shared" si="27"/>
        <v>80.640839560071939</v>
      </c>
      <c r="E299" s="474" t="e">
        <f t="shared" si="31"/>
        <v>#REF!</v>
      </c>
      <c r="F299" s="475">
        <f t="shared" si="28"/>
        <v>9.9728051360778058E-2</v>
      </c>
      <c r="G299" s="476" t="e">
        <f t="shared" si="29"/>
        <v>#REF!</v>
      </c>
      <c r="H299" s="291">
        <f t="shared" si="30"/>
        <v>0.21042063433000244</v>
      </c>
    </row>
    <row r="300" spans="3:8" x14ac:dyDescent="0.3">
      <c r="C300" s="472" t="s">
        <v>713</v>
      </c>
      <c r="D300" s="473">
        <f t="shared" si="27"/>
        <v>80.846064460989396</v>
      </c>
      <c r="E300" s="474" t="e">
        <f t="shared" si="31"/>
        <v>#REF!</v>
      </c>
      <c r="F300" s="475">
        <f t="shared" si="28"/>
        <v>9.8007465277298811E-2</v>
      </c>
      <c r="G300" s="476" t="e">
        <f t="shared" si="29"/>
        <v>#REF!</v>
      </c>
      <c r="H300" s="291">
        <f t="shared" si="30"/>
        <v>0.20678059653141309</v>
      </c>
    </row>
    <row r="301" spans="3:8" x14ac:dyDescent="0.3">
      <c r="C301" s="472" t="s">
        <v>714</v>
      </c>
      <c r="D301" s="473">
        <f t="shared" si="27"/>
        <v>80.620317069980189</v>
      </c>
      <c r="E301" s="474" t="e">
        <f t="shared" si="31"/>
        <v>#REF!</v>
      </c>
      <c r="F301" s="475">
        <f t="shared" si="28"/>
        <v>9.9964230049661651E-2</v>
      </c>
      <c r="G301" s="476" t="e">
        <f t="shared" si="29"/>
        <v>#REF!</v>
      </c>
      <c r="H301" s="291">
        <f t="shared" si="30"/>
        <v>0.21092434444978977</v>
      </c>
    </row>
    <row r="302" spans="3:8" x14ac:dyDescent="0.3">
      <c r="C302" s="472" t="s">
        <v>715</v>
      </c>
      <c r="D302" s="473">
        <f t="shared" si="27"/>
        <v>80.025164857319538</v>
      </c>
      <c r="E302" s="474" t="e">
        <f t="shared" si="31"/>
        <v>#REF!</v>
      </c>
      <c r="F302" s="475">
        <f t="shared" si="28"/>
        <v>9.7231940134897055E-2</v>
      </c>
      <c r="G302" s="476" t="e">
        <f t="shared" si="29"/>
        <v>#REF!</v>
      </c>
      <c r="H302" s="291">
        <f t="shared" si="30"/>
        <v>0.20515679798640926</v>
      </c>
    </row>
    <row r="303" spans="3:8" x14ac:dyDescent="0.3">
      <c r="C303" s="472" t="s">
        <v>716</v>
      </c>
      <c r="D303" s="473">
        <f t="shared" si="27"/>
        <v>79.10165280319093</v>
      </c>
      <c r="E303" s="474" t="e">
        <f t="shared" si="31"/>
        <v>#REF!</v>
      </c>
      <c r="F303" s="475">
        <f t="shared" si="28"/>
        <v>0.10210687476671193</v>
      </c>
      <c r="G303" s="476" t="e">
        <f t="shared" si="29"/>
        <v>#REF!</v>
      </c>
      <c r="H303" s="291">
        <f t="shared" si="30"/>
        <v>0.21553918704004441</v>
      </c>
    </row>
    <row r="304" spans="3:8" x14ac:dyDescent="0.3">
      <c r="C304" s="477" t="s">
        <v>717</v>
      </c>
      <c r="D304" s="478">
        <f t="shared" si="27"/>
        <v>79.614715055484595</v>
      </c>
      <c r="E304" s="479" t="e">
        <f t="shared" si="31"/>
        <v>#REF!</v>
      </c>
      <c r="F304" s="480">
        <f t="shared" si="28"/>
        <v>0.10640423573757501</v>
      </c>
      <c r="G304" s="481" t="e">
        <f t="shared" si="29"/>
        <v>#REF!</v>
      </c>
      <c r="H304" s="291">
        <f t="shared" si="30"/>
        <v>0.22504334904911372</v>
      </c>
    </row>
    <row r="305" spans="2:9" x14ac:dyDescent="0.3">
      <c r="C305" s="477" t="s">
        <v>718</v>
      </c>
      <c r="D305" s="478">
        <f t="shared" si="27"/>
        <v>80.025164857319538</v>
      </c>
      <c r="E305" s="479" t="e">
        <f t="shared" si="31"/>
        <v>#REF!</v>
      </c>
      <c r="F305" s="480">
        <f t="shared" si="28"/>
        <v>0.10476810012350185</v>
      </c>
      <c r="G305" s="481" t="e">
        <f t="shared" si="29"/>
        <v>#REF!</v>
      </c>
      <c r="H305" s="291">
        <f t="shared" si="30"/>
        <v>0.22138533422670581</v>
      </c>
    </row>
    <row r="306" spans="2:9" x14ac:dyDescent="0.3">
      <c r="C306" s="477" t="s">
        <v>719</v>
      </c>
      <c r="D306" s="478">
        <f t="shared" si="27"/>
        <v>79.819939956402067</v>
      </c>
      <c r="E306" s="479" t="e">
        <f t="shared" si="31"/>
        <v>#REF!</v>
      </c>
      <c r="F306" s="480">
        <f t="shared" si="28"/>
        <v>0.10509390641588962</v>
      </c>
      <c r="G306" s="481" t="e">
        <f t="shared" si="29"/>
        <v>#REF!</v>
      </c>
      <c r="H306" s="291">
        <f t="shared" si="30"/>
        <v>0.22210986393951496</v>
      </c>
    </row>
    <row r="307" spans="2:9" x14ac:dyDescent="0.3">
      <c r="C307" s="477" t="s">
        <v>720</v>
      </c>
      <c r="D307" s="478">
        <f t="shared" si="27"/>
        <v>79.614715055484595</v>
      </c>
      <c r="E307" s="479" t="e">
        <f t="shared" si="31"/>
        <v>#REF!</v>
      </c>
      <c r="F307" s="480">
        <f t="shared" si="28"/>
        <v>0.10764310320683473</v>
      </c>
      <c r="G307" s="481" t="e">
        <f t="shared" si="29"/>
        <v>#REF!</v>
      </c>
      <c r="H307" s="291">
        <f t="shared" si="30"/>
        <v>0.22784585048056147</v>
      </c>
    </row>
    <row r="310" spans="2:9" x14ac:dyDescent="0.25">
      <c r="B310" s="420" t="s">
        <v>819</v>
      </c>
      <c r="C310" s="284"/>
      <c r="D310" s="284"/>
      <c r="E310" s="284"/>
      <c r="F310" s="284"/>
      <c r="G310" s="284"/>
      <c r="H310" s="284"/>
      <c r="I310" s="259"/>
    </row>
    <row r="311" spans="2:9" x14ac:dyDescent="0.25">
      <c r="B311" s="284" t="s">
        <v>519</v>
      </c>
      <c r="C311" s="284"/>
      <c r="D311" s="284"/>
      <c r="E311" s="284"/>
      <c r="F311" s="284"/>
      <c r="G311" s="284"/>
      <c r="H311" s="284"/>
      <c r="I311" s="259"/>
    </row>
    <row r="312" spans="2:9" x14ac:dyDescent="0.25">
      <c r="B312" s="284" t="s">
        <v>520</v>
      </c>
      <c r="C312" s="284"/>
      <c r="D312" s="284"/>
      <c r="E312" s="284"/>
      <c r="F312" s="284"/>
      <c r="G312" s="284"/>
      <c r="H312" s="284"/>
      <c r="I312" s="259"/>
    </row>
    <row r="313" spans="2:9" x14ac:dyDescent="0.25">
      <c r="B313" s="417" t="s">
        <v>174</v>
      </c>
      <c r="C313" s="420" t="s">
        <v>820</v>
      </c>
      <c r="D313" s="387"/>
      <c r="E313" s="284"/>
      <c r="F313" s="284"/>
      <c r="G313" s="284"/>
      <c r="H313" s="284"/>
      <c r="I313" s="259"/>
    </row>
    <row r="314" spans="2:9" ht="14.4" x14ac:dyDescent="0.35">
      <c r="B314" s="390"/>
      <c r="C314" s="390" t="s">
        <v>258</v>
      </c>
      <c r="D314" s="284" t="s">
        <v>821</v>
      </c>
      <c r="E314" s="284"/>
      <c r="F314" s="284"/>
      <c r="G314" s="284"/>
      <c r="H314" s="284"/>
      <c r="I314" s="259"/>
    </row>
    <row r="315" spans="2:9" x14ac:dyDescent="0.25">
      <c r="B315" s="284"/>
      <c r="C315" s="390" t="s">
        <v>10</v>
      </c>
      <c r="D315" s="422" t="e">
        <f>D318*D319</f>
        <v>#REF!</v>
      </c>
      <c r="E315" s="284" t="s">
        <v>260</v>
      </c>
    </row>
    <row r="316" spans="2:9" x14ac:dyDescent="0.25">
      <c r="B316" s="284"/>
      <c r="C316" s="390" t="s">
        <v>10</v>
      </c>
      <c r="D316" s="482" t="e">
        <f>D315*J6</f>
        <v>#REF!</v>
      </c>
      <c r="E316" s="483" t="s">
        <v>262</v>
      </c>
      <c r="F316" s="387"/>
      <c r="G316" s="419"/>
    </row>
    <row r="317" spans="2:9" x14ac:dyDescent="0.25">
      <c r="B317" s="284"/>
      <c r="C317" s="284" t="s">
        <v>107</v>
      </c>
      <c r="E317" s="387"/>
      <c r="H317" s="284"/>
      <c r="I317" s="259"/>
    </row>
    <row r="318" spans="2:9" ht="14.4" x14ac:dyDescent="0.35">
      <c r="B318" s="284"/>
      <c r="C318" s="390" t="s">
        <v>822</v>
      </c>
      <c r="D318" s="269" t="e">
        <f>HARVARLD!G178</f>
        <v>#REF!</v>
      </c>
      <c r="E318" s="284" t="s">
        <v>251</v>
      </c>
      <c r="H318" s="284"/>
      <c r="I318" s="259"/>
    </row>
    <row r="319" spans="2:9" x14ac:dyDescent="0.25">
      <c r="B319" s="284"/>
      <c r="C319" s="390" t="s">
        <v>823</v>
      </c>
      <c r="D319" s="419">
        <f>J8</f>
        <v>8.2311040000000002</v>
      </c>
      <c r="E319" s="259" t="s">
        <v>129</v>
      </c>
      <c r="F319" s="387"/>
      <c r="G319" s="419"/>
      <c r="H319" s="284"/>
      <c r="I319" s="259"/>
    </row>
    <row r="320" spans="2:9" x14ac:dyDescent="0.25">
      <c r="B320" s="284"/>
      <c r="C320" s="390"/>
      <c r="D320" s="284"/>
      <c r="E320" s="390"/>
      <c r="F320" s="387"/>
      <c r="G320" s="419"/>
      <c r="H320" s="284"/>
      <c r="I320" s="259"/>
    </row>
    <row r="321" spans="2:9" x14ac:dyDescent="0.25">
      <c r="B321" s="284"/>
      <c r="F321" s="387"/>
      <c r="G321" s="284"/>
      <c r="H321" s="387"/>
      <c r="I321" s="259"/>
    </row>
    <row r="322" spans="2:9" x14ac:dyDescent="0.25">
      <c r="B322" s="284"/>
      <c r="F322" s="284"/>
      <c r="G322" s="284"/>
      <c r="H322" s="284"/>
      <c r="I322" s="259"/>
    </row>
    <row r="323" spans="2:9" x14ac:dyDescent="0.25">
      <c r="B323" s="284"/>
      <c r="F323" s="484"/>
      <c r="G323" s="284"/>
      <c r="H323" s="284"/>
      <c r="I323" s="259"/>
    </row>
    <row r="324" spans="2:9" x14ac:dyDescent="0.25">
      <c r="B324" s="417">
        <v>2</v>
      </c>
      <c r="C324" s="420" t="s">
        <v>524</v>
      </c>
      <c r="D324" s="306"/>
      <c r="E324" s="306"/>
      <c r="F324" s="306"/>
      <c r="G324" s="306"/>
      <c r="H324" s="306"/>
      <c r="I324" s="259"/>
    </row>
    <row r="325" spans="2:9" x14ac:dyDescent="0.25">
      <c r="C325" s="390" t="s">
        <v>824</v>
      </c>
      <c r="D325" s="284" t="s">
        <v>532</v>
      </c>
      <c r="E325" s="284"/>
      <c r="F325" s="284"/>
      <c r="G325" s="284"/>
      <c r="H325" s="259"/>
      <c r="I325" s="259"/>
    </row>
    <row r="326" spans="2:9" x14ac:dyDescent="0.25">
      <c r="C326" s="390" t="s">
        <v>10</v>
      </c>
      <c r="D326" s="284" t="s">
        <v>533</v>
      </c>
      <c r="E326" s="284"/>
      <c r="F326" s="485"/>
      <c r="G326" s="486"/>
      <c r="H326" s="259"/>
      <c r="I326" s="259"/>
    </row>
    <row r="327" spans="2:9" x14ac:dyDescent="0.25">
      <c r="C327" s="390" t="s">
        <v>10</v>
      </c>
      <c r="D327" s="487" t="s">
        <v>825</v>
      </c>
      <c r="E327" s="488"/>
      <c r="F327" s="489"/>
      <c r="G327" s="490"/>
      <c r="H327" s="490"/>
      <c r="I327" s="259"/>
    </row>
    <row r="328" spans="2:9" x14ac:dyDescent="0.25">
      <c r="C328" s="390" t="s">
        <v>10</v>
      </c>
      <c r="D328" s="279">
        <v>1.05</v>
      </c>
      <c r="E328" s="491"/>
      <c r="F328" s="284"/>
      <c r="G328" s="284"/>
      <c r="H328" s="492"/>
      <c r="I328" s="259"/>
    </row>
    <row r="329" spans="2:9" x14ac:dyDescent="0.25">
      <c r="C329" s="390"/>
      <c r="D329" s="279"/>
      <c r="E329" s="284"/>
      <c r="F329" s="284"/>
      <c r="G329" s="284"/>
      <c r="H329" s="259"/>
      <c r="I329" s="259"/>
    </row>
    <row r="330" spans="2:9" x14ac:dyDescent="0.25">
      <c r="C330" s="390" t="s">
        <v>826</v>
      </c>
      <c r="D330" s="284" t="s">
        <v>536</v>
      </c>
      <c r="E330" s="387"/>
      <c r="F330" s="284"/>
      <c r="G330" s="284"/>
      <c r="H330" s="259"/>
      <c r="I330" s="259"/>
    </row>
    <row r="331" spans="2:9" x14ac:dyDescent="0.25">
      <c r="C331" s="390" t="s">
        <v>10</v>
      </c>
      <c r="D331" s="454">
        <f>D276</f>
        <v>0.59299999999999997</v>
      </c>
      <c r="E331" s="284"/>
      <c r="F331" s="284"/>
      <c r="G331" s="284"/>
      <c r="H331" s="259"/>
      <c r="I331" s="259"/>
    </row>
    <row r="332" spans="2:9" x14ac:dyDescent="0.25">
      <c r="C332" s="390"/>
      <c r="D332" s="454"/>
      <c r="E332" s="284"/>
      <c r="F332" s="284"/>
      <c r="G332" s="284"/>
      <c r="H332" s="259"/>
      <c r="I332" s="259"/>
    </row>
    <row r="333" spans="2:9" x14ac:dyDescent="0.25">
      <c r="C333" s="390" t="s">
        <v>827</v>
      </c>
      <c r="D333" s="284" t="s">
        <v>539</v>
      </c>
      <c r="E333" s="493"/>
      <c r="F333" s="284"/>
      <c r="G333" s="284"/>
      <c r="H333" s="259"/>
      <c r="I333" s="259"/>
    </row>
    <row r="334" spans="2:9" x14ac:dyDescent="0.25">
      <c r="B334" s="284"/>
      <c r="C334" s="390" t="s">
        <v>10</v>
      </c>
      <c r="D334" s="284" t="s">
        <v>540</v>
      </c>
      <c r="E334" s="284"/>
      <c r="F334" s="284"/>
      <c r="G334" s="284"/>
      <c r="H334" s="259"/>
      <c r="I334" s="259"/>
    </row>
    <row r="335" spans="2:9" x14ac:dyDescent="0.25">
      <c r="B335" s="284"/>
      <c r="C335" s="390" t="s">
        <v>10</v>
      </c>
      <c r="D335" s="494">
        <f>HARVARLD!F201</f>
        <v>1.1225352112676057</v>
      </c>
      <c r="E335" s="284"/>
      <c r="F335" s="284"/>
      <c r="G335" s="284"/>
      <c r="H335" s="259"/>
      <c r="I335" s="259"/>
    </row>
    <row r="336" spans="2:9" x14ac:dyDescent="0.25">
      <c r="B336" s="495"/>
      <c r="C336" s="421"/>
      <c r="D336" s="421"/>
      <c r="E336" s="421"/>
      <c r="F336" s="421"/>
      <c r="G336" s="421"/>
      <c r="H336" s="454"/>
      <c r="I336" s="259"/>
    </row>
    <row r="337" spans="2:9" x14ac:dyDescent="0.25">
      <c r="B337" s="495"/>
      <c r="C337" s="421" t="s">
        <v>828</v>
      </c>
      <c r="D337" s="421"/>
      <c r="E337" s="421"/>
      <c r="G337" s="421"/>
      <c r="H337" s="454"/>
      <c r="I337" s="259"/>
    </row>
    <row r="338" spans="2:9" x14ac:dyDescent="0.25">
      <c r="B338" s="495"/>
      <c r="C338" s="390" t="s">
        <v>297</v>
      </c>
      <c r="D338" s="421" t="s">
        <v>298</v>
      </c>
      <c r="E338" s="421"/>
      <c r="G338" s="421"/>
      <c r="H338" s="454"/>
      <c r="I338" s="259"/>
    </row>
    <row r="339" spans="2:9" x14ac:dyDescent="0.25">
      <c r="B339" s="495"/>
      <c r="C339" s="390" t="s">
        <v>10</v>
      </c>
      <c r="D339" s="454">
        <f>D328*D331*D335</f>
        <v>0.69894654929577471</v>
      </c>
      <c r="E339" s="421"/>
      <c r="G339" s="421"/>
      <c r="H339" s="454"/>
      <c r="I339" s="259"/>
    </row>
    <row r="340" spans="2:9" x14ac:dyDescent="0.25">
      <c r="B340" s="495"/>
      <c r="C340" s="390"/>
      <c r="E340" s="421"/>
      <c r="G340" s="421"/>
      <c r="H340" s="454"/>
      <c r="I340" s="259"/>
    </row>
    <row r="341" spans="2:9" x14ac:dyDescent="0.25">
      <c r="B341" s="495"/>
      <c r="C341" s="421"/>
      <c r="D341" s="421"/>
      <c r="E341" s="421"/>
      <c r="F341" s="421"/>
      <c r="G341" s="421"/>
      <c r="H341" s="454"/>
      <c r="I341" s="259"/>
    </row>
    <row r="342" spans="2:9" x14ac:dyDescent="0.25">
      <c r="B342" s="495"/>
      <c r="C342" s="421" t="s">
        <v>829</v>
      </c>
      <c r="E342" s="421"/>
      <c r="I342" s="259"/>
    </row>
    <row r="343" spans="2:9" x14ac:dyDescent="0.25">
      <c r="B343" s="495"/>
      <c r="C343" s="390" t="s">
        <v>300</v>
      </c>
      <c r="D343" s="421" t="s">
        <v>830</v>
      </c>
      <c r="E343" s="454"/>
      <c r="I343" s="259"/>
    </row>
    <row r="344" spans="2:9" x14ac:dyDescent="0.25">
      <c r="B344" s="495"/>
      <c r="C344" s="390" t="s">
        <v>10</v>
      </c>
      <c r="D344" s="422" t="e">
        <f>D315/D339</f>
        <v>#REF!</v>
      </c>
      <c r="E344" s="454" t="s">
        <v>260</v>
      </c>
      <c r="I344" s="259"/>
    </row>
    <row r="345" spans="2:9" x14ac:dyDescent="0.25">
      <c r="B345" s="495"/>
      <c r="C345" s="390" t="s">
        <v>10</v>
      </c>
      <c r="D345" s="422" t="e">
        <f>D344*1.34</f>
        <v>#REF!</v>
      </c>
      <c r="E345" s="454" t="s">
        <v>262</v>
      </c>
      <c r="I345" s="259"/>
    </row>
    <row r="346" spans="2:9" x14ac:dyDescent="0.25">
      <c r="B346" s="495"/>
      <c r="F346" s="390"/>
      <c r="G346" s="422"/>
      <c r="H346" s="454"/>
      <c r="I346" s="259"/>
    </row>
    <row r="347" spans="2:9" x14ac:dyDescent="0.25">
      <c r="B347" s="417">
        <v>3</v>
      </c>
      <c r="C347" s="495" t="s">
        <v>578</v>
      </c>
      <c r="D347" s="421"/>
      <c r="E347" s="421"/>
      <c r="F347" s="421"/>
      <c r="G347" s="421"/>
      <c r="H347" s="454"/>
      <c r="I347" s="259"/>
    </row>
    <row r="348" spans="2:9" x14ac:dyDescent="0.25">
      <c r="B348" s="417"/>
      <c r="C348" s="421" t="s">
        <v>831</v>
      </c>
      <c r="D348" s="421"/>
      <c r="E348" s="421"/>
      <c r="F348" s="421"/>
      <c r="G348" s="421"/>
      <c r="H348" s="454"/>
      <c r="I348" s="259"/>
    </row>
    <row r="349" spans="2:9" x14ac:dyDescent="0.25">
      <c r="B349" s="417"/>
      <c r="C349" s="390" t="s">
        <v>579</v>
      </c>
      <c r="D349" s="421" t="s">
        <v>832</v>
      </c>
      <c r="E349" s="421"/>
      <c r="F349" s="421"/>
      <c r="G349" s="421"/>
      <c r="H349" s="454"/>
      <c r="I349" s="259"/>
    </row>
    <row r="350" spans="2:9" x14ac:dyDescent="0.25">
      <c r="B350" s="417"/>
      <c r="C350" s="390" t="s">
        <v>10</v>
      </c>
      <c r="D350" s="422" t="e">
        <f>D316/D335</f>
        <v>#REF!</v>
      </c>
      <c r="E350" s="421" t="s">
        <v>260</v>
      </c>
      <c r="F350" s="421"/>
      <c r="G350" s="421"/>
      <c r="H350" s="454"/>
      <c r="I350" s="259"/>
    </row>
    <row r="351" spans="2:9" x14ac:dyDescent="0.25">
      <c r="B351" s="417"/>
      <c r="C351" s="390" t="s">
        <v>10</v>
      </c>
      <c r="D351" s="422" t="e">
        <f>D350*J6</f>
        <v>#REF!</v>
      </c>
      <c r="E351" s="421" t="s">
        <v>262</v>
      </c>
      <c r="F351" s="421"/>
      <c r="G351" s="421"/>
      <c r="H351" s="454"/>
      <c r="I351" s="259"/>
    </row>
    <row r="352" spans="2:9" x14ac:dyDescent="0.25">
      <c r="B352" s="417"/>
      <c r="F352" s="421"/>
      <c r="G352" s="421"/>
      <c r="H352" s="454"/>
      <c r="I352" s="259"/>
    </row>
    <row r="353" spans="2:9" x14ac:dyDescent="0.25">
      <c r="B353" s="417"/>
      <c r="C353" s="390"/>
      <c r="D353" s="421"/>
      <c r="E353" s="421"/>
      <c r="F353" s="421"/>
      <c r="G353" s="421"/>
      <c r="H353" s="454"/>
      <c r="I353" s="259"/>
    </row>
    <row r="354" spans="2:9" x14ac:dyDescent="0.25">
      <c r="B354" s="417">
        <v>4</v>
      </c>
      <c r="C354" s="495" t="s">
        <v>833</v>
      </c>
      <c r="D354" s="421"/>
      <c r="E354" s="421"/>
      <c r="F354" s="421"/>
      <c r="G354" s="421"/>
      <c r="H354" s="454"/>
      <c r="I354" s="259"/>
    </row>
    <row r="355" spans="2:9" x14ac:dyDescent="0.25">
      <c r="B355" s="495"/>
      <c r="C355" s="259" t="s">
        <v>582</v>
      </c>
      <c r="D355" s="259"/>
      <c r="E355" s="259"/>
      <c r="F355" s="259"/>
      <c r="G355" s="259"/>
      <c r="H355" s="259"/>
      <c r="I355" s="259"/>
    </row>
    <row r="356" spans="2:9" x14ac:dyDescent="0.25">
      <c r="B356" s="495"/>
      <c r="C356" s="259" t="s">
        <v>583</v>
      </c>
      <c r="D356" s="259"/>
      <c r="E356" s="259"/>
      <c r="F356" s="259"/>
      <c r="G356" s="259"/>
      <c r="H356" s="259"/>
      <c r="I356" s="259"/>
    </row>
    <row r="357" spans="2:9" x14ac:dyDescent="0.25">
      <c r="B357" s="417"/>
      <c r="C357" s="390" t="s">
        <v>305</v>
      </c>
      <c r="D357" s="421" t="s">
        <v>584</v>
      </c>
      <c r="E357" s="421"/>
      <c r="F357" s="421"/>
      <c r="G357" s="421"/>
      <c r="H357" s="284"/>
      <c r="I357" s="259"/>
    </row>
    <row r="358" spans="2:9" x14ac:dyDescent="0.25">
      <c r="B358" s="417"/>
      <c r="C358" s="390"/>
      <c r="D358" s="421" t="s">
        <v>834</v>
      </c>
      <c r="E358" s="421"/>
      <c r="F358" s="421"/>
      <c r="G358" s="421"/>
      <c r="H358" s="421"/>
      <c r="I358" s="259"/>
    </row>
    <row r="359" spans="2:9" x14ac:dyDescent="0.25">
      <c r="B359" s="417"/>
      <c r="C359" s="390" t="s">
        <v>10</v>
      </c>
      <c r="D359" s="422" t="e">
        <f>D344/0.98</f>
        <v>#REF!</v>
      </c>
      <c r="E359" s="284" t="s">
        <v>260</v>
      </c>
      <c r="F359" s="484"/>
      <c r="G359" s="484"/>
      <c r="H359" s="421"/>
      <c r="I359" s="259"/>
    </row>
    <row r="360" spans="2:9" x14ac:dyDescent="0.25">
      <c r="B360" s="417"/>
      <c r="C360" s="390" t="s">
        <v>10</v>
      </c>
      <c r="D360" s="422" t="e">
        <f>D359*J6</f>
        <v>#REF!</v>
      </c>
      <c r="E360" s="284" t="s">
        <v>262</v>
      </c>
      <c r="F360" s="387"/>
      <c r="G360" s="387"/>
      <c r="H360" s="424"/>
      <c r="I360" s="259"/>
    </row>
    <row r="361" spans="2:9" x14ac:dyDescent="0.25">
      <c r="B361" s="417"/>
      <c r="C361" s="390"/>
      <c r="D361" s="387"/>
      <c r="E361" s="284"/>
      <c r="F361" s="387"/>
      <c r="G361" s="387"/>
      <c r="H361" s="424"/>
      <c r="I361" s="259"/>
    </row>
    <row r="362" spans="2:9" x14ac:dyDescent="0.25">
      <c r="B362" s="417">
        <v>5</v>
      </c>
      <c r="C362" s="420" t="s">
        <v>307</v>
      </c>
      <c r="D362" s="387"/>
      <c r="E362" s="390"/>
      <c r="F362" s="387"/>
      <c r="G362" s="284"/>
      <c r="H362" s="284"/>
      <c r="I362" s="259"/>
    </row>
    <row r="363" spans="2:9" x14ac:dyDescent="0.25">
      <c r="B363" s="417"/>
      <c r="C363" s="259" t="s">
        <v>587</v>
      </c>
      <c r="D363" s="259"/>
      <c r="E363" s="259"/>
      <c r="F363" s="259"/>
      <c r="G363" s="259"/>
      <c r="H363" s="259"/>
      <c r="I363" s="259"/>
    </row>
    <row r="364" spans="2:9" x14ac:dyDescent="0.25">
      <c r="B364" s="417"/>
      <c r="C364" s="259" t="s">
        <v>588</v>
      </c>
      <c r="D364" s="259"/>
      <c r="E364" s="259"/>
      <c r="F364" s="259"/>
      <c r="G364" s="259"/>
      <c r="H364" s="259"/>
      <c r="I364" s="259"/>
    </row>
    <row r="365" spans="2:9" x14ac:dyDescent="0.25">
      <c r="B365" s="417"/>
      <c r="C365" s="259" t="s">
        <v>589</v>
      </c>
      <c r="D365" s="259"/>
      <c r="E365" s="259"/>
      <c r="F365" s="259"/>
      <c r="G365" s="259"/>
      <c r="H365" s="259"/>
      <c r="I365" s="259"/>
    </row>
    <row r="366" spans="2:9" x14ac:dyDescent="0.25">
      <c r="B366" s="417"/>
      <c r="C366" s="259" t="s">
        <v>590</v>
      </c>
      <c r="D366" s="259"/>
      <c r="E366" s="259"/>
      <c r="F366" s="259"/>
      <c r="G366" s="259"/>
      <c r="H366" s="259"/>
      <c r="I366" s="259"/>
    </row>
    <row r="367" spans="2:9" x14ac:dyDescent="0.25">
      <c r="B367" s="417"/>
      <c r="C367" s="259" t="s">
        <v>591</v>
      </c>
      <c r="D367" s="259"/>
      <c r="E367" s="259"/>
      <c r="F367" s="259"/>
      <c r="G367" s="259"/>
      <c r="H367" s="259"/>
      <c r="I367" s="259"/>
    </row>
    <row r="368" spans="2:9" x14ac:dyDescent="0.25">
      <c r="B368" s="417"/>
      <c r="C368" s="259" t="s">
        <v>592</v>
      </c>
      <c r="D368" s="259"/>
      <c r="E368" s="259"/>
      <c r="F368" s="259"/>
      <c r="G368" s="259"/>
      <c r="H368" s="259"/>
      <c r="I368" s="259"/>
    </row>
    <row r="369" spans="2:9" x14ac:dyDescent="0.25">
      <c r="B369" s="417"/>
      <c r="C369" s="259"/>
      <c r="D369" s="259"/>
      <c r="E369" s="259"/>
      <c r="F369" s="259"/>
      <c r="G369" s="259"/>
      <c r="H369" s="259"/>
      <c r="I369" s="259"/>
    </row>
    <row r="370" spans="2:9" x14ac:dyDescent="0.25">
      <c r="B370" s="417"/>
      <c r="C370" s="259" t="s">
        <v>835</v>
      </c>
      <c r="D370" s="259"/>
      <c r="E370" s="259"/>
      <c r="F370" s="259"/>
      <c r="G370" s="259"/>
      <c r="H370" s="259"/>
      <c r="I370" s="259"/>
    </row>
    <row r="371" spans="2:9" x14ac:dyDescent="0.25">
      <c r="B371" s="417"/>
      <c r="C371" s="259"/>
      <c r="D371" s="259"/>
      <c r="E371" s="259"/>
      <c r="F371" s="259"/>
      <c r="G371" s="259"/>
      <c r="H371" s="259"/>
      <c r="I371" s="259"/>
    </row>
    <row r="372" spans="2:9" ht="14.4" x14ac:dyDescent="0.35">
      <c r="B372" s="417"/>
      <c r="C372" s="390" t="s">
        <v>836</v>
      </c>
      <c r="D372" s="421" t="s">
        <v>313</v>
      </c>
      <c r="E372" s="259"/>
      <c r="F372" s="259"/>
      <c r="G372" s="259"/>
      <c r="H372" s="259"/>
      <c r="I372" s="259"/>
    </row>
    <row r="373" spans="2:9" x14ac:dyDescent="0.25">
      <c r="B373" s="417"/>
      <c r="C373" s="390" t="s">
        <v>10</v>
      </c>
      <c r="D373" s="422" t="e">
        <f>D359/0.98</f>
        <v>#REF!</v>
      </c>
      <c r="E373" s="284" t="s">
        <v>260</v>
      </c>
      <c r="F373" s="259"/>
      <c r="G373" s="259"/>
      <c r="H373" s="259"/>
      <c r="I373" s="259"/>
    </row>
    <row r="374" spans="2:9" x14ac:dyDescent="0.25">
      <c r="B374" s="417"/>
      <c r="C374" s="390" t="s">
        <v>10</v>
      </c>
      <c r="D374" s="422" t="e">
        <f>D373*J6</f>
        <v>#REF!</v>
      </c>
      <c r="E374" s="284" t="s">
        <v>262</v>
      </c>
      <c r="F374" s="259"/>
      <c r="G374" s="259"/>
      <c r="H374" s="259"/>
      <c r="I374" s="259"/>
    </row>
    <row r="375" spans="2:9" x14ac:dyDescent="0.25">
      <c r="B375" s="417"/>
      <c r="F375" s="259"/>
      <c r="G375" s="259"/>
      <c r="H375" s="259"/>
      <c r="I375" s="259"/>
    </row>
    <row r="376" spans="2:9" x14ac:dyDescent="0.25">
      <c r="B376" s="417"/>
      <c r="C376" s="284"/>
      <c r="D376" s="284"/>
      <c r="E376" s="284"/>
      <c r="F376" s="284"/>
      <c r="G376" s="284"/>
      <c r="H376" s="284"/>
      <c r="I376" s="259"/>
    </row>
    <row r="377" spans="2:9" x14ac:dyDescent="0.25">
      <c r="B377" s="417"/>
      <c r="C377" s="259" t="s">
        <v>317</v>
      </c>
      <c r="D377" s="259"/>
      <c r="E377" s="259"/>
      <c r="F377" s="259"/>
      <c r="G377" s="259"/>
      <c r="H377" s="259"/>
      <c r="I377" s="259"/>
    </row>
    <row r="378" spans="2:9" x14ac:dyDescent="0.25">
      <c r="B378" s="417"/>
      <c r="C378" s="259" t="s">
        <v>837</v>
      </c>
      <c r="D378" s="259"/>
      <c r="E378" s="259"/>
      <c r="F378" s="259"/>
      <c r="G378" s="259"/>
      <c r="H378" s="259"/>
      <c r="I378" s="259"/>
    </row>
    <row r="379" spans="2:9" x14ac:dyDescent="0.25">
      <c r="B379" s="417"/>
      <c r="C379" s="259" t="s">
        <v>838</v>
      </c>
      <c r="D379" s="259"/>
      <c r="E379" s="259"/>
      <c r="F379" s="259"/>
      <c r="G379" s="259"/>
      <c r="H379" s="259"/>
      <c r="I379" s="259"/>
    </row>
    <row r="380" spans="2:9" ht="14.4" x14ac:dyDescent="0.35">
      <c r="B380" s="417"/>
      <c r="C380" s="390" t="s">
        <v>839</v>
      </c>
      <c r="D380" s="284" t="s">
        <v>840</v>
      </c>
      <c r="E380" s="284"/>
      <c r="F380" s="284"/>
      <c r="G380" s="284"/>
      <c r="H380" s="284"/>
      <c r="I380" s="259"/>
    </row>
    <row r="381" spans="2:9" x14ac:dyDescent="0.25">
      <c r="B381" s="417"/>
      <c r="C381" s="390" t="s">
        <v>10</v>
      </c>
      <c r="D381" s="422" t="e">
        <f>D373/0.9</f>
        <v>#REF!</v>
      </c>
      <c r="E381" s="284" t="s">
        <v>260</v>
      </c>
      <c r="F381" s="284"/>
      <c r="G381" s="284"/>
      <c r="H381" s="390"/>
      <c r="I381" s="259"/>
    </row>
    <row r="382" spans="2:9" x14ac:dyDescent="0.25">
      <c r="B382" s="417"/>
      <c r="C382" s="390" t="s">
        <v>10</v>
      </c>
      <c r="D382" s="422" t="e">
        <f>D381*J6</f>
        <v>#REF!</v>
      </c>
      <c r="E382" s="284" t="s">
        <v>262</v>
      </c>
      <c r="F382" s="284"/>
      <c r="G382" s="284"/>
      <c r="H382" s="390"/>
      <c r="I382" s="259"/>
    </row>
    <row r="383" spans="2:9" x14ac:dyDescent="0.25">
      <c r="B383" s="417"/>
      <c r="F383" s="284"/>
      <c r="G383" s="284"/>
      <c r="H383" s="284"/>
      <c r="I383" s="259"/>
    </row>
    <row r="384" spans="2:9" x14ac:dyDescent="0.25">
      <c r="B384" s="306"/>
      <c r="C384" s="306"/>
      <c r="D384" s="306"/>
      <c r="E384" s="306"/>
      <c r="F384" s="306"/>
      <c r="G384" s="306"/>
      <c r="H384" s="306"/>
      <c r="I384" s="259"/>
    </row>
    <row r="385" spans="2:9" x14ac:dyDescent="0.25">
      <c r="B385" s="306"/>
      <c r="C385" s="306" t="s">
        <v>841</v>
      </c>
      <c r="D385" s="306"/>
      <c r="E385" s="306"/>
      <c r="F385" s="306"/>
      <c r="G385" s="306"/>
      <c r="H385" s="306"/>
      <c r="I385" s="259"/>
    </row>
    <row r="386" spans="2:9" x14ac:dyDescent="0.25">
      <c r="B386" s="306"/>
      <c r="C386" s="306" t="s">
        <v>842</v>
      </c>
      <c r="D386" s="306"/>
      <c r="E386" s="306"/>
      <c r="F386" s="306"/>
      <c r="G386" s="306"/>
      <c r="H386" s="306"/>
      <c r="I386" s="259"/>
    </row>
    <row r="387" spans="2:9" x14ac:dyDescent="0.25">
      <c r="B387" s="259"/>
      <c r="C387" s="259"/>
      <c r="D387" s="259"/>
      <c r="E387" s="259"/>
      <c r="F387" s="259"/>
      <c r="G387" s="259"/>
      <c r="H387" s="259"/>
      <c r="I387" s="259"/>
    </row>
    <row r="388" spans="2:9" x14ac:dyDescent="0.25">
      <c r="B388" s="259"/>
      <c r="C388" s="259"/>
      <c r="D388" s="259"/>
      <c r="E388" s="259"/>
      <c r="F388" s="259"/>
      <c r="G388" s="259"/>
      <c r="H388" s="259"/>
      <c r="I388" s="259"/>
    </row>
  </sheetData>
  <mergeCells count="43">
    <mergeCell ref="F176:F177"/>
    <mergeCell ref="G176:G177"/>
    <mergeCell ref="H176:H177"/>
    <mergeCell ref="C144:C145"/>
    <mergeCell ref="C151:C152"/>
    <mergeCell ref="C176:C177"/>
    <mergeCell ref="D176:D177"/>
    <mergeCell ref="E176:E177"/>
    <mergeCell ref="C44:D44"/>
    <mergeCell ref="B46:C46"/>
    <mergeCell ref="B47:C47"/>
    <mergeCell ref="B48:C48"/>
    <mergeCell ref="B49:C49"/>
    <mergeCell ref="B39:C39"/>
    <mergeCell ref="B40:C40"/>
    <mergeCell ref="B41:C41"/>
    <mergeCell ref="B42:C42"/>
    <mergeCell ref="B43:C43"/>
    <mergeCell ref="B30:C30"/>
    <mergeCell ref="B31:C31"/>
    <mergeCell ref="B32:C32"/>
    <mergeCell ref="B33:C33"/>
    <mergeCell ref="B38:C38"/>
    <mergeCell ref="B23:C23"/>
    <mergeCell ref="B24:C24"/>
    <mergeCell ref="B25:C25"/>
    <mergeCell ref="B28:C28"/>
    <mergeCell ref="B29:C29"/>
    <mergeCell ref="B12:D12"/>
    <mergeCell ref="B18:C18"/>
    <mergeCell ref="B19:C19"/>
    <mergeCell ref="B20:C20"/>
    <mergeCell ref="B21:C21"/>
    <mergeCell ref="B6:D6"/>
    <mergeCell ref="B7:D7"/>
    <mergeCell ref="B8:D8"/>
    <mergeCell ref="B9:D9"/>
    <mergeCell ref="B11:D11"/>
    <mergeCell ref="B2:G2"/>
    <mergeCell ref="I2:L2"/>
    <mergeCell ref="B4:D4"/>
    <mergeCell ref="E4:F4"/>
    <mergeCell ref="B5:D5"/>
  </mergeCells>
  <pageMargins left="0.25" right="0.25" top="0.75" bottom="0.75" header="0.511811023622047" footer="0.511811023622047"/>
  <pageSetup fitToHeight="0"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M82"/>
  <sheetViews>
    <sheetView zoomScale="70" zoomScaleNormal="70" workbookViewId="0">
      <selection activeCell="M5" sqref="M5"/>
    </sheetView>
  </sheetViews>
  <sheetFormatPr defaultColWidth="7.8984375" defaultRowHeight="15.6" x14ac:dyDescent="0.3"/>
  <cols>
    <col min="1" max="1" width="3.69921875" style="496" customWidth="1"/>
    <col min="2" max="2" width="20.5" style="496" customWidth="1"/>
    <col min="3" max="3" width="11.09765625" style="496" customWidth="1"/>
    <col min="4" max="7" width="7.8984375" style="496"/>
    <col min="8" max="8" width="9.765625E-2" style="496" customWidth="1"/>
    <col min="9" max="10" width="7.8984375" style="496"/>
    <col min="11" max="11" width="2.296875" style="496" customWidth="1"/>
    <col min="12" max="16384" width="7.8984375" style="496"/>
  </cols>
  <sheetData>
    <row r="2" spans="1:13" x14ac:dyDescent="0.3">
      <c r="A2" s="497"/>
      <c r="B2" s="498" t="s">
        <v>600</v>
      </c>
      <c r="C2" s="499"/>
      <c r="D2" s="499"/>
      <c r="E2" s="499"/>
      <c r="F2" s="499"/>
      <c r="G2" s="499"/>
      <c r="H2" s="500"/>
    </row>
    <row r="3" spans="1:13" x14ac:dyDescent="0.3">
      <c r="B3" s="501" t="s">
        <v>601</v>
      </c>
      <c r="C3" s="502" t="s">
        <v>602</v>
      </c>
      <c r="D3" s="497"/>
      <c r="E3" s="497" t="s">
        <v>263</v>
      </c>
      <c r="F3" s="497">
        <v>1.3596189999999999</v>
      </c>
      <c r="G3" s="497" t="s">
        <v>262</v>
      </c>
      <c r="H3" s="503"/>
      <c r="I3" s="497"/>
    </row>
    <row r="4" spans="1:13" x14ac:dyDescent="0.3">
      <c r="B4" s="501" t="s">
        <v>603</v>
      </c>
      <c r="C4" s="502" t="s">
        <v>604</v>
      </c>
      <c r="D4" s="497"/>
      <c r="E4" s="497" t="s">
        <v>605</v>
      </c>
      <c r="F4" s="497">
        <v>0.73550000000000004</v>
      </c>
      <c r="G4" s="497" t="s">
        <v>260</v>
      </c>
      <c r="H4" s="503"/>
      <c r="I4" s="497"/>
    </row>
    <row r="5" spans="1:13" x14ac:dyDescent="0.3">
      <c r="B5" s="501" t="s">
        <v>606</v>
      </c>
      <c r="C5" s="504" t="s">
        <v>607</v>
      </c>
      <c r="D5" s="497"/>
      <c r="E5" s="497"/>
      <c r="F5" s="497"/>
      <c r="G5" s="497"/>
      <c r="H5" s="503"/>
      <c r="I5" s="497"/>
    </row>
    <row r="6" spans="1:13" ht="15.75" customHeight="1" x14ac:dyDescent="0.3">
      <c r="B6" s="501" t="s">
        <v>608</v>
      </c>
      <c r="C6" s="504">
        <v>8400</v>
      </c>
      <c r="D6" s="497" t="s">
        <v>260</v>
      </c>
      <c r="E6" s="497"/>
      <c r="H6" s="505"/>
    </row>
    <row r="7" spans="1:13" x14ac:dyDescent="0.3">
      <c r="B7" s="501"/>
      <c r="C7" s="506">
        <f>C6/F4</f>
        <v>11420.802175390891</v>
      </c>
      <c r="D7" s="497" t="s">
        <v>262</v>
      </c>
      <c r="E7" s="497"/>
      <c r="F7" s="497"/>
      <c r="G7" s="497"/>
      <c r="H7" s="503"/>
      <c r="I7" s="497"/>
    </row>
    <row r="8" spans="1:13" x14ac:dyDescent="0.3">
      <c r="B8" s="501" t="s">
        <v>609</v>
      </c>
      <c r="C8" s="504">
        <v>7</v>
      </c>
      <c r="D8" s="497"/>
      <c r="E8" s="497"/>
      <c r="F8" s="497"/>
      <c r="G8" s="497"/>
      <c r="H8" s="503"/>
      <c r="I8" s="497"/>
    </row>
    <row r="9" spans="1:13" x14ac:dyDescent="0.3">
      <c r="B9" s="501" t="s">
        <v>610</v>
      </c>
      <c r="C9" s="504">
        <v>460</v>
      </c>
      <c r="D9" s="497" t="s">
        <v>28</v>
      </c>
      <c r="E9" s="497"/>
      <c r="F9" s="497"/>
      <c r="G9" s="497"/>
      <c r="H9" s="503"/>
      <c r="I9" s="497"/>
    </row>
    <row r="10" spans="1:13" ht="15.75" customHeight="1" x14ac:dyDescent="0.3">
      <c r="B10" s="501" t="s">
        <v>611</v>
      </c>
      <c r="C10" s="504">
        <v>580</v>
      </c>
      <c r="D10" s="497" t="s">
        <v>28</v>
      </c>
      <c r="E10" s="497"/>
      <c r="F10" s="497"/>
      <c r="G10" s="497"/>
      <c r="H10" s="503"/>
      <c r="I10" s="497"/>
    </row>
    <row r="11" spans="1:13" ht="15.75" customHeight="1" x14ac:dyDescent="0.3">
      <c r="B11" s="501" t="s">
        <v>612</v>
      </c>
      <c r="C11" s="504"/>
      <c r="D11" s="497"/>
      <c r="E11" s="497"/>
      <c r="F11" s="497"/>
      <c r="G11" s="497"/>
      <c r="H11" s="503"/>
      <c r="I11" s="497"/>
      <c r="J11" s="496" t="s">
        <v>613</v>
      </c>
      <c r="K11" s="496" t="s">
        <v>10</v>
      </c>
      <c r="L11" s="496">
        <v>1550</v>
      </c>
      <c r="M11" s="496" t="s">
        <v>28</v>
      </c>
    </row>
    <row r="12" spans="1:13" x14ac:dyDescent="0.3">
      <c r="B12" s="501" t="s">
        <v>614</v>
      </c>
      <c r="C12" s="504">
        <f>SUM(L11:L13)</f>
        <v>10005</v>
      </c>
      <c r="D12" s="497" t="s">
        <v>28</v>
      </c>
      <c r="E12" s="497"/>
      <c r="F12" s="497"/>
      <c r="G12" s="497"/>
      <c r="H12" s="503"/>
      <c r="I12" s="497"/>
      <c r="J12" s="496" t="s">
        <v>615</v>
      </c>
      <c r="K12" s="496" t="s">
        <v>10</v>
      </c>
      <c r="L12" s="496">
        <v>6990</v>
      </c>
      <c r="M12" s="496" t="s">
        <v>28</v>
      </c>
    </row>
    <row r="13" spans="1:13" x14ac:dyDescent="0.3">
      <c r="B13" s="501" t="s">
        <v>616</v>
      </c>
      <c r="C13" s="504">
        <v>3130</v>
      </c>
      <c r="D13" s="497" t="s">
        <v>28</v>
      </c>
      <c r="E13" s="497"/>
      <c r="F13" s="497"/>
      <c r="G13" s="497"/>
      <c r="H13" s="503"/>
      <c r="I13" s="497"/>
      <c r="J13" s="496" t="s">
        <v>617</v>
      </c>
      <c r="K13" s="496" t="s">
        <v>10</v>
      </c>
      <c r="L13" s="496">
        <v>1465</v>
      </c>
      <c r="M13" s="496" t="s">
        <v>28</v>
      </c>
    </row>
    <row r="14" spans="1:13" x14ac:dyDescent="0.3">
      <c r="B14" s="501" t="s">
        <v>618</v>
      </c>
      <c r="C14" s="504">
        <f>SUM(L14:L16)</f>
        <v>3585</v>
      </c>
      <c r="D14" s="497" t="s">
        <v>28</v>
      </c>
      <c r="E14" s="497"/>
      <c r="F14" s="497"/>
      <c r="G14" s="497"/>
      <c r="H14" s="503"/>
      <c r="I14" s="497"/>
      <c r="J14" s="496" t="s">
        <v>843</v>
      </c>
      <c r="K14" s="496" t="s">
        <v>10</v>
      </c>
      <c r="L14" s="496">
        <v>470</v>
      </c>
      <c r="M14" s="496" t="s">
        <v>28</v>
      </c>
    </row>
    <row r="15" spans="1:13" x14ac:dyDescent="0.3">
      <c r="B15" s="501" t="s">
        <v>620</v>
      </c>
      <c r="C15" s="504"/>
      <c r="D15" s="497" t="s">
        <v>134</v>
      </c>
      <c r="E15" s="497"/>
      <c r="F15" s="497"/>
      <c r="G15" s="497"/>
      <c r="H15" s="503"/>
      <c r="I15" s="497"/>
      <c r="J15" s="496" t="s">
        <v>844</v>
      </c>
      <c r="L15" s="496">
        <v>1905</v>
      </c>
      <c r="M15" s="496" t="s">
        <v>28</v>
      </c>
    </row>
    <row r="16" spans="1:13" x14ac:dyDescent="0.3">
      <c r="B16" s="501" t="s">
        <v>621</v>
      </c>
      <c r="C16" s="504">
        <v>600</v>
      </c>
      <c r="D16" s="497" t="s">
        <v>622</v>
      </c>
      <c r="E16" s="497"/>
      <c r="F16" s="497"/>
      <c r="G16" s="497"/>
      <c r="H16" s="503"/>
      <c r="I16" s="497"/>
      <c r="J16" s="496" t="s">
        <v>619</v>
      </c>
      <c r="K16" s="496" t="s">
        <v>10</v>
      </c>
      <c r="L16" s="496">
        <v>1210</v>
      </c>
      <c r="M16" s="496" t="s">
        <v>28</v>
      </c>
    </row>
    <row r="17" spans="1:9" ht="15.75" customHeight="1" x14ac:dyDescent="0.3">
      <c r="B17" s="501" t="s">
        <v>133</v>
      </c>
      <c r="C17" s="504">
        <v>96.4</v>
      </c>
      <c r="D17" s="497" t="s">
        <v>624</v>
      </c>
      <c r="E17" s="497"/>
      <c r="F17" s="497"/>
      <c r="G17" s="497"/>
      <c r="H17" s="503"/>
      <c r="I17" s="497"/>
    </row>
    <row r="18" spans="1:9" ht="15.75" customHeight="1" x14ac:dyDescent="0.3">
      <c r="B18" s="501" t="s">
        <v>625</v>
      </c>
      <c r="C18" s="507">
        <f>C6/C16</f>
        <v>14</v>
      </c>
      <c r="D18" s="497"/>
      <c r="E18" s="497"/>
      <c r="F18" s="497"/>
      <c r="G18" s="497"/>
      <c r="H18" s="503"/>
      <c r="I18" s="497"/>
    </row>
    <row r="19" spans="1:9" x14ac:dyDescent="0.3">
      <c r="A19" s="497"/>
      <c r="B19" s="508"/>
      <c r="C19" s="509"/>
      <c r="D19" s="509"/>
      <c r="E19" s="509"/>
      <c r="F19" s="509"/>
      <c r="G19" s="509"/>
      <c r="H19" s="510"/>
    </row>
    <row r="20" spans="1:9" x14ac:dyDescent="0.3">
      <c r="B20" s="511" t="s">
        <v>626</v>
      </c>
      <c r="C20" s="512"/>
      <c r="D20" s="513"/>
      <c r="E20" s="499"/>
      <c r="F20" s="499"/>
      <c r="G20" s="499"/>
      <c r="H20" s="500"/>
    </row>
    <row r="21" spans="1:9" ht="18" x14ac:dyDescent="0.3">
      <c r="A21" s="514"/>
      <c r="B21" s="515" t="s">
        <v>845</v>
      </c>
      <c r="C21" s="516">
        <f>C6</f>
        <v>8400</v>
      </c>
      <c r="D21" s="517" t="s">
        <v>586</v>
      </c>
      <c r="E21" s="518" t="s">
        <v>263</v>
      </c>
      <c r="F21" s="504">
        <v>1.3596189999999999</v>
      </c>
      <c r="G21" s="497" t="s">
        <v>262</v>
      </c>
      <c r="H21" s="503"/>
    </row>
    <row r="22" spans="1:9" x14ac:dyDescent="0.3">
      <c r="A22" s="514"/>
      <c r="B22" s="515" t="s">
        <v>10</v>
      </c>
      <c r="C22" s="516">
        <f>C21/F4</f>
        <v>11420.802175390891</v>
      </c>
      <c r="D22" s="517" t="s">
        <v>262</v>
      </c>
      <c r="E22" s="497"/>
      <c r="F22" s="497"/>
      <c r="G22" s="497"/>
      <c r="H22" s="503"/>
    </row>
    <row r="23" spans="1:9" x14ac:dyDescent="0.3">
      <c r="A23" s="514"/>
      <c r="B23" s="519"/>
      <c r="C23" s="520"/>
      <c r="D23" s="517"/>
      <c r="E23" s="497"/>
      <c r="F23" s="497"/>
      <c r="G23" s="497"/>
      <c r="H23" s="503"/>
    </row>
    <row r="24" spans="1:9" ht="18" x14ac:dyDescent="0.4">
      <c r="A24" s="514"/>
      <c r="B24" s="521" t="s">
        <v>846</v>
      </c>
      <c r="C24" s="517" t="s">
        <v>847</v>
      </c>
      <c r="D24" s="522"/>
      <c r="H24" s="505"/>
    </row>
    <row r="25" spans="1:9" x14ac:dyDescent="0.3">
      <c r="A25" s="514"/>
      <c r="B25" s="515" t="s">
        <v>10</v>
      </c>
      <c r="C25" s="516">
        <f>C21*0.9</f>
        <v>7560</v>
      </c>
      <c r="D25" s="517" t="s">
        <v>260</v>
      </c>
      <c r="E25" s="497"/>
      <c r="F25" s="497"/>
      <c r="G25" s="497"/>
      <c r="H25" s="503"/>
    </row>
    <row r="26" spans="1:9" x14ac:dyDescent="0.3">
      <c r="A26" s="514"/>
      <c r="B26" s="515" t="s">
        <v>10</v>
      </c>
      <c r="C26" s="516">
        <f>C25/F4</f>
        <v>10278.721957851802</v>
      </c>
      <c r="D26" s="517" t="s">
        <v>262</v>
      </c>
      <c r="E26" s="497"/>
      <c r="F26" s="497"/>
      <c r="G26" s="497"/>
      <c r="H26" s="503"/>
    </row>
    <row r="27" spans="1:9" x14ac:dyDescent="0.3">
      <c r="A27" s="514"/>
      <c r="B27" s="515"/>
      <c r="C27" s="497"/>
      <c r="D27" s="497"/>
      <c r="E27" s="497"/>
      <c r="F27" s="497"/>
      <c r="G27" s="497"/>
      <c r="H27" s="503"/>
    </row>
    <row r="28" spans="1:9" ht="18" x14ac:dyDescent="0.3">
      <c r="A28" s="514"/>
      <c r="B28" s="515" t="s">
        <v>630</v>
      </c>
      <c r="C28" s="517" t="s">
        <v>848</v>
      </c>
      <c r="D28" s="517"/>
      <c r="E28" s="497"/>
      <c r="F28" s="497"/>
      <c r="G28" s="497"/>
      <c r="H28" s="503"/>
    </row>
    <row r="29" spans="1:9" x14ac:dyDescent="0.3">
      <c r="A29" s="514"/>
      <c r="B29" s="515" t="s">
        <v>10</v>
      </c>
      <c r="C29" s="516">
        <f>C25*0.98</f>
        <v>7408.8</v>
      </c>
      <c r="D29" s="517" t="s">
        <v>260</v>
      </c>
      <c r="E29" s="497"/>
      <c r="F29" s="497"/>
      <c r="G29" s="497"/>
      <c r="H29" s="503"/>
    </row>
    <row r="30" spans="1:9" x14ac:dyDescent="0.3">
      <c r="A30" s="514"/>
      <c r="B30" s="515" t="s">
        <v>10</v>
      </c>
      <c r="C30" s="516">
        <f>C29/F4</f>
        <v>10073.147518694765</v>
      </c>
      <c r="D30" s="517" t="s">
        <v>262</v>
      </c>
      <c r="E30" s="497"/>
      <c r="F30" s="497"/>
      <c r="G30" s="497"/>
      <c r="H30" s="503"/>
    </row>
    <row r="31" spans="1:9" x14ac:dyDescent="0.3">
      <c r="A31" s="514"/>
      <c r="B31" s="515"/>
      <c r="C31" s="497"/>
      <c r="D31" s="497"/>
      <c r="E31" s="497"/>
      <c r="F31" s="497"/>
      <c r="G31" s="497"/>
      <c r="H31" s="503"/>
    </row>
    <row r="32" spans="1:9" x14ac:dyDescent="0.3">
      <c r="A32" s="514"/>
      <c r="B32" s="515" t="s">
        <v>632</v>
      </c>
      <c r="C32" s="517" t="s">
        <v>633</v>
      </c>
      <c r="D32" s="517"/>
      <c r="E32" s="497"/>
      <c r="F32" s="497"/>
      <c r="G32" s="497"/>
      <c r="H32" s="503"/>
    </row>
    <row r="33" spans="1:8" x14ac:dyDescent="0.3">
      <c r="A33" s="514"/>
      <c r="B33" s="515" t="s">
        <v>10</v>
      </c>
      <c r="C33" s="516">
        <f>C29*0.98</f>
        <v>7260.6239999999998</v>
      </c>
      <c r="D33" s="517" t="s">
        <v>260</v>
      </c>
      <c r="E33" s="497"/>
      <c r="F33" s="497"/>
      <c r="G33" s="497"/>
      <c r="H33" s="503"/>
    </row>
    <row r="34" spans="1:8" x14ac:dyDescent="0.3">
      <c r="A34" s="514"/>
      <c r="B34" s="515" t="s">
        <v>10</v>
      </c>
      <c r="C34" s="516">
        <f>C33/F4</f>
        <v>9871.6845683208685</v>
      </c>
      <c r="D34" s="517" t="s">
        <v>262</v>
      </c>
      <c r="E34" s="497"/>
      <c r="F34" s="497"/>
      <c r="G34" s="497"/>
      <c r="H34" s="503"/>
    </row>
    <row r="35" spans="1:8" x14ac:dyDescent="0.3">
      <c r="A35" s="514"/>
      <c r="B35" s="515"/>
      <c r="C35" s="497"/>
      <c r="D35" s="497"/>
      <c r="E35" s="497"/>
      <c r="F35" s="497"/>
      <c r="G35" s="497"/>
      <c r="H35" s="503"/>
    </row>
    <row r="36" spans="1:8" x14ac:dyDescent="0.3">
      <c r="A36" s="514"/>
      <c r="B36" s="515" t="s">
        <v>634</v>
      </c>
      <c r="C36" s="517" t="s">
        <v>635</v>
      </c>
      <c r="D36" s="517"/>
      <c r="E36" s="497"/>
      <c r="F36" s="497"/>
      <c r="G36" s="497"/>
      <c r="H36" s="503"/>
    </row>
    <row r="37" spans="1:8" x14ac:dyDescent="0.3">
      <c r="A37" s="514"/>
      <c r="B37" s="515" t="s">
        <v>10</v>
      </c>
      <c r="C37" s="516">
        <f>C33*HARVARLD!F223</f>
        <v>5562.5839103661983</v>
      </c>
      <c r="D37" s="517" t="s">
        <v>260</v>
      </c>
      <c r="E37" s="497"/>
      <c r="F37" s="497"/>
      <c r="G37" s="497"/>
      <c r="H37" s="503"/>
    </row>
    <row r="38" spans="1:8" x14ac:dyDescent="0.3">
      <c r="A38" s="514"/>
      <c r="B38" s="515" t="s">
        <v>10</v>
      </c>
      <c r="C38" s="516">
        <f>C37*F21</f>
        <v>7562.9947736281802</v>
      </c>
      <c r="D38" s="517" t="s">
        <v>262</v>
      </c>
      <c r="E38" s="497"/>
      <c r="F38" s="497"/>
      <c r="G38" s="497"/>
      <c r="H38" s="503"/>
    </row>
    <row r="39" spans="1:8" x14ac:dyDescent="0.3">
      <c r="A39" s="514"/>
      <c r="B39" s="515"/>
      <c r="C39" s="497"/>
      <c r="D39" s="497"/>
      <c r="E39" s="497"/>
      <c r="F39" s="497"/>
      <c r="G39" s="497"/>
      <c r="H39" s="503"/>
    </row>
    <row r="40" spans="1:8" x14ac:dyDescent="0.3">
      <c r="A40" s="514"/>
      <c r="B40" s="515" t="s">
        <v>636</v>
      </c>
      <c r="C40" s="517" t="s">
        <v>637</v>
      </c>
      <c r="D40" s="517"/>
      <c r="E40" s="497"/>
      <c r="F40" s="497"/>
      <c r="G40" s="497"/>
      <c r="H40" s="503"/>
    </row>
    <row r="41" spans="1:8" x14ac:dyDescent="0.3">
      <c r="A41" s="514"/>
      <c r="B41" s="515" t="s">
        <v>10</v>
      </c>
      <c r="C41" s="516">
        <f>C37*HARVARLD!F221</f>
        <v>6244.1963050167051</v>
      </c>
      <c r="D41" s="517" t="s">
        <v>260</v>
      </c>
      <c r="E41" s="497"/>
      <c r="F41" s="497"/>
      <c r="G41" s="497"/>
      <c r="H41" s="503"/>
    </row>
    <row r="42" spans="1:8" x14ac:dyDescent="0.3">
      <c r="A42" s="517"/>
      <c r="B42" s="515" t="s">
        <v>10</v>
      </c>
      <c r="C42" s="516">
        <f>C41*F21</f>
        <v>8489.7279360305074</v>
      </c>
      <c r="D42" s="517" t="s">
        <v>262</v>
      </c>
      <c r="E42" s="497"/>
      <c r="F42" s="497"/>
      <c r="G42" s="497"/>
      <c r="H42" s="503"/>
    </row>
    <row r="43" spans="1:8" x14ac:dyDescent="0.3">
      <c r="A43" s="497"/>
      <c r="B43" s="508"/>
      <c r="C43" s="509"/>
      <c r="D43" s="509"/>
      <c r="E43" s="509"/>
      <c r="F43" s="509"/>
      <c r="G43" s="509"/>
      <c r="H43" s="510"/>
    </row>
    <row r="44" spans="1:8" x14ac:dyDescent="0.3">
      <c r="B44" s="523" t="s">
        <v>638</v>
      </c>
      <c r="C44" s="524"/>
      <c r="D44" s="524"/>
      <c r="E44" s="525"/>
      <c r="F44" s="525"/>
      <c r="G44" s="525"/>
      <c r="H44" s="526"/>
    </row>
    <row r="45" spans="1:8" x14ac:dyDescent="0.3">
      <c r="B45" s="527"/>
      <c r="C45" s="528"/>
      <c r="D45" s="528"/>
      <c r="E45" s="529"/>
      <c r="F45" s="529"/>
      <c r="G45" s="529"/>
      <c r="H45" s="530"/>
    </row>
    <row r="46" spans="1:8" ht="15.75" customHeight="1" x14ac:dyDescent="0.3">
      <c r="A46" s="529"/>
      <c r="B46" s="531" t="s">
        <v>601</v>
      </c>
      <c r="C46" s="532" t="s">
        <v>639</v>
      </c>
      <c r="D46" s="533"/>
      <c r="E46" s="497"/>
      <c r="F46" s="497"/>
      <c r="G46" s="497"/>
      <c r="H46" s="503"/>
    </row>
    <row r="47" spans="1:8" ht="15.75" customHeight="1" x14ac:dyDescent="0.3">
      <c r="B47" s="531" t="s">
        <v>603</v>
      </c>
      <c r="C47" s="532" t="s">
        <v>640</v>
      </c>
      <c r="D47" s="534"/>
      <c r="E47" s="497"/>
      <c r="F47" s="497"/>
      <c r="G47" s="497"/>
      <c r="H47" s="503"/>
    </row>
    <row r="48" spans="1:8" ht="15.75" customHeight="1" x14ac:dyDescent="0.3">
      <c r="B48" s="501" t="s">
        <v>641</v>
      </c>
      <c r="C48" s="535"/>
      <c r="D48" s="535"/>
      <c r="E48" s="497"/>
      <c r="F48" s="497"/>
      <c r="G48" s="497"/>
      <c r="H48" s="503"/>
    </row>
    <row r="49" spans="1:8" ht="15.75" customHeight="1" x14ac:dyDescent="0.3">
      <c r="B49" s="531" t="s">
        <v>642</v>
      </c>
      <c r="C49" s="533">
        <v>4.41</v>
      </c>
      <c r="D49" s="533"/>
      <c r="E49" s="497"/>
      <c r="F49" s="497"/>
      <c r="G49" s="497"/>
      <c r="H49" s="503"/>
    </row>
    <row r="50" spans="1:8" x14ac:dyDescent="0.3">
      <c r="B50" s="501" t="s">
        <v>621</v>
      </c>
      <c r="C50" s="536">
        <f>C16/C49</f>
        <v>136.05442176870747</v>
      </c>
      <c r="D50" s="534" t="s">
        <v>622</v>
      </c>
      <c r="F50" s="497"/>
      <c r="G50" s="497"/>
      <c r="H50" s="503"/>
    </row>
    <row r="51" spans="1:8" ht="15.75" customHeight="1" x14ac:dyDescent="0.3">
      <c r="B51" s="501" t="s">
        <v>643</v>
      </c>
      <c r="C51" s="533"/>
      <c r="D51" s="534" t="s">
        <v>260</v>
      </c>
      <c r="F51" s="497"/>
      <c r="G51" s="497"/>
      <c r="H51" s="503"/>
    </row>
    <row r="52" spans="1:8" ht="15.75" customHeight="1" x14ac:dyDescent="0.3">
      <c r="B52" s="537"/>
      <c r="C52" s="1284"/>
      <c r="D52" s="1284"/>
      <c r="E52" s="534"/>
      <c r="F52" s="497"/>
      <c r="G52" s="497"/>
      <c r="H52" s="503"/>
    </row>
    <row r="53" spans="1:8" x14ac:dyDescent="0.3">
      <c r="B53" s="538" t="s">
        <v>644</v>
      </c>
      <c r="C53" s="539"/>
      <c r="D53" s="539"/>
      <c r="E53" s="539"/>
      <c r="F53" s="539"/>
      <c r="G53" s="499"/>
      <c r="H53" s="500"/>
    </row>
    <row r="54" spans="1:8" x14ac:dyDescent="0.3">
      <c r="B54" s="501" t="s">
        <v>614</v>
      </c>
      <c r="C54" s="534"/>
      <c r="D54" s="534"/>
      <c r="E54" s="534" t="s">
        <v>28</v>
      </c>
      <c r="F54" s="497" t="s">
        <v>645</v>
      </c>
      <c r="G54" s="497"/>
      <c r="H54" s="503"/>
    </row>
    <row r="55" spans="1:8" x14ac:dyDescent="0.3">
      <c r="B55" s="501" t="s">
        <v>616</v>
      </c>
      <c r="C55" s="534"/>
      <c r="D55" s="534"/>
      <c r="E55" s="534" t="s">
        <v>28</v>
      </c>
      <c r="F55" s="497" t="s">
        <v>646</v>
      </c>
      <c r="G55" s="497"/>
      <c r="H55" s="503"/>
    </row>
    <row r="56" spans="1:8" x14ac:dyDescent="0.3">
      <c r="B56" s="501" t="s">
        <v>618</v>
      </c>
      <c r="C56" s="534"/>
      <c r="D56" s="534"/>
      <c r="E56" s="534" t="s">
        <v>28</v>
      </c>
      <c r="F56" s="497" t="s">
        <v>647</v>
      </c>
      <c r="G56" s="497"/>
      <c r="H56" s="503"/>
    </row>
    <row r="57" spans="1:8" x14ac:dyDescent="0.3">
      <c r="A57" s="497"/>
      <c r="B57" s="501" t="s">
        <v>620</v>
      </c>
      <c r="C57" s="534"/>
      <c r="D57" s="534"/>
      <c r="E57" s="534" t="s">
        <v>648</v>
      </c>
      <c r="F57" s="497"/>
      <c r="G57" s="497"/>
      <c r="H57" s="503"/>
    </row>
    <row r="58" spans="1:8" x14ac:dyDescent="0.3">
      <c r="A58" s="497"/>
      <c r="B58" s="540"/>
      <c r="C58" s="541"/>
      <c r="D58" s="541"/>
      <c r="E58" s="542"/>
      <c r="F58" s="509"/>
      <c r="G58" s="509"/>
      <c r="H58" s="510"/>
    </row>
    <row r="59" spans="1:8" x14ac:dyDescent="0.3">
      <c r="A59" s="497"/>
      <c r="G59" s="497"/>
      <c r="H59" s="497"/>
    </row>
    <row r="60" spans="1:8" x14ac:dyDescent="0.3">
      <c r="A60" s="497"/>
      <c r="B60" s="497"/>
      <c r="C60" s="497"/>
      <c r="D60" s="497"/>
      <c r="E60" s="497"/>
      <c r="F60" s="497"/>
      <c r="G60" s="497"/>
      <c r="H60" s="497"/>
    </row>
    <row r="61" spans="1:8" x14ac:dyDescent="0.3">
      <c r="A61" s="497"/>
      <c r="B61" s="497"/>
      <c r="C61" s="497"/>
      <c r="D61" s="497"/>
      <c r="E61" s="497"/>
      <c r="F61" s="497"/>
      <c r="G61" s="497"/>
      <c r="H61" s="497"/>
    </row>
    <row r="62" spans="1:8" x14ac:dyDescent="0.3">
      <c r="A62" s="497"/>
      <c r="B62" s="497"/>
      <c r="C62" s="497"/>
      <c r="D62" s="497"/>
      <c r="E62" s="497"/>
      <c r="F62" s="497"/>
      <c r="G62" s="497"/>
      <c r="H62" s="497"/>
    </row>
    <row r="63" spans="1:8" x14ac:dyDescent="0.3">
      <c r="A63" s="497"/>
      <c r="B63" s="497"/>
      <c r="C63" s="497"/>
      <c r="D63" s="497"/>
      <c r="E63" s="497"/>
      <c r="F63" s="497"/>
      <c r="G63" s="497"/>
      <c r="H63" s="497"/>
    </row>
    <row r="64" spans="1:8" x14ac:dyDescent="0.3">
      <c r="A64" s="497"/>
      <c r="B64" s="497"/>
      <c r="C64" s="497"/>
      <c r="D64" s="497"/>
      <c r="E64" s="497"/>
      <c r="F64" s="497"/>
      <c r="G64" s="497"/>
      <c r="H64" s="497"/>
    </row>
    <row r="65" spans="1:8" x14ac:dyDescent="0.3">
      <c r="A65" s="497"/>
      <c r="B65" s="497"/>
      <c r="C65" s="497"/>
      <c r="D65" s="497"/>
      <c r="E65" s="497"/>
      <c r="F65" s="497"/>
      <c r="G65" s="497"/>
      <c r="H65" s="497"/>
    </row>
    <row r="66" spans="1:8" x14ac:dyDescent="0.3">
      <c r="A66" s="497"/>
      <c r="B66" s="497"/>
      <c r="C66" s="497"/>
      <c r="D66" s="497"/>
      <c r="E66" s="497"/>
      <c r="F66" s="497"/>
      <c r="G66" s="497"/>
      <c r="H66" s="497"/>
    </row>
    <row r="67" spans="1:8" x14ac:dyDescent="0.3">
      <c r="A67" s="497"/>
      <c r="B67" s="497"/>
      <c r="C67" s="497"/>
      <c r="D67" s="497"/>
      <c r="E67" s="497"/>
      <c r="F67" s="497"/>
      <c r="G67" s="497"/>
      <c r="H67" s="497"/>
    </row>
    <row r="68" spans="1:8" x14ac:dyDescent="0.3">
      <c r="A68" s="497"/>
      <c r="B68" s="497"/>
      <c r="C68" s="497"/>
      <c r="D68" s="497"/>
      <c r="E68" s="497"/>
      <c r="F68" s="497"/>
      <c r="G68" s="497"/>
      <c r="H68" s="497"/>
    </row>
    <row r="69" spans="1:8" x14ac:dyDescent="0.3">
      <c r="A69" s="497"/>
      <c r="B69" s="529"/>
      <c r="C69" s="529"/>
      <c r="D69" s="529"/>
      <c r="E69" s="529"/>
      <c r="F69" s="529"/>
      <c r="G69" s="529"/>
      <c r="H69" s="529"/>
    </row>
    <row r="70" spans="1:8" x14ac:dyDescent="0.3">
      <c r="A70" s="497"/>
      <c r="B70" s="529"/>
      <c r="C70" s="529"/>
      <c r="D70" s="529"/>
      <c r="E70" s="529"/>
      <c r="F70" s="529"/>
      <c r="G70" s="529"/>
      <c r="H70" s="529"/>
    </row>
    <row r="71" spans="1:8" x14ac:dyDescent="0.3">
      <c r="A71" s="497"/>
      <c r="B71" s="529"/>
      <c r="C71" s="529"/>
      <c r="D71" s="529"/>
      <c r="E71" s="529"/>
      <c r="F71" s="529"/>
      <c r="G71" s="529"/>
      <c r="H71" s="529"/>
    </row>
    <row r="72" spans="1:8" x14ac:dyDescent="0.3">
      <c r="A72" s="497"/>
      <c r="B72" s="497"/>
      <c r="C72" s="497"/>
      <c r="D72" s="497"/>
      <c r="E72" s="497"/>
      <c r="F72" s="497"/>
      <c r="G72" s="497"/>
      <c r="H72" s="497"/>
    </row>
    <row r="73" spans="1:8" x14ac:dyDescent="0.3">
      <c r="A73" s="497"/>
      <c r="B73" s="497"/>
      <c r="C73" s="497"/>
      <c r="D73" s="497"/>
      <c r="E73" s="497"/>
      <c r="F73" s="497"/>
      <c r="G73" s="497"/>
      <c r="H73" s="497"/>
    </row>
    <row r="74" spans="1:8" x14ac:dyDescent="0.3">
      <c r="A74" s="497"/>
      <c r="B74" s="497"/>
      <c r="C74" s="497"/>
      <c r="D74" s="497"/>
      <c r="E74" s="497"/>
      <c r="F74" s="497"/>
      <c r="G74" s="497"/>
      <c r="H74" s="497"/>
    </row>
    <row r="75" spans="1:8" x14ac:dyDescent="0.3">
      <c r="A75" s="497"/>
      <c r="B75" s="497"/>
      <c r="C75" s="497"/>
      <c r="D75" s="497"/>
      <c r="E75" s="497"/>
      <c r="F75" s="497"/>
      <c r="G75" s="497"/>
      <c r="H75" s="497"/>
    </row>
    <row r="76" spans="1:8" x14ac:dyDescent="0.3">
      <c r="A76" s="497"/>
      <c r="B76" s="497"/>
      <c r="C76" s="497"/>
      <c r="D76" s="497"/>
      <c r="E76" s="497"/>
      <c r="F76" s="497"/>
      <c r="G76" s="497"/>
      <c r="H76" s="497"/>
    </row>
    <row r="77" spans="1:8" x14ac:dyDescent="0.3">
      <c r="A77" s="497"/>
      <c r="B77" s="497"/>
      <c r="C77" s="497"/>
      <c r="D77" s="497"/>
      <c r="E77" s="497"/>
      <c r="F77" s="497"/>
      <c r="G77" s="497"/>
      <c r="H77" s="497"/>
    </row>
    <row r="78" spans="1:8" x14ac:dyDescent="0.3">
      <c r="A78" s="497"/>
      <c r="B78" s="497"/>
      <c r="C78" s="497"/>
      <c r="D78" s="497"/>
      <c r="E78" s="497"/>
      <c r="F78" s="497"/>
      <c r="G78" s="497"/>
      <c r="H78" s="497"/>
    </row>
    <row r="79" spans="1:8" x14ac:dyDescent="0.3">
      <c r="A79" s="497"/>
      <c r="B79" s="497"/>
      <c r="C79" s="497"/>
      <c r="D79" s="497"/>
      <c r="E79" s="497"/>
      <c r="F79" s="497"/>
      <c r="G79" s="497"/>
      <c r="H79" s="497"/>
    </row>
    <row r="80" spans="1:8" x14ac:dyDescent="0.3">
      <c r="A80" s="497"/>
      <c r="B80" s="497"/>
      <c r="C80" s="497"/>
      <c r="D80" s="497"/>
      <c r="E80" s="497"/>
      <c r="F80" s="497"/>
      <c r="G80" s="497"/>
      <c r="H80" s="497"/>
    </row>
    <row r="81" spans="1:8" x14ac:dyDescent="0.3">
      <c r="A81" s="497"/>
      <c r="B81" s="497"/>
      <c r="C81" s="497"/>
      <c r="D81" s="497"/>
      <c r="E81" s="497"/>
      <c r="F81" s="497"/>
      <c r="G81" s="497"/>
      <c r="H81" s="497"/>
    </row>
    <row r="82" spans="1:8" x14ac:dyDescent="0.3">
      <c r="A82" s="497"/>
      <c r="B82" s="497"/>
      <c r="C82" s="497"/>
      <c r="D82" s="497"/>
      <c r="E82" s="497"/>
      <c r="F82" s="497"/>
      <c r="G82" s="497"/>
      <c r="H82" s="497"/>
    </row>
  </sheetData>
  <mergeCells count="1">
    <mergeCell ref="C52:D52"/>
  </mergeCells>
  <pageMargins left="1.575" right="1.1812499999999999" top="1.1812499999999999" bottom="1.1812499999999999" header="0.511811023622047" footer="0.511811023622047"/>
  <pageSetup paperSize="9" fitToHeight="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V405"/>
  <sheetViews>
    <sheetView zoomScaleNormal="100" workbookViewId="0">
      <selection activeCell="G16" sqref="G16"/>
    </sheetView>
  </sheetViews>
  <sheetFormatPr defaultColWidth="8" defaultRowHeight="12" x14ac:dyDescent="0.3"/>
  <cols>
    <col min="1" max="1" width="3.8984375" style="291" customWidth="1"/>
    <col min="2" max="2" width="3.69921875" style="291" customWidth="1"/>
    <col min="3" max="3" width="10.09765625" style="291" customWidth="1"/>
    <col min="4" max="4" width="13.69921875" style="291" customWidth="1"/>
    <col min="5" max="5" width="12.5" style="291" customWidth="1"/>
    <col min="6" max="6" width="12.8984375" style="291" customWidth="1"/>
    <col min="7" max="7" width="13.5" style="291" customWidth="1"/>
    <col min="8" max="8" width="10" style="291" customWidth="1"/>
    <col min="9" max="9" width="11.3984375" style="291" customWidth="1"/>
    <col min="10" max="10" width="8" style="291"/>
    <col min="11" max="11" width="12.8984375" style="291" customWidth="1"/>
    <col min="12" max="16384" width="8" style="291"/>
  </cols>
  <sheetData>
    <row r="2" spans="2:12" x14ac:dyDescent="0.25">
      <c r="B2" s="259" t="s">
        <v>849</v>
      </c>
      <c r="C2" s="259"/>
      <c r="D2" s="259"/>
      <c r="E2" s="259"/>
      <c r="F2" s="259"/>
      <c r="G2" s="259"/>
      <c r="I2" s="259"/>
      <c r="J2" s="259"/>
      <c r="K2" s="259"/>
      <c r="L2" s="259"/>
    </row>
    <row r="3" spans="2:12" x14ac:dyDescent="0.25">
      <c r="B3" s="259" t="s">
        <v>850</v>
      </c>
      <c r="C3" s="259"/>
      <c r="D3" s="259"/>
      <c r="E3" s="259"/>
      <c r="F3" s="259"/>
      <c r="G3" s="259"/>
      <c r="I3" s="259"/>
      <c r="J3" s="259"/>
      <c r="K3" s="259"/>
      <c r="L3" s="259"/>
    </row>
    <row r="4" spans="2:12" x14ac:dyDescent="0.25">
      <c r="B4" s="306"/>
      <c r="C4" s="280" t="s">
        <v>574</v>
      </c>
      <c r="D4" s="306">
        <f>HARVARLD!F197</f>
        <v>0.20300000000000001</v>
      </c>
      <c r="E4" s="266"/>
      <c r="F4" s="266"/>
      <c r="G4" s="259"/>
      <c r="I4" s="259"/>
      <c r="J4" s="259"/>
      <c r="K4" s="259"/>
      <c r="L4" s="259"/>
    </row>
    <row r="5" spans="2:12" x14ac:dyDescent="0.25">
      <c r="B5" s="259"/>
      <c r="C5" s="280" t="s">
        <v>571</v>
      </c>
      <c r="D5" s="259">
        <f>HARVARLD!F193</f>
        <v>0.29000000000000004</v>
      </c>
      <c r="G5" s="259"/>
      <c r="I5" s="280"/>
      <c r="J5" s="310"/>
      <c r="K5" s="259"/>
      <c r="L5" s="259"/>
    </row>
    <row r="6" spans="2:12" ht="14.4" x14ac:dyDescent="0.35">
      <c r="B6" s="259"/>
      <c r="C6" s="280" t="s">
        <v>851</v>
      </c>
      <c r="D6" s="259">
        <f>'PROPELL (0.969)'!$E$11</f>
        <v>16</v>
      </c>
      <c r="E6" s="291" t="s">
        <v>16</v>
      </c>
      <c r="G6" s="259"/>
      <c r="I6" s="312"/>
      <c r="L6" s="259"/>
    </row>
    <row r="7" spans="2:12" x14ac:dyDescent="0.25">
      <c r="B7" s="259"/>
      <c r="C7" s="312" t="s">
        <v>10</v>
      </c>
      <c r="D7" s="543">
        <f>'PROPELL (0.969)'!$J$8</f>
        <v>8.2311040000000002</v>
      </c>
      <c r="E7" s="291" t="s">
        <v>129</v>
      </c>
      <c r="G7" s="259"/>
      <c r="I7" s="312"/>
      <c r="J7" s="319"/>
      <c r="L7" s="259"/>
    </row>
    <row r="8" spans="2:12" ht="14.4" x14ac:dyDescent="0.35">
      <c r="B8" s="259"/>
      <c r="C8" s="280" t="s">
        <v>852</v>
      </c>
      <c r="D8" s="259">
        <v>1025</v>
      </c>
      <c r="E8" s="313" t="s">
        <v>853</v>
      </c>
      <c r="F8" s="313"/>
      <c r="G8" s="259"/>
      <c r="I8" s="312"/>
      <c r="J8" s="544"/>
      <c r="K8" s="259"/>
    </row>
    <row r="9" spans="2:12" x14ac:dyDescent="0.25">
      <c r="B9" s="259"/>
      <c r="C9" s="280" t="s">
        <v>152</v>
      </c>
      <c r="D9" s="259" t="e">
        <f>HARVARLD!D46</f>
        <v>#REF!</v>
      </c>
      <c r="E9" s="259" t="s">
        <v>155</v>
      </c>
      <c r="G9" s="259"/>
      <c r="I9" s="280"/>
      <c r="J9" s="259"/>
      <c r="K9" s="259"/>
      <c r="L9" s="259"/>
    </row>
    <row r="10" spans="2:12" x14ac:dyDescent="0.25">
      <c r="B10" s="259"/>
      <c r="C10" s="280" t="s">
        <v>854</v>
      </c>
      <c r="D10" s="259" t="e">
        <f>HARVARLD!F166</f>
        <v>#REF!</v>
      </c>
      <c r="G10" s="259"/>
      <c r="I10" s="280"/>
      <c r="J10" s="545"/>
      <c r="K10" s="259"/>
      <c r="L10" s="259"/>
    </row>
    <row r="11" spans="2:12" x14ac:dyDescent="0.25">
      <c r="B11" s="306"/>
      <c r="G11" s="259"/>
    </row>
    <row r="12" spans="2:12" x14ac:dyDescent="0.25">
      <c r="B12" s="259" t="s">
        <v>855</v>
      </c>
      <c r="C12" s="259"/>
      <c r="D12" s="259"/>
      <c r="G12" s="259"/>
    </row>
    <row r="13" spans="2:12" x14ac:dyDescent="0.25">
      <c r="B13" s="259" t="s">
        <v>856</v>
      </c>
      <c r="C13" s="259"/>
      <c r="D13" s="259"/>
      <c r="G13" s="259"/>
    </row>
    <row r="14" spans="2:12" x14ac:dyDescent="0.25">
      <c r="B14" s="1285" t="s">
        <v>857</v>
      </c>
      <c r="C14" s="1285"/>
      <c r="D14" s="306" t="str">
        <f>'PROPELL (0.969)'!$D$273</f>
        <v>B3-35</v>
      </c>
      <c r="G14" s="259"/>
    </row>
    <row r="15" spans="2:12" ht="14.4" x14ac:dyDescent="0.35">
      <c r="B15" s="1285" t="s">
        <v>858</v>
      </c>
      <c r="C15" s="1285"/>
      <c r="D15" s="547">
        <f>'PROPELL (0.969)'!D274</f>
        <v>5.5048234929274464</v>
      </c>
      <c r="G15" s="259"/>
    </row>
    <row r="16" spans="2:12" ht="14.4" x14ac:dyDescent="0.35">
      <c r="B16" s="1285" t="s">
        <v>859</v>
      </c>
      <c r="C16" s="1285"/>
      <c r="D16" s="306">
        <f>'PROPELL (0.969)'!D275</f>
        <v>0.7</v>
      </c>
      <c r="G16" s="259"/>
    </row>
    <row r="17" spans="2:17" x14ac:dyDescent="0.25">
      <c r="B17" s="1286" t="s">
        <v>860</v>
      </c>
      <c r="C17" s="1286"/>
      <c r="D17" s="329">
        <f>'PROPELL (0.969)'!$D$276</f>
        <v>0.59299999999999997</v>
      </c>
    </row>
    <row r="18" spans="2:17" x14ac:dyDescent="0.25">
      <c r="B18" s="1285" t="s">
        <v>861</v>
      </c>
      <c r="C18" s="1285"/>
      <c r="D18" s="329">
        <f>'PROPELL (0.969)'!$D$277</f>
        <v>136.05442176870747</v>
      </c>
    </row>
    <row r="19" spans="2:17" x14ac:dyDescent="0.3">
      <c r="D19" s="308"/>
    </row>
    <row r="20" spans="2:17" ht="15.75" customHeight="1" x14ac:dyDescent="0.3">
      <c r="B20" s="291" t="s">
        <v>862</v>
      </c>
      <c r="D20" s="308"/>
    </row>
    <row r="21" spans="2:17" ht="14.25" customHeight="1" x14ac:dyDescent="0.35">
      <c r="C21" s="548" t="s">
        <v>863</v>
      </c>
      <c r="D21" s="324" t="e">
        <f>HARVARLD!F171</f>
        <v>#REF!</v>
      </c>
      <c r="Q21" s="319"/>
    </row>
    <row r="22" spans="2:17" ht="14.25" customHeight="1" x14ac:dyDescent="0.3">
      <c r="D22" s="308"/>
      <c r="F22" s="258"/>
      <c r="G22" s="258"/>
      <c r="H22" s="258"/>
    </row>
    <row r="23" spans="2:17" ht="14.25" customHeight="1" x14ac:dyDescent="0.3">
      <c r="B23" s="319" t="s">
        <v>864</v>
      </c>
      <c r="C23" s="319"/>
      <c r="D23" s="320"/>
    </row>
    <row r="24" spans="2:17" ht="15.75" customHeight="1" x14ac:dyDescent="0.35">
      <c r="C24" s="548" t="s">
        <v>865</v>
      </c>
      <c r="D24" s="324" t="e">
        <f>HARVARLD!G178</f>
        <v>#REF!</v>
      </c>
    </row>
    <row r="25" spans="2:17" ht="15.75" customHeight="1" x14ac:dyDescent="0.3">
      <c r="B25" s="291" t="s">
        <v>866</v>
      </c>
      <c r="D25" s="308"/>
      <c r="K25" s="321"/>
    </row>
    <row r="26" spans="2:17" ht="15.75" customHeight="1" x14ac:dyDescent="0.25">
      <c r="C26" s="546" t="s">
        <v>867</v>
      </c>
      <c r="D26" s="549" t="s">
        <v>868</v>
      </c>
      <c r="K26" s="322"/>
    </row>
    <row r="27" spans="2:17" ht="15.75" customHeight="1" x14ac:dyDescent="0.25">
      <c r="B27" s="319"/>
      <c r="C27" s="546" t="s">
        <v>869</v>
      </c>
      <c r="D27" s="549" t="s">
        <v>870</v>
      </c>
      <c r="K27" s="322"/>
    </row>
    <row r="28" spans="2:17" ht="15.75" customHeight="1" x14ac:dyDescent="0.25">
      <c r="B28" s="319"/>
      <c r="C28" s="546" t="s">
        <v>871</v>
      </c>
      <c r="D28" s="549" t="s">
        <v>872</v>
      </c>
    </row>
    <row r="29" spans="2:17" ht="15.75" customHeight="1" x14ac:dyDescent="0.25">
      <c r="C29" s="546" t="s">
        <v>873</v>
      </c>
      <c r="D29" s="549" t="s">
        <v>874</v>
      </c>
    </row>
    <row r="30" spans="2:17" ht="15.75" customHeight="1" x14ac:dyDescent="0.25">
      <c r="C30" s="546" t="s">
        <v>875</v>
      </c>
      <c r="D30" s="549" t="s">
        <v>876</v>
      </c>
      <c r="K30" s="323"/>
    </row>
    <row r="31" spans="2:17" ht="15.75" customHeight="1" x14ac:dyDescent="0.25">
      <c r="C31" s="546" t="s">
        <v>877</v>
      </c>
      <c r="D31" s="549" t="s">
        <v>878</v>
      </c>
    </row>
    <row r="32" spans="2:17" ht="15.75" customHeight="1" x14ac:dyDescent="0.3">
      <c r="D32" s="308"/>
    </row>
    <row r="33" spans="2:13" x14ac:dyDescent="0.3">
      <c r="B33" s="291" t="s">
        <v>336</v>
      </c>
      <c r="D33" s="308"/>
    </row>
    <row r="34" spans="2:13" x14ac:dyDescent="0.25">
      <c r="B34" s="291">
        <v>1</v>
      </c>
      <c r="C34" s="550" t="s">
        <v>879</v>
      </c>
      <c r="D34" s="324"/>
    </row>
    <row r="35" spans="2:13" ht="13.2" x14ac:dyDescent="0.25">
      <c r="C35" s="546" t="s">
        <v>880</v>
      </c>
      <c r="D35" s="549" t="s">
        <v>881</v>
      </c>
      <c r="E35" s="549"/>
    </row>
    <row r="36" spans="2:13" ht="13.2" x14ac:dyDescent="0.25">
      <c r="C36" s="546" t="s">
        <v>10</v>
      </c>
      <c r="D36" s="549" t="s">
        <v>882</v>
      </c>
      <c r="E36" s="549"/>
    </row>
    <row r="37" spans="2:13" ht="15.75" customHeight="1" x14ac:dyDescent="0.3">
      <c r="I37" s="308"/>
      <c r="J37" s="308"/>
      <c r="K37" s="308"/>
      <c r="L37" s="308"/>
      <c r="M37" s="308"/>
    </row>
    <row r="38" spans="2:13" ht="14.4" x14ac:dyDescent="0.35">
      <c r="C38" s="280" t="s">
        <v>883</v>
      </c>
      <c r="D38" s="551" t="s">
        <v>884</v>
      </c>
    </row>
    <row r="39" spans="2:13" x14ac:dyDescent="0.3">
      <c r="B39" s="384"/>
      <c r="C39" s="276" t="s">
        <v>10</v>
      </c>
      <c r="D39" s="324" t="e">
        <f>D21*1000/(D7^2)</f>
        <v>#REF!</v>
      </c>
    </row>
    <row r="40" spans="2:13" x14ac:dyDescent="0.3">
      <c r="B40" s="384"/>
      <c r="C40" s="276"/>
      <c r="D40" s="308"/>
    </row>
    <row r="41" spans="2:13" ht="14.4" x14ac:dyDescent="0.35">
      <c r="C41" s="280" t="s">
        <v>885</v>
      </c>
      <c r="D41" s="325" t="s">
        <v>886</v>
      </c>
    </row>
    <row r="42" spans="2:13" x14ac:dyDescent="0.3">
      <c r="B42" s="384"/>
      <c r="C42" s="276" t="s">
        <v>10</v>
      </c>
      <c r="D42" s="324" t="e">
        <f>D24*1000/(D7^2)</f>
        <v>#REF!</v>
      </c>
    </row>
    <row r="43" spans="2:13" x14ac:dyDescent="0.3">
      <c r="D43" s="308"/>
    </row>
    <row r="44" spans="2:13" x14ac:dyDescent="0.25">
      <c r="B44" s="291">
        <v>2</v>
      </c>
      <c r="C44" s="550" t="s">
        <v>887</v>
      </c>
      <c r="D44" s="308"/>
    </row>
    <row r="45" spans="2:13" ht="13.2" x14ac:dyDescent="0.25">
      <c r="B45" s="258"/>
      <c r="C45" s="280" t="s">
        <v>869</v>
      </c>
      <c r="D45" s="549" t="s">
        <v>888</v>
      </c>
    </row>
    <row r="46" spans="2:13" x14ac:dyDescent="0.3">
      <c r="B46" s="319"/>
      <c r="C46" s="258"/>
      <c r="D46" s="258"/>
      <c r="E46" s="258"/>
      <c r="F46" s="258"/>
    </row>
    <row r="47" spans="2:13" ht="14.4" x14ac:dyDescent="0.35">
      <c r="C47" s="280" t="s">
        <v>889</v>
      </c>
      <c r="D47" s="308" t="e">
        <f>D39/((1-D4)*((1-D5)^2)*D8*(D15^2))</f>
        <v>#REF!</v>
      </c>
    </row>
    <row r="48" spans="2:13" x14ac:dyDescent="0.3">
      <c r="D48" s="308"/>
    </row>
    <row r="49" spans="2:10" ht="14.4" x14ac:dyDescent="0.35">
      <c r="C49" s="280" t="s">
        <v>890</v>
      </c>
      <c r="D49" s="308" t="e">
        <f>D42/((1-D4)*((1-D5)^2)*D8*(D15^2))</f>
        <v>#REF!</v>
      </c>
    </row>
    <row r="50" spans="2:10" x14ac:dyDescent="0.3">
      <c r="D50" s="308"/>
    </row>
    <row r="51" spans="2:10" x14ac:dyDescent="0.25">
      <c r="B51" s="312">
        <v>3</v>
      </c>
      <c r="C51" s="550" t="s">
        <v>891</v>
      </c>
      <c r="D51" s="549"/>
      <c r="E51" s="549"/>
      <c r="F51" s="549"/>
      <c r="G51" s="549"/>
      <c r="H51" s="549"/>
      <c r="I51" s="549"/>
      <c r="J51" s="549"/>
    </row>
    <row r="52" spans="2:10" ht="19.2" customHeight="1" x14ac:dyDescent="0.25">
      <c r="B52" s="312"/>
      <c r="C52" s="1287" t="s">
        <v>892</v>
      </c>
      <c r="D52" s="1287"/>
      <c r="E52" s="1287"/>
      <c r="F52" s="1287"/>
      <c r="G52" s="1287"/>
      <c r="H52" s="1287"/>
      <c r="I52" s="1287"/>
      <c r="J52" s="1287"/>
    </row>
    <row r="53" spans="2:10" ht="13.2" x14ac:dyDescent="0.25">
      <c r="B53" s="312"/>
      <c r="C53" s="546" t="s">
        <v>871</v>
      </c>
      <c r="D53" s="259" t="s">
        <v>893</v>
      </c>
      <c r="E53" s="553"/>
      <c r="F53" s="553"/>
      <c r="G53" s="553"/>
      <c r="H53" s="553"/>
      <c r="I53" s="553"/>
      <c r="J53" s="553"/>
    </row>
    <row r="54" spans="2:10" x14ac:dyDescent="0.25">
      <c r="B54" s="312"/>
      <c r="C54" s="546"/>
      <c r="D54" s="549"/>
      <c r="E54" s="553"/>
      <c r="F54" s="553"/>
      <c r="G54" s="553"/>
      <c r="H54" s="553"/>
      <c r="I54" s="553"/>
      <c r="J54" s="553"/>
    </row>
    <row r="55" spans="2:10" ht="14.4" x14ac:dyDescent="0.35">
      <c r="C55" s="554" t="s">
        <v>894</v>
      </c>
      <c r="D55" s="555" t="s">
        <v>895</v>
      </c>
      <c r="E55" s="555" t="s">
        <v>896</v>
      </c>
      <c r="F55" s="556" t="s">
        <v>897</v>
      </c>
      <c r="J55" s="549"/>
    </row>
    <row r="56" spans="2:10" x14ac:dyDescent="0.25">
      <c r="C56" s="557">
        <v>0</v>
      </c>
      <c r="D56" s="548">
        <f t="shared" ref="D56:D66" si="0">C56^2</f>
        <v>0</v>
      </c>
      <c r="E56" s="558" t="e">
        <f t="shared" ref="E56:E66" si="1">$D$47*D56</f>
        <v>#REF!</v>
      </c>
      <c r="F56" s="559" t="e">
        <f t="shared" ref="F56:F66" si="2">$D$49*D56</f>
        <v>#REF!</v>
      </c>
      <c r="H56" s="549"/>
    </row>
    <row r="57" spans="2:10" x14ac:dyDescent="0.25">
      <c r="B57" s="308"/>
      <c r="C57" s="557">
        <v>0.1</v>
      </c>
      <c r="D57" s="548">
        <f t="shared" si="0"/>
        <v>1.0000000000000002E-2</v>
      </c>
      <c r="E57" s="558" t="e">
        <f t="shared" si="1"/>
        <v>#REF!</v>
      </c>
      <c r="F57" s="559" t="e">
        <f t="shared" si="2"/>
        <v>#REF!</v>
      </c>
      <c r="H57" s="549"/>
      <c r="I57" s="549"/>
      <c r="J57" s="549"/>
    </row>
    <row r="58" spans="2:10" x14ac:dyDescent="0.25">
      <c r="B58" s="308"/>
      <c r="C58" s="557">
        <v>0.2</v>
      </c>
      <c r="D58" s="548">
        <f t="shared" si="0"/>
        <v>4.0000000000000008E-2</v>
      </c>
      <c r="E58" s="558" t="e">
        <f t="shared" si="1"/>
        <v>#REF!</v>
      </c>
      <c r="F58" s="559" t="e">
        <f t="shared" si="2"/>
        <v>#REF!</v>
      </c>
      <c r="H58" s="549"/>
      <c r="I58" s="549"/>
      <c r="J58" s="549"/>
    </row>
    <row r="59" spans="2:10" x14ac:dyDescent="0.25">
      <c r="B59" s="308"/>
      <c r="C59" s="557">
        <v>0.3</v>
      </c>
      <c r="D59" s="548">
        <f t="shared" si="0"/>
        <v>0.09</v>
      </c>
      <c r="E59" s="558" t="e">
        <f t="shared" si="1"/>
        <v>#REF!</v>
      </c>
      <c r="F59" s="559" t="e">
        <f t="shared" si="2"/>
        <v>#REF!</v>
      </c>
      <c r="H59" s="549"/>
      <c r="I59" s="549"/>
      <c r="J59" s="549"/>
    </row>
    <row r="60" spans="2:10" x14ac:dyDescent="0.25">
      <c r="B60" s="308"/>
      <c r="C60" s="557">
        <v>0.4</v>
      </c>
      <c r="D60" s="548">
        <f t="shared" si="0"/>
        <v>0.16000000000000003</v>
      </c>
      <c r="E60" s="558" t="e">
        <f t="shared" si="1"/>
        <v>#REF!</v>
      </c>
      <c r="F60" s="559" t="e">
        <f t="shared" si="2"/>
        <v>#REF!</v>
      </c>
      <c r="H60" s="549"/>
      <c r="I60" s="549"/>
      <c r="J60" s="549"/>
    </row>
    <row r="61" spans="2:10" x14ac:dyDescent="0.25">
      <c r="B61" s="308"/>
      <c r="C61" s="557">
        <v>0.5</v>
      </c>
      <c r="D61" s="548">
        <f t="shared" si="0"/>
        <v>0.25</v>
      </c>
      <c r="E61" s="558" t="e">
        <f t="shared" si="1"/>
        <v>#REF!</v>
      </c>
      <c r="F61" s="559" t="e">
        <f t="shared" si="2"/>
        <v>#REF!</v>
      </c>
      <c r="H61" s="549"/>
      <c r="I61" s="549"/>
      <c r="J61" s="549"/>
    </row>
    <row r="62" spans="2:10" x14ac:dyDescent="0.25">
      <c r="B62" s="308"/>
      <c r="C62" s="557">
        <v>0.6</v>
      </c>
      <c r="D62" s="548">
        <f t="shared" si="0"/>
        <v>0.36</v>
      </c>
      <c r="E62" s="560" t="e">
        <f t="shared" si="1"/>
        <v>#REF!</v>
      </c>
      <c r="F62" s="559" t="e">
        <f t="shared" si="2"/>
        <v>#REF!</v>
      </c>
      <c r="H62" s="549"/>
      <c r="I62" s="549"/>
      <c r="J62" s="549"/>
    </row>
    <row r="63" spans="2:10" x14ac:dyDescent="0.25">
      <c r="B63" s="308"/>
      <c r="C63" s="557">
        <v>0.7</v>
      </c>
      <c r="D63" s="548">
        <f t="shared" si="0"/>
        <v>0.48999999999999994</v>
      </c>
      <c r="E63" s="560" t="e">
        <f t="shared" si="1"/>
        <v>#REF!</v>
      </c>
      <c r="F63" s="559" t="e">
        <f t="shared" si="2"/>
        <v>#REF!</v>
      </c>
      <c r="H63" s="549"/>
      <c r="I63" s="549"/>
      <c r="J63" s="549"/>
    </row>
    <row r="64" spans="2:10" x14ac:dyDescent="0.25">
      <c r="B64" s="308"/>
      <c r="C64" s="557">
        <v>0.8</v>
      </c>
      <c r="D64" s="548">
        <f t="shared" si="0"/>
        <v>0.64000000000000012</v>
      </c>
      <c r="E64" s="560" t="e">
        <f t="shared" si="1"/>
        <v>#REF!</v>
      </c>
      <c r="F64" s="559" t="e">
        <f t="shared" si="2"/>
        <v>#REF!</v>
      </c>
      <c r="H64" s="549"/>
      <c r="I64" s="549"/>
      <c r="J64" s="549"/>
    </row>
    <row r="65" spans="2:10" x14ac:dyDescent="0.25">
      <c r="B65" s="308"/>
      <c r="C65" s="557">
        <v>0.9</v>
      </c>
      <c r="D65" s="548">
        <f t="shared" si="0"/>
        <v>0.81</v>
      </c>
      <c r="E65" s="560" t="e">
        <f t="shared" si="1"/>
        <v>#REF!</v>
      </c>
      <c r="F65" s="559" t="e">
        <f t="shared" si="2"/>
        <v>#REF!</v>
      </c>
      <c r="H65" s="549"/>
      <c r="I65" s="549"/>
      <c r="J65" s="549"/>
    </row>
    <row r="66" spans="2:10" x14ac:dyDescent="0.25">
      <c r="B66" s="308"/>
      <c r="C66" s="561">
        <v>1</v>
      </c>
      <c r="D66" s="562">
        <f t="shared" si="0"/>
        <v>1</v>
      </c>
      <c r="E66" s="563" t="e">
        <f t="shared" si="1"/>
        <v>#REF!</v>
      </c>
      <c r="F66" s="564" t="e">
        <f t="shared" si="2"/>
        <v>#REF!</v>
      </c>
      <c r="H66" s="549"/>
      <c r="I66" s="549"/>
      <c r="J66" s="549"/>
    </row>
    <row r="67" spans="2:10" x14ac:dyDescent="0.25">
      <c r="B67" s="308"/>
      <c r="C67" s="549" t="s">
        <v>898</v>
      </c>
      <c r="D67" s="549"/>
      <c r="E67" s="549"/>
      <c r="F67" s="549"/>
      <c r="G67" s="549"/>
      <c r="H67" s="549"/>
      <c r="I67" s="549"/>
      <c r="J67" s="549"/>
    </row>
    <row r="68" spans="2:10" x14ac:dyDescent="0.25">
      <c r="B68" s="308"/>
      <c r="C68" s="549" t="s">
        <v>899</v>
      </c>
      <c r="D68" s="549"/>
      <c r="E68" s="549"/>
      <c r="F68" s="549"/>
      <c r="G68" s="549"/>
      <c r="H68" s="549"/>
      <c r="I68" s="549"/>
      <c r="J68" s="549"/>
    </row>
    <row r="69" spans="2:10" x14ac:dyDescent="0.25">
      <c r="B69" s="308"/>
      <c r="C69" s="549"/>
      <c r="D69" s="549"/>
      <c r="E69" s="549"/>
      <c r="F69" s="549"/>
      <c r="G69" s="549"/>
      <c r="H69" s="549"/>
      <c r="I69" s="549"/>
      <c r="J69" s="549"/>
    </row>
    <row r="70" spans="2:10" x14ac:dyDescent="0.25">
      <c r="B70" s="308"/>
      <c r="C70" s="549"/>
      <c r="D70" s="549"/>
      <c r="E70" s="549"/>
      <c r="F70" s="549"/>
      <c r="G70" s="549"/>
      <c r="H70" s="549"/>
      <c r="I70" s="549"/>
      <c r="J70" s="549"/>
    </row>
    <row r="71" spans="2:10" x14ac:dyDescent="0.25">
      <c r="B71" s="308"/>
      <c r="C71" s="549"/>
      <c r="D71" s="549"/>
      <c r="E71" s="549"/>
      <c r="F71" s="549"/>
      <c r="G71" s="549"/>
      <c r="H71" s="549"/>
      <c r="I71" s="549"/>
      <c r="J71" s="549"/>
    </row>
    <row r="72" spans="2:10" x14ac:dyDescent="0.25">
      <c r="B72" s="308"/>
      <c r="C72" s="549"/>
      <c r="D72" s="549"/>
      <c r="E72" s="549"/>
      <c r="F72" s="549"/>
      <c r="G72" s="549"/>
      <c r="H72" s="549"/>
      <c r="I72" s="549"/>
      <c r="J72" s="549"/>
    </row>
    <row r="73" spans="2:10" x14ac:dyDescent="0.25">
      <c r="B73" s="308"/>
      <c r="C73" s="549"/>
      <c r="D73" s="549"/>
      <c r="E73" s="549"/>
      <c r="F73" s="549"/>
      <c r="G73" s="549"/>
      <c r="H73" s="549"/>
      <c r="I73" s="549"/>
      <c r="J73" s="549"/>
    </row>
    <row r="74" spans="2:10" x14ac:dyDescent="0.25">
      <c r="B74" s="308"/>
      <c r="C74" s="549"/>
      <c r="D74" s="549"/>
      <c r="E74" s="549"/>
      <c r="F74" s="549"/>
      <c r="G74" s="549"/>
      <c r="H74" s="549"/>
      <c r="I74" s="549"/>
      <c r="J74" s="549"/>
    </row>
    <row r="75" spans="2:10" x14ac:dyDescent="0.25">
      <c r="B75" s="308"/>
      <c r="C75" s="549"/>
      <c r="D75" s="549"/>
      <c r="E75" s="549"/>
      <c r="F75" s="549"/>
      <c r="G75" s="549"/>
      <c r="H75" s="549"/>
      <c r="I75" s="549"/>
      <c r="J75" s="549"/>
    </row>
    <row r="76" spans="2:10" x14ac:dyDescent="0.25">
      <c r="B76" s="308"/>
      <c r="C76" s="549"/>
      <c r="D76" s="549"/>
      <c r="E76" s="549"/>
      <c r="F76" s="549"/>
      <c r="G76" s="549"/>
      <c r="H76" s="549"/>
      <c r="I76" s="549"/>
      <c r="J76" s="549"/>
    </row>
    <row r="77" spans="2:10" x14ac:dyDescent="0.25">
      <c r="B77" s="308"/>
      <c r="C77" s="549"/>
      <c r="D77" s="549"/>
      <c r="E77" s="549"/>
      <c r="F77" s="549"/>
      <c r="G77" s="549"/>
      <c r="H77" s="549"/>
      <c r="I77" s="549"/>
      <c r="J77" s="549"/>
    </row>
    <row r="78" spans="2:10" x14ac:dyDescent="0.25">
      <c r="B78" s="308"/>
      <c r="C78" s="549"/>
      <c r="D78" s="549"/>
      <c r="E78" s="549"/>
      <c r="F78" s="549"/>
      <c r="G78" s="549"/>
      <c r="H78" s="549"/>
      <c r="I78" s="549"/>
      <c r="J78" s="549"/>
    </row>
    <row r="79" spans="2:10" x14ac:dyDescent="0.25">
      <c r="B79" s="308"/>
      <c r="C79" s="549"/>
      <c r="D79" s="549"/>
      <c r="E79" s="549"/>
      <c r="F79" s="549"/>
      <c r="G79" s="549"/>
      <c r="H79" s="549"/>
      <c r="I79" s="549"/>
      <c r="J79" s="549"/>
    </row>
    <row r="80" spans="2:10" x14ac:dyDescent="0.25">
      <c r="B80" s="308"/>
      <c r="C80" s="549"/>
      <c r="D80" s="549"/>
      <c r="E80" s="549"/>
      <c r="F80" s="549"/>
      <c r="G80" s="549"/>
      <c r="H80" s="549"/>
      <c r="I80" s="549"/>
      <c r="J80" s="549"/>
    </row>
    <row r="81" spans="2:19" x14ac:dyDescent="0.25">
      <c r="B81" s="308"/>
      <c r="C81" s="549"/>
      <c r="D81" s="549"/>
      <c r="E81" s="549"/>
      <c r="F81" s="549"/>
      <c r="G81" s="549"/>
      <c r="H81" s="549"/>
      <c r="I81" s="549"/>
      <c r="J81" s="549"/>
    </row>
    <row r="82" spans="2:19" x14ac:dyDescent="0.25">
      <c r="B82" s="308"/>
      <c r="C82" s="549"/>
      <c r="D82" s="549"/>
      <c r="E82" s="549"/>
      <c r="F82" s="549"/>
      <c r="G82" s="549"/>
      <c r="H82" s="549"/>
      <c r="I82" s="549"/>
      <c r="J82" s="549"/>
    </row>
    <row r="83" spans="2:19" x14ac:dyDescent="0.25">
      <c r="C83" s="549"/>
      <c r="D83" s="549"/>
      <c r="E83" s="549"/>
      <c r="F83" s="549"/>
      <c r="G83" s="549"/>
      <c r="H83" s="549"/>
      <c r="I83" s="549"/>
      <c r="J83" s="549"/>
    </row>
    <row r="84" spans="2:19" x14ac:dyDescent="0.25">
      <c r="B84" s="259"/>
      <c r="C84" s="549"/>
      <c r="D84" s="549"/>
      <c r="E84" s="549"/>
      <c r="F84" s="549"/>
      <c r="G84" s="549"/>
      <c r="H84" s="549"/>
      <c r="I84" s="549"/>
      <c r="J84" s="549"/>
    </row>
    <row r="85" spans="2:19" x14ac:dyDescent="0.3">
      <c r="B85" s="308"/>
    </row>
    <row r="86" spans="2:19" x14ac:dyDescent="0.3">
      <c r="C86" s="312"/>
    </row>
    <row r="87" spans="2:19" x14ac:dyDescent="0.3">
      <c r="C87" s="312"/>
    </row>
    <row r="88" spans="2:19" ht="19.2" customHeight="1" x14ac:dyDescent="0.25">
      <c r="B88" s="291">
        <v>4</v>
      </c>
      <c r="C88" s="1288" t="s">
        <v>900</v>
      </c>
      <c r="D88" s="1288"/>
      <c r="E88" s="1288"/>
      <c r="F88" s="1288"/>
      <c r="G88" s="1288"/>
      <c r="H88" s="1288"/>
      <c r="I88" s="1288"/>
      <c r="J88" s="1288"/>
    </row>
    <row r="89" spans="2:19" ht="15" customHeight="1" x14ac:dyDescent="0.25">
      <c r="C89" s="552"/>
      <c r="D89" s="553"/>
      <c r="E89" s="553"/>
      <c r="F89" s="553"/>
      <c r="G89" s="553"/>
      <c r="H89" s="553"/>
      <c r="I89" s="553"/>
      <c r="J89" s="553"/>
      <c r="K89" s="549"/>
      <c r="L89" s="549"/>
      <c r="M89" s="549"/>
      <c r="N89" s="549"/>
      <c r="O89" s="549"/>
      <c r="P89" s="549"/>
      <c r="Q89" s="549"/>
      <c r="R89" s="549"/>
      <c r="S89" s="549"/>
    </row>
    <row r="90" spans="2:19" ht="14.4" x14ac:dyDescent="0.35">
      <c r="C90" s="549"/>
      <c r="D90" s="554" t="s">
        <v>901</v>
      </c>
      <c r="E90" s="1289">
        <f>D16</f>
        <v>0.7</v>
      </c>
      <c r="F90" s="1289"/>
      <c r="G90" s="1289"/>
      <c r="H90" s="565"/>
      <c r="I90" s="549">
        <v>2.1367521367521399E-2</v>
      </c>
      <c r="J90" s="549">
        <v>4.68</v>
      </c>
      <c r="K90" s="549">
        <f>I90*J90</f>
        <v>0.10000000000000014</v>
      </c>
      <c r="L90" s="549"/>
      <c r="M90" s="549"/>
      <c r="N90" s="549"/>
      <c r="O90" s="549"/>
      <c r="P90" s="549"/>
      <c r="Q90" s="549"/>
      <c r="R90" s="549"/>
      <c r="S90" s="549"/>
    </row>
    <row r="91" spans="2:19" x14ac:dyDescent="0.25">
      <c r="C91" s="549"/>
      <c r="D91" s="566" t="s">
        <v>894</v>
      </c>
      <c r="E91" s="567" t="s">
        <v>902</v>
      </c>
      <c r="F91" s="567" t="s">
        <v>903</v>
      </c>
      <c r="G91" s="568" t="s">
        <v>904</v>
      </c>
      <c r="H91" s="549"/>
      <c r="I91" s="549"/>
      <c r="J91" s="549"/>
      <c r="K91" s="549"/>
      <c r="L91" s="549"/>
      <c r="M91" s="1290"/>
      <c r="N91" s="1290"/>
      <c r="O91" s="1290"/>
      <c r="P91" s="569"/>
      <c r="Q91" s="569"/>
      <c r="R91" s="549"/>
      <c r="S91" s="549"/>
    </row>
    <row r="92" spans="2:19" x14ac:dyDescent="0.25">
      <c r="C92" s="549"/>
      <c r="D92" s="557">
        <v>0</v>
      </c>
      <c r="E92" s="269">
        <v>0.2472</v>
      </c>
      <c r="F92" s="269">
        <v>0.24337600000000001</v>
      </c>
      <c r="G92" s="570">
        <v>0</v>
      </c>
      <c r="H92" s="549"/>
      <c r="I92" s="565">
        <v>1</v>
      </c>
      <c r="J92" s="565">
        <v>4.3899999999999997</v>
      </c>
      <c r="K92" s="549">
        <f t="shared" ref="K92:K98" si="3">I$90*J92</f>
        <v>9.3803418803418942E-2</v>
      </c>
      <c r="L92" s="549"/>
      <c r="M92" s="269"/>
      <c r="N92" s="269"/>
      <c r="O92" s="571"/>
      <c r="P92" s="565"/>
      <c r="Q92" s="565"/>
      <c r="R92" s="549"/>
      <c r="S92" s="549"/>
    </row>
    <row r="93" spans="2:19" x14ac:dyDescent="0.25">
      <c r="C93" s="549"/>
      <c r="D93" s="557">
        <v>0.1</v>
      </c>
      <c r="E93" s="269">
        <v>0.22420999999999999</v>
      </c>
      <c r="F93" s="269">
        <v>0.22628200000000001</v>
      </c>
      <c r="G93" s="572">
        <v>0.15937999999999999</v>
      </c>
      <c r="I93" s="565">
        <v>2</v>
      </c>
      <c r="J93" s="565">
        <v>3.97</v>
      </c>
      <c r="K93" s="549">
        <f t="shared" si="3"/>
        <v>8.4829059829059958E-2</v>
      </c>
      <c r="L93" s="549"/>
      <c r="M93" s="269"/>
      <c r="N93" s="269"/>
      <c r="O93" s="269"/>
      <c r="P93" s="565"/>
      <c r="Q93" s="565"/>
      <c r="R93" s="549"/>
      <c r="S93" s="549"/>
    </row>
    <row r="94" spans="2:19" x14ac:dyDescent="0.25">
      <c r="C94" s="549"/>
      <c r="D94" s="557">
        <v>0.2</v>
      </c>
      <c r="E94" s="269">
        <v>0.19784199999999999</v>
      </c>
      <c r="F94" s="269">
        <v>0.20465800000000001</v>
      </c>
      <c r="G94" s="572">
        <v>0.3084829</v>
      </c>
      <c r="I94" s="565">
        <v>3</v>
      </c>
      <c r="J94" s="565">
        <v>3.05</v>
      </c>
      <c r="K94" s="549">
        <f t="shared" si="3"/>
        <v>6.5170940170940259E-2</v>
      </c>
      <c r="L94" s="549"/>
      <c r="M94" s="269"/>
      <c r="N94" s="269"/>
      <c r="O94" s="269"/>
      <c r="P94" s="565"/>
      <c r="Q94" s="565"/>
      <c r="R94" s="549"/>
      <c r="S94" s="549"/>
    </row>
    <row r="95" spans="2:19" x14ac:dyDescent="0.25">
      <c r="C95" s="549"/>
      <c r="D95" s="557">
        <v>0.3</v>
      </c>
      <c r="E95" s="269">
        <v>0.1683974</v>
      </c>
      <c r="F95" s="269">
        <v>0.18247863</v>
      </c>
      <c r="G95" s="572">
        <v>0.44651709000000001</v>
      </c>
      <c r="I95" s="565">
        <v>4</v>
      </c>
      <c r="J95" s="565">
        <v>1.01</v>
      </c>
      <c r="K95" s="549">
        <f t="shared" si="3"/>
        <v>2.1581196581196612E-2</v>
      </c>
      <c r="L95" s="549"/>
      <c r="M95" s="269"/>
      <c r="N95" s="269"/>
      <c r="O95" s="269"/>
      <c r="P95" s="565"/>
      <c r="Q95" s="565"/>
      <c r="R95" s="549"/>
      <c r="S95" s="549"/>
    </row>
    <row r="96" spans="2:19" x14ac:dyDescent="0.25">
      <c r="C96" s="549"/>
      <c r="D96" s="557">
        <v>0.4</v>
      </c>
      <c r="E96" s="269">
        <v>0.13767099999999999</v>
      </c>
      <c r="F96" s="269">
        <v>0.1574358974</v>
      </c>
      <c r="G96" s="572">
        <v>0.56215809999999999</v>
      </c>
      <c r="I96" s="565">
        <v>5</v>
      </c>
      <c r="J96" s="565">
        <v>0.57999999999999996</v>
      </c>
      <c r="K96" s="549">
        <f t="shared" si="3"/>
        <v>1.239316239316241E-2</v>
      </c>
      <c r="L96" s="549"/>
      <c r="M96" s="269"/>
      <c r="N96" s="269"/>
      <c r="O96" s="269"/>
      <c r="P96" s="565"/>
      <c r="Q96" s="565"/>
      <c r="R96" s="549"/>
      <c r="S96" s="549"/>
    </row>
    <row r="97" spans="2:19" x14ac:dyDescent="0.25">
      <c r="C97" s="549"/>
      <c r="D97" s="557">
        <v>0.5</v>
      </c>
      <c r="E97" s="269">
        <v>0.10226499999999999</v>
      </c>
      <c r="F97" s="269">
        <v>0.13111110000000001</v>
      </c>
      <c r="G97" s="572">
        <v>0.63123899999999999</v>
      </c>
      <c r="I97" s="565">
        <v>6</v>
      </c>
      <c r="J97" s="565">
        <v>1.72</v>
      </c>
      <c r="K97" s="549">
        <f t="shared" si="3"/>
        <v>3.6752136752136809E-2</v>
      </c>
      <c r="L97" s="549"/>
      <c r="M97" s="269"/>
      <c r="N97" s="269"/>
      <c r="O97" s="269"/>
      <c r="P97" s="565"/>
      <c r="Q97" s="565"/>
      <c r="R97" s="549"/>
      <c r="S97" s="549"/>
    </row>
    <row r="98" spans="2:19" x14ac:dyDescent="0.25">
      <c r="C98" s="549"/>
      <c r="D98" s="557">
        <v>0.6</v>
      </c>
      <c r="E98" s="269">
        <v>6.5662393200000002E-2</v>
      </c>
      <c r="F98" s="269">
        <v>0.10081196000000001</v>
      </c>
      <c r="G98" s="572">
        <v>0.63367519999999999</v>
      </c>
      <c r="I98" s="565"/>
      <c r="J98" s="565">
        <v>1.28</v>
      </c>
      <c r="K98" s="549">
        <f t="shared" si="3"/>
        <v>2.7350427350427392E-2</v>
      </c>
      <c r="L98" s="549"/>
      <c r="M98" s="269"/>
      <c r="N98" s="269"/>
      <c r="O98" s="269"/>
      <c r="P98" s="565"/>
      <c r="Q98" s="565"/>
      <c r="R98" s="549"/>
      <c r="S98" s="549"/>
    </row>
    <row r="99" spans="2:19" x14ac:dyDescent="0.25">
      <c r="C99" s="549"/>
      <c r="D99" s="557">
        <v>0.7</v>
      </c>
      <c r="E99" s="269">
        <v>2.6623931600000001E-2</v>
      </c>
      <c r="F99" s="269">
        <v>6.7349999999999993E-2</v>
      </c>
      <c r="G99" s="572">
        <v>0.47273500000000002</v>
      </c>
      <c r="I99" s="565"/>
      <c r="J99" s="565"/>
      <c r="K99" s="549"/>
      <c r="L99" s="549"/>
      <c r="M99" s="269"/>
      <c r="N99" s="269"/>
      <c r="O99" s="269"/>
      <c r="P99" s="565"/>
      <c r="Q99" s="565"/>
      <c r="R99" s="549"/>
      <c r="S99" s="549"/>
    </row>
    <row r="100" spans="2:19" x14ac:dyDescent="0.25">
      <c r="C100" s="549"/>
      <c r="D100" s="561">
        <v>0.8</v>
      </c>
      <c r="E100" s="573">
        <v>0</v>
      </c>
      <c r="F100" s="573">
        <v>0</v>
      </c>
      <c r="G100" s="574">
        <v>0</v>
      </c>
      <c r="H100" s="549"/>
      <c r="I100" s="565"/>
      <c r="J100" s="565"/>
      <c r="K100" s="549"/>
      <c r="L100" s="549"/>
      <c r="M100" s="269"/>
      <c r="N100" s="269"/>
      <c r="O100" s="269"/>
      <c r="P100" s="565"/>
      <c r="Q100" s="565"/>
      <c r="R100" s="549"/>
      <c r="S100" s="549"/>
    </row>
    <row r="101" spans="2:19" x14ac:dyDescent="0.25">
      <c r="C101" s="549"/>
      <c r="D101" s="548"/>
      <c r="E101" s="269"/>
      <c r="F101" s="269"/>
      <c r="G101" s="269"/>
      <c r="H101" s="549"/>
      <c r="I101" s="549"/>
      <c r="J101" s="549"/>
      <c r="K101" s="549"/>
      <c r="L101" s="549"/>
      <c r="M101" s="549"/>
      <c r="N101" s="549"/>
      <c r="O101" s="549"/>
      <c r="P101" s="549"/>
      <c r="Q101" s="549"/>
      <c r="R101" s="549"/>
      <c r="S101" s="549"/>
    </row>
    <row r="102" spans="2:19" x14ac:dyDescent="0.25">
      <c r="C102" s="549"/>
      <c r="D102" s="548"/>
      <c r="E102" s="269"/>
      <c r="F102" s="269"/>
      <c r="G102" s="269"/>
      <c r="H102" s="549"/>
      <c r="I102" s="549"/>
      <c r="J102" s="549"/>
      <c r="K102" s="549"/>
      <c r="L102" s="549"/>
      <c r="M102" s="549"/>
      <c r="N102" s="549"/>
      <c r="O102" s="549"/>
      <c r="P102" s="549"/>
      <c r="Q102" s="549"/>
      <c r="R102" s="549"/>
      <c r="S102" s="549"/>
    </row>
    <row r="103" spans="2:19" x14ac:dyDescent="0.25">
      <c r="C103" s="549"/>
      <c r="D103" s="549"/>
      <c r="E103" s="549"/>
      <c r="F103" s="549"/>
      <c r="G103" s="549"/>
      <c r="H103" s="549"/>
      <c r="I103" s="549"/>
      <c r="J103" s="549"/>
      <c r="K103" s="549"/>
      <c r="L103" s="549"/>
      <c r="M103" s="549"/>
      <c r="N103" s="549"/>
      <c r="O103" s="549"/>
      <c r="P103" s="549"/>
      <c r="Q103" s="549"/>
      <c r="R103" s="549"/>
      <c r="S103" s="549"/>
    </row>
    <row r="104" spans="2:19" x14ac:dyDescent="0.25">
      <c r="C104" s="549"/>
      <c r="D104" s="549"/>
      <c r="E104" s="549"/>
      <c r="F104" s="549"/>
      <c r="G104" s="549"/>
      <c r="H104" s="549"/>
      <c r="I104" s="549"/>
      <c r="J104" s="549"/>
      <c r="K104" s="549"/>
      <c r="L104" s="549"/>
      <c r="M104" s="549"/>
      <c r="N104" s="549"/>
      <c r="O104" s="549"/>
      <c r="P104" s="549"/>
      <c r="Q104" s="549"/>
      <c r="R104" s="549"/>
      <c r="S104" s="549"/>
    </row>
    <row r="105" spans="2:19" x14ac:dyDescent="0.25">
      <c r="C105" s="549"/>
      <c r="D105" s="549"/>
      <c r="E105" s="549"/>
      <c r="F105" s="549"/>
      <c r="G105" s="549"/>
      <c r="H105" s="549"/>
      <c r="I105" s="549"/>
      <c r="J105" s="549"/>
      <c r="K105" s="549"/>
      <c r="L105" s="549"/>
      <c r="M105" s="549"/>
      <c r="N105" s="549"/>
      <c r="O105" s="549"/>
      <c r="P105" s="549"/>
      <c r="Q105" s="549"/>
      <c r="R105" s="549"/>
      <c r="S105" s="549"/>
    </row>
    <row r="106" spans="2:19" x14ac:dyDescent="0.25">
      <c r="C106" s="549"/>
      <c r="D106" s="549"/>
      <c r="E106" s="549"/>
      <c r="F106" s="549"/>
      <c r="G106" s="549"/>
      <c r="H106" s="549"/>
      <c r="I106" s="549"/>
      <c r="J106" s="549"/>
      <c r="K106" s="549"/>
      <c r="L106" s="549"/>
      <c r="M106" s="549"/>
      <c r="N106" s="549"/>
      <c r="O106" s="549"/>
      <c r="P106" s="549"/>
      <c r="Q106" s="549"/>
      <c r="R106" s="549"/>
      <c r="S106" s="549"/>
    </row>
    <row r="107" spans="2:19" x14ac:dyDescent="0.25">
      <c r="C107" s="549"/>
      <c r="D107" s="549"/>
      <c r="E107" s="549"/>
      <c r="F107" s="549"/>
      <c r="G107" s="549"/>
      <c r="H107" s="549"/>
      <c r="I107" s="549"/>
      <c r="J107" s="549"/>
      <c r="K107" s="549"/>
      <c r="L107" s="549"/>
      <c r="M107" s="549"/>
      <c r="N107" s="549"/>
      <c r="O107" s="549"/>
      <c r="P107" s="549"/>
      <c r="Q107" s="549"/>
      <c r="R107" s="549"/>
      <c r="S107" s="549"/>
    </row>
    <row r="108" spans="2:19" x14ac:dyDescent="0.25">
      <c r="C108" s="549"/>
      <c r="D108" s="549"/>
      <c r="E108" s="549"/>
      <c r="F108" s="549"/>
      <c r="G108" s="549"/>
      <c r="H108" s="549"/>
      <c r="I108" s="549"/>
      <c r="M108" s="549"/>
      <c r="N108" s="549"/>
      <c r="O108" s="549"/>
      <c r="P108" s="549"/>
      <c r="Q108" s="549"/>
      <c r="R108" s="549"/>
      <c r="S108" s="549"/>
    </row>
    <row r="109" spans="2:19" x14ac:dyDescent="0.25">
      <c r="B109" s="308"/>
      <c r="C109" s="549"/>
      <c r="D109" s="549"/>
      <c r="E109" s="549"/>
      <c r="F109" s="549"/>
      <c r="G109" s="549"/>
      <c r="H109" s="549"/>
      <c r="I109" s="549"/>
      <c r="J109" s="549"/>
      <c r="K109" s="549"/>
      <c r="L109" s="549"/>
      <c r="M109" s="549"/>
      <c r="N109" s="549"/>
      <c r="O109" s="549"/>
      <c r="P109" s="549"/>
      <c r="Q109" s="549"/>
      <c r="R109" s="549"/>
      <c r="S109" s="549"/>
    </row>
    <row r="110" spans="2:19" x14ac:dyDescent="0.25">
      <c r="B110" s="308"/>
      <c r="C110" s="549"/>
      <c r="D110" s="549"/>
      <c r="E110" s="549"/>
      <c r="F110" s="549"/>
      <c r="G110" s="549"/>
      <c r="H110" s="549"/>
      <c r="I110" s="549"/>
      <c r="J110" s="549"/>
      <c r="K110" s="549"/>
      <c r="L110" s="549"/>
      <c r="M110" s="549"/>
      <c r="N110" s="549"/>
      <c r="O110" s="549"/>
      <c r="P110" s="549"/>
      <c r="Q110" s="549"/>
      <c r="R110" s="549"/>
      <c r="S110" s="549"/>
    </row>
    <row r="111" spans="2:19" x14ac:dyDescent="0.25">
      <c r="B111" s="308"/>
      <c r="C111" s="549"/>
      <c r="D111" s="549"/>
      <c r="E111" s="549"/>
      <c r="F111" s="549"/>
      <c r="G111" s="549"/>
      <c r="H111" s="549"/>
      <c r="I111" s="549"/>
      <c r="J111" s="549"/>
      <c r="K111" s="549"/>
      <c r="L111" s="549"/>
      <c r="M111" s="549"/>
      <c r="N111" s="549"/>
      <c r="O111" s="549"/>
      <c r="P111" s="549"/>
      <c r="Q111" s="549"/>
      <c r="R111" s="549"/>
      <c r="S111" s="549"/>
    </row>
    <row r="112" spans="2:19" x14ac:dyDescent="0.25">
      <c r="B112" s="308"/>
      <c r="C112" s="549"/>
      <c r="D112" s="549"/>
      <c r="E112" s="549"/>
      <c r="F112" s="549"/>
      <c r="G112" s="549"/>
      <c r="H112" s="549"/>
      <c r="I112" s="549"/>
      <c r="J112" s="549"/>
      <c r="K112" s="549"/>
      <c r="L112" s="549"/>
      <c r="M112" s="549"/>
      <c r="N112" s="549"/>
      <c r="O112" s="549"/>
      <c r="P112" s="549"/>
      <c r="Q112" s="549"/>
      <c r="R112" s="549"/>
      <c r="S112" s="549"/>
    </row>
    <row r="113" spans="2:19" x14ac:dyDescent="0.25">
      <c r="B113" s="308"/>
      <c r="C113" s="549"/>
      <c r="D113" s="549"/>
      <c r="E113" s="549"/>
      <c r="F113" s="549"/>
      <c r="G113" s="549"/>
      <c r="H113" s="549"/>
      <c r="I113" s="549"/>
      <c r="J113" s="549"/>
      <c r="K113" s="549"/>
      <c r="L113" s="549"/>
      <c r="M113" s="549"/>
      <c r="N113" s="549"/>
      <c r="O113" s="549"/>
      <c r="P113" s="549"/>
      <c r="Q113" s="549"/>
      <c r="R113" s="549"/>
      <c r="S113" s="549"/>
    </row>
    <row r="114" spans="2:19" x14ac:dyDescent="0.25">
      <c r="B114" s="308"/>
      <c r="C114" s="549"/>
      <c r="D114" s="549"/>
      <c r="E114" s="549"/>
      <c r="F114" s="549"/>
      <c r="G114" s="549"/>
      <c r="H114" s="549"/>
      <c r="I114" s="549"/>
      <c r="J114" s="549"/>
      <c r="K114" s="549"/>
      <c r="L114" s="549"/>
      <c r="M114" s="549"/>
      <c r="N114" s="549"/>
      <c r="O114" s="549"/>
      <c r="P114" s="549"/>
      <c r="Q114" s="549"/>
      <c r="R114" s="549"/>
      <c r="S114" s="549"/>
    </row>
    <row r="115" spans="2:19" x14ac:dyDescent="0.25">
      <c r="B115" s="308"/>
      <c r="C115" s="549"/>
      <c r="D115" s="549"/>
      <c r="E115" s="549"/>
      <c r="F115" s="549"/>
      <c r="G115" s="549"/>
      <c r="H115" s="549"/>
      <c r="I115" s="549"/>
      <c r="J115" s="549"/>
      <c r="K115" s="549"/>
      <c r="L115" s="549"/>
      <c r="M115" s="549"/>
      <c r="N115" s="549"/>
      <c r="O115" s="549"/>
      <c r="P115" s="549"/>
      <c r="Q115" s="549"/>
      <c r="R115" s="549"/>
      <c r="S115" s="549"/>
    </row>
    <row r="116" spans="2:19" x14ac:dyDescent="0.25">
      <c r="B116" s="308"/>
      <c r="C116" s="549"/>
      <c r="D116" s="549"/>
      <c r="E116" s="549"/>
      <c r="F116" s="549"/>
      <c r="G116" s="549"/>
      <c r="H116" s="549"/>
      <c r="I116" s="549"/>
      <c r="J116" s="549"/>
      <c r="K116" s="549"/>
      <c r="L116" s="549"/>
      <c r="M116" s="549"/>
      <c r="N116" s="549"/>
      <c r="O116" s="549"/>
      <c r="P116" s="549"/>
      <c r="Q116" s="549"/>
      <c r="R116" s="549"/>
      <c r="S116" s="549"/>
    </row>
    <row r="117" spans="2:19" x14ac:dyDescent="0.25">
      <c r="B117" s="308"/>
      <c r="C117" s="549"/>
      <c r="D117" s="549"/>
      <c r="E117" s="549"/>
      <c r="F117" s="549"/>
      <c r="G117" s="549"/>
      <c r="H117" s="549"/>
      <c r="I117" s="549"/>
      <c r="J117" s="549"/>
      <c r="K117" s="549"/>
      <c r="L117" s="549"/>
      <c r="M117" s="549"/>
      <c r="N117" s="549"/>
      <c r="O117" s="549"/>
      <c r="P117" s="549"/>
      <c r="Q117" s="549"/>
      <c r="R117" s="549"/>
      <c r="S117" s="549"/>
    </row>
    <row r="118" spans="2:19" x14ac:dyDescent="0.25">
      <c r="B118" s="308"/>
      <c r="C118" s="549"/>
      <c r="D118" s="549"/>
      <c r="E118" s="549"/>
      <c r="F118" s="549"/>
      <c r="G118" s="549"/>
      <c r="H118" s="549"/>
      <c r="I118" s="549"/>
      <c r="J118" s="549"/>
      <c r="K118" s="549"/>
      <c r="L118" s="549"/>
      <c r="M118" s="549"/>
      <c r="N118" s="549"/>
      <c r="O118" s="549"/>
      <c r="P118" s="549"/>
      <c r="Q118" s="549"/>
      <c r="R118" s="549"/>
      <c r="S118" s="549"/>
    </row>
    <row r="119" spans="2:19" x14ac:dyDescent="0.25">
      <c r="B119" s="308"/>
      <c r="C119" s="549"/>
      <c r="D119" s="549"/>
      <c r="E119" s="549"/>
      <c r="F119" s="549"/>
      <c r="G119" s="549"/>
      <c r="H119" s="549"/>
      <c r="I119" s="549"/>
      <c r="J119" s="549"/>
      <c r="K119" s="549"/>
      <c r="L119" s="549"/>
      <c r="M119" s="549"/>
      <c r="N119" s="549"/>
      <c r="O119" s="549"/>
      <c r="P119" s="549"/>
      <c r="Q119" s="549"/>
      <c r="R119" s="549"/>
      <c r="S119" s="549"/>
    </row>
    <row r="120" spans="2:19" x14ac:dyDescent="0.25">
      <c r="B120" s="308"/>
      <c r="C120" s="549"/>
      <c r="D120" s="549"/>
      <c r="E120" s="549"/>
      <c r="F120" s="549"/>
      <c r="G120" s="549"/>
      <c r="H120" s="549"/>
      <c r="I120" s="549"/>
      <c r="J120" s="549"/>
      <c r="K120" s="549"/>
      <c r="L120" s="549"/>
      <c r="M120" s="549"/>
      <c r="N120" s="549"/>
      <c r="O120" s="549"/>
      <c r="P120" s="549"/>
      <c r="Q120" s="549"/>
      <c r="R120" s="549"/>
      <c r="S120" s="549"/>
    </row>
    <row r="121" spans="2:19" x14ac:dyDescent="0.3">
      <c r="D121" s="349"/>
      <c r="E121" s="354"/>
      <c r="F121" s="349"/>
      <c r="G121" s="349"/>
      <c r="H121" s="349"/>
      <c r="I121" s="350"/>
      <c r="J121" s="350"/>
    </row>
    <row r="122" spans="2:19" ht="15.75" customHeight="1" x14ac:dyDescent="0.3">
      <c r="C122" s="575"/>
      <c r="D122" s="575"/>
      <c r="E122" s="575"/>
      <c r="F122" s="575"/>
      <c r="G122" s="282"/>
      <c r="H122" s="282"/>
      <c r="I122" s="350"/>
      <c r="J122" s="350"/>
    </row>
    <row r="123" spans="2:19" x14ac:dyDescent="0.25">
      <c r="C123" s="576"/>
      <c r="D123" s="339"/>
      <c r="E123" s="577"/>
      <c r="F123" s="577"/>
      <c r="G123" s="578"/>
      <c r="H123" s="579"/>
      <c r="I123" s="350"/>
      <c r="J123" s="350"/>
    </row>
    <row r="124" spans="2:19" x14ac:dyDescent="0.25">
      <c r="C124" s="576"/>
      <c r="D124" s="339"/>
      <c r="E124" s="577"/>
      <c r="F124" s="577"/>
      <c r="G124" s="578"/>
      <c r="H124" s="579"/>
      <c r="I124" s="350"/>
      <c r="J124" s="350"/>
    </row>
    <row r="125" spans="2:19" x14ac:dyDescent="0.25">
      <c r="C125" s="576"/>
      <c r="D125" s="339"/>
      <c r="E125" s="577"/>
      <c r="F125" s="577"/>
      <c r="G125" s="578"/>
      <c r="H125" s="579"/>
      <c r="I125" s="350"/>
      <c r="J125" s="350"/>
    </row>
    <row r="126" spans="2:19" x14ac:dyDescent="0.25">
      <c r="C126" s="576"/>
      <c r="D126" s="339"/>
      <c r="E126" s="577"/>
      <c r="F126" s="577"/>
      <c r="G126" s="578"/>
      <c r="H126" s="579"/>
      <c r="I126" s="350"/>
      <c r="J126" s="350"/>
    </row>
    <row r="127" spans="2:19" x14ac:dyDescent="0.25">
      <c r="C127" s="576"/>
      <c r="D127" s="339"/>
      <c r="E127" s="577"/>
      <c r="F127" s="577"/>
      <c r="G127" s="578"/>
      <c r="H127" s="579"/>
      <c r="I127" s="350"/>
      <c r="J127" s="350"/>
    </row>
    <row r="128" spans="2:19" x14ac:dyDescent="0.25">
      <c r="C128" s="576"/>
      <c r="D128" s="339"/>
      <c r="E128" s="577"/>
      <c r="F128" s="577"/>
      <c r="G128" s="578"/>
      <c r="H128" s="579"/>
      <c r="I128" s="350"/>
      <c r="J128" s="350"/>
    </row>
    <row r="129" spans="3:22" x14ac:dyDescent="0.25">
      <c r="C129" s="576"/>
      <c r="D129" s="339"/>
      <c r="E129" s="577"/>
      <c r="F129" s="577"/>
      <c r="G129" s="578"/>
      <c r="H129" s="579"/>
      <c r="J129" s="350"/>
    </row>
    <row r="130" spans="3:22" x14ac:dyDescent="0.25">
      <c r="C130" s="576"/>
      <c r="D130" s="339"/>
      <c r="E130" s="577"/>
      <c r="F130" s="577"/>
      <c r="G130" s="578"/>
      <c r="H130" s="579"/>
    </row>
    <row r="131" spans="3:22" x14ac:dyDescent="0.25">
      <c r="C131" s="576"/>
      <c r="D131" s="339"/>
      <c r="E131" s="577"/>
      <c r="F131" s="577"/>
      <c r="G131" s="578"/>
      <c r="H131" s="579"/>
    </row>
    <row r="132" spans="3:22" x14ac:dyDescent="0.25">
      <c r="C132" s="282"/>
      <c r="D132" s="339"/>
      <c r="E132" s="577"/>
      <c r="F132" s="577"/>
      <c r="G132" s="578"/>
      <c r="H132" s="579"/>
    </row>
    <row r="133" spans="3:22" x14ac:dyDescent="0.25">
      <c r="C133" s="282"/>
      <c r="D133" s="339"/>
      <c r="E133" s="577"/>
      <c r="F133" s="577"/>
      <c r="G133" s="578"/>
      <c r="H133" s="579"/>
    </row>
    <row r="134" spans="3:22" x14ac:dyDescent="0.25">
      <c r="C134" s="282"/>
      <c r="D134" s="339"/>
      <c r="E134" s="577"/>
      <c r="F134" s="577"/>
      <c r="G134" s="578"/>
      <c r="H134" s="579"/>
    </row>
    <row r="135" spans="3:22" x14ac:dyDescent="0.25">
      <c r="C135" s="282"/>
      <c r="D135" s="339"/>
      <c r="E135" s="577"/>
      <c r="F135" s="577"/>
      <c r="G135" s="578"/>
      <c r="H135" s="579"/>
    </row>
    <row r="136" spans="3:22" x14ac:dyDescent="0.25">
      <c r="C136" s="396" t="s">
        <v>10</v>
      </c>
      <c r="D136" s="397" t="s">
        <v>905</v>
      </c>
      <c r="E136" s="397" t="s">
        <v>906</v>
      </c>
      <c r="F136" s="397" t="s">
        <v>907</v>
      </c>
      <c r="G136" s="398" t="s">
        <v>908</v>
      </c>
      <c r="I136" s="580"/>
    </row>
    <row r="137" spans="3:22" x14ac:dyDescent="0.25">
      <c r="C137" s="338">
        <v>0</v>
      </c>
      <c r="D137" s="581">
        <v>0.39800000000000002</v>
      </c>
      <c r="E137" s="282">
        <v>0.13900000000000001</v>
      </c>
      <c r="F137" s="278">
        <v>0.153</v>
      </c>
      <c r="G137" s="582">
        <v>0.56000000000000005</v>
      </c>
      <c r="I137" s="583"/>
    </row>
    <row r="138" spans="3:22" x14ac:dyDescent="0.25">
      <c r="C138" s="338">
        <f t="shared" ref="C138:C145" si="4">C137+0.1</f>
        <v>0.1</v>
      </c>
      <c r="D138" s="581">
        <f t="shared" ref="D138:D145" si="5">D$137</f>
        <v>0.39800000000000002</v>
      </c>
      <c r="E138" s="282">
        <f t="shared" ref="E138:G145" si="6">E137</f>
        <v>0.13900000000000001</v>
      </c>
      <c r="F138" s="278">
        <f t="shared" si="6"/>
        <v>0.153</v>
      </c>
      <c r="G138" s="582">
        <f t="shared" si="6"/>
        <v>0.56000000000000005</v>
      </c>
      <c r="I138" s="583"/>
    </row>
    <row r="139" spans="3:22" x14ac:dyDescent="0.25">
      <c r="C139" s="338">
        <f t="shared" si="4"/>
        <v>0.2</v>
      </c>
      <c r="D139" s="581">
        <f t="shared" si="5"/>
        <v>0.39800000000000002</v>
      </c>
      <c r="E139" s="282">
        <f t="shared" si="6"/>
        <v>0.13900000000000001</v>
      </c>
      <c r="F139" s="278">
        <f t="shared" si="6"/>
        <v>0.153</v>
      </c>
      <c r="G139" s="582">
        <f t="shared" si="6"/>
        <v>0.56000000000000005</v>
      </c>
      <c r="I139" s="583"/>
    </row>
    <row r="140" spans="3:22" x14ac:dyDescent="0.25">
      <c r="C140" s="338">
        <f t="shared" si="4"/>
        <v>0.30000000000000004</v>
      </c>
      <c r="D140" s="581">
        <f t="shared" si="5"/>
        <v>0.39800000000000002</v>
      </c>
      <c r="E140" s="282">
        <f t="shared" si="6"/>
        <v>0.13900000000000001</v>
      </c>
      <c r="F140" s="278">
        <f t="shared" si="6"/>
        <v>0.153</v>
      </c>
      <c r="G140" s="582">
        <f t="shared" si="6"/>
        <v>0.56000000000000005</v>
      </c>
      <c r="I140" s="583"/>
    </row>
    <row r="141" spans="3:22" x14ac:dyDescent="0.25">
      <c r="C141" s="338">
        <f t="shared" si="4"/>
        <v>0.4</v>
      </c>
      <c r="D141" s="581">
        <f t="shared" si="5"/>
        <v>0.39800000000000002</v>
      </c>
      <c r="E141" s="282">
        <f t="shared" si="6"/>
        <v>0.13900000000000001</v>
      </c>
      <c r="F141" s="278">
        <f t="shared" si="6"/>
        <v>0.153</v>
      </c>
      <c r="G141" s="582">
        <f t="shared" si="6"/>
        <v>0.56000000000000005</v>
      </c>
      <c r="I141" s="583"/>
    </row>
    <row r="142" spans="3:22" x14ac:dyDescent="0.25">
      <c r="C142" s="338">
        <f t="shared" si="4"/>
        <v>0.5</v>
      </c>
      <c r="D142" s="581">
        <f t="shared" si="5"/>
        <v>0.39800000000000002</v>
      </c>
      <c r="E142" s="282">
        <f t="shared" si="6"/>
        <v>0.13900000000000001</v>
      </c>
      <c r="F142" s="278">
        <f t="shared" si="6"/>
        <v>0.153</v>
      </c>
      <c r="G142" s="582">
        <f t="shared" si="6"/>
        <v>0.56000000000000005</v>
      </c>
      <c r="I142" s="583"/>
    </row>
    <row r="143" spans="3:22" x14ac:dyDescent="0.25">
      <c r="C143" s="338">
        <f t="shared" si="4"/>
        <v>0.6</v>
      </c>
      <c r="D143" s="581">
        <f t="shared" si="5"/>
        <v>0.39800000000000002</v>
      </c>
      <c r="E143" s="282">
        <f t="shared" si="6"/>
        <v>0.13900000000000001</v>
      </c>
      <c r="F143" s="278">
        <f t="shared" si="6"/>
        <v>0.153</v>
      </c>
      <c r="G143" s="582">
        <f t="shared" si="6"/>
        <v>0.56000000000000005</v>
      </c>
      <c r="I143" s="583"/>
    </row>
    <row r="144" spans="3:22" x14ac:dyDescent="0.25">
      <c r="C144" s="338">
        <f t="shared" si="4"/>
        <v>0.7</v>
      </c>
      <c r="D144" s="581">
        <f t="shared" si="5"/>
        <v>0.39800000000000002</v>
      </c>
      <c r="E144" s="282">
        <f t="shared" si="6"/>
        <v>0.13900000000000001</v>
      </c>
      <c r="F144" s="278">
        <f t="shared" si="6"/>
        <v>0.153</v>
      </c>
      <c r="G144" s="582">
        <f t="shared" si="6"/>
        <v>0.56000000000000005</v>
      </c>
      <c r="I144" s="583"/>
      <c r="Q144" s="282"/>
      <c r="R144" s="339"/>
      <c r="S144" s="577"/>
      <c r="T144" s="577"/>
      <c r="U144" s="578"/>
      <c r="V144" s="579"/>
    </row>
    <row r="145" spans="3:22" x14ac:dyDescent="0.25">
      <c r="C145" s="584">
        <f t="shared" si="4"/>
        <v>0.79999999999999993</v>
      </c>
      <c r="D145" s="581">
        <f t="shared" si="5"/>
        <v>0.39800000000000002</v>
      </c>
      <c r="E145" s="282">
        <f t="shared" si="6"/>
        <v>0.13900000000000001</v>
      </c>
      <c r="F145" s="278">
        <f t="shared" si="6"/>
        <v>0.153</v>
      </c>
      <c r="G145" s="582">
        <f t="shared" si="6"/>
        <v>0.56000000000000005</v>
      </c>
      <c r="I145" s="583"/>
      <c r="Q145" s="396" t="s">
        <v>10</v>
      </c>
      <c r="R145" s="397" t="s">
        <v>905</v>
      </c>
      <c r="S145" s="397" t="s">
        <v>906</v>
      </c>
      <c r="T145" s="397" t="s">
        <v>907</v>
      </c>
      <c r="U145" s="398" t="s">
        <v>908</v>
      </c>
    </row>
    <row r="146" spans="3:22" x14ac:dyDescent="0.25">
      <c r="C146" s="282"/>
      <c r="D146" s="339"/>
      <c r="E146" s="577"/>
      <c r="F146" s="577"/>
      <c r="G146" s="578"/>
      <c r="H146" s="579"/>
      <c r="Q146" s="338">
        <v>0</v>
      </c>
      <c r="R146" s="585">
        <v>0.42</v>
      </c>
      <c r="S146" s="282">
        <v>0.14499999999999999</v>
      </c>
      <c r="T146" s="282">
        <v>0.16900000000000001</v>
      </c>
      <c r="U146" s="582">
        <v>0.5645</v>
      </c>
    </row>
    <row r="147" spans="3:22" x14ac:dyDescent="0.25">
      <c r="C147" s="282"/>
      <c r="D147" s="339"/>
      <c r="E147" s="577"/>
      <c r="F147" s="577"/>
      <c r="G147" s="578"/>
      <c r="H147" s="579"/>
      <c r="Q147" s="338">
        <f t="shared" ref="Q147:Q154" si="7">Q146+0.1</f>
        <v>0.1</v>
      </c>
      <c r="R147" s="585">
        <v>0.42</v>
      </c>
      <c r="S147" s="282">
        <v>0.14499999999999999</v>
      </c>
      <c r="T147" s="282">
        <v>0.16900000000000001</v>
      </c>
      <c r="U147" s="582">
        <v>0.5645</v>
      </c>
    </row>
    <row r="148" spans="3:22" x14ac:dyDescent="0.25">
      <c r="C148" s="282"/>
      <c r="D148" s="339"/>
      <c r="E148" s="577"/>
      <c r="F148" s="577"/>
      <c r="G148" s="578"/>
      <c r="H148" s="579"/>
      <c r="Q148" s="338">
        <f t="shared" si="7"/>
        <v>0.2</v>
      </c>
      <c r="R148" s="585">
        <v>0.42</v>
      </c>
      <c r="S148" s="282">
        <v>0.14499999999999999</v>
      </c>
      <c r="T148" s="282">
        <v>0.16900000000000001</v>
      </c>
      <c r="U148" s="582">
        <v>0.5645</v>
      </c>
    </row>
    <row r="149" spans="3:22" x14ac:dyDescent="0.25">
      <c r="C149" s="282"/>
      <c r="D149" s="339"/>
      <c r="E149" s="577"/>
      <c r="F149" s="577"/>
      <c r="G149" s="578"/>
      <c r="H149" s="579"/>
      <c r="Q149" s="338">
        <f t="shared" si="7"/>
        <v>0.30000000000000004</v>
      </c>
      <c r="R149" s="585">
        <v>0.42</v>
      </c>
      <c r="S149" s="282">
        <v>0.14499999999999999</v>
      </c>
      <c r="T149" s="282">
        <v>0.16900000000000001</v>
      </c>
      <c r="U149" s="582">
        <v>0.5645</v>
      </c>
    </row>
    <row r="150" spans="3:22" x14ac:dyDescent="0.25">
      <c r="C150" s="282"/>
      <c r="D150" s="339"/>
      <c r="E150" s="577"/>
      <c r="F150" s="577"/>
      <c r="G150" s="578"/>
      <c r="H150" s="579"/>
      <c r="Q150" s="338">
        <f t="shared" si="7"/>
        <v>0.4</v>
      </c>
      <c r="R150" s="585">
        <v>0.42</v>
      </c>
      <c r="S150" s="282">
        <v>0.14499999999999999</v>
      </c>
      <c r="T150" s="282">
        <v>0.16900000000000001</v>
      </c>
      <c r="U150" s="582">
        <v>0.5645</v>
      </c>
    </row>
    <row r="151" spans="3:22" x14ac:dyDescent="0.25">
      <c r="C151" s="282"/>
      <c r="D151" s="339"/>
      <c r="E151" s="577"/>
      <c r="F151" s="577"/>
      <c r="G151" s="578"/>
      <c r="H151" s="579"/>
      <c r="Q151" s="338">
        <f t="shared" si="7"/>
        <v>0.5</v>
      </c>
      <c r="R151" s="585">
        <v>0.42</v>
      </c>
      <c r="S151" s="282">
        <v>0.14499999999999999</v>
      </c>
      <c r="T151" s="282">
        <v>0.16900000000000001</v>
      </c>
      <c r="U151" s="582">
        <v>0.5645</v>
      </c>
    </row>
    <row r="152" spans="3:22" x14ac:dyDescent="0.25">
      <c r="C152" s="282"/>
      <c r="D152" s="339"/>
      <c r="E152" s="577"/>
      <c r="F152" s="577"/>
      <c r="G152" s="578"/>
      <c r="H152" s="579"/>
      <c r="Q152" s="338">
        <f t="shared" si="7"/>
        <v>0.6</v>
      </c>
      <c r="R152" s="585">
        <v>0.42</v>
      </c>
      <c r="S152" s="282">
        <v>0.14499999999999999</v>
      </c>
      <c r="T152" s="282">
        <v>0.16900000000000001</v>
      </c>
      <c r="U152" s="582">
        <v>0.5645</v>
      </c>
    </row>
    <row r="153" spans="3:22" x14ac:dyDescent="0.25">
      <c r="C153" s="282"/>
      <c r="D153" s="339"/>
      <c r="E153" s="577"/>
      <c r="F153" s="577"/>
      <c r="G153" s="578"/>
      <c r="H153" s="579"/>
      <c r="Q153" s="338">
        <f t="shared" si="7"/>
        <v>0.7</v>
      </c>
      <c r="R153" s="585">
        <v>0.42</v>
      </c>
      <c r="S153" s="282">
        <v>0.14499999999999999</v>
      </c>
      <c r="T153" s="282">
        <v>0.16900000000000001</v>
      </c>
      <c r="U153" s="582">
        <v>0.5645</v>
      </c>
    </row>
    <row r="154" spans="3:22" x14ac:dyDescent="0.25">
      <c r="C154" s="282"/>
      <c r="D154" s="339"/>
      <c r="E154" s="577"/>
      <c r="F154" s="577"/>
      <c r="G154" s="578"/>
      <c r="H154" s="579"/>
      <c r="Q154" s="584">
        <f t="shared" si="7"/>
        <v>0.79999999999999993</v>
      </c>
      <c r="R154" s="586">
        <v>0.42</v>
      </c>
      <c r="S154" s="344">
        <v>0.14499999999999999</v>
      </c>
      <c r="T154" s="344">
        <v>0.16900000000000001</v>
      </c>
      <c r="U154" s="587">
        <v>0.5645</v>
      </c>
    </row>
    <row r="155" spans="3:22" x14ac:dyDescent="0.25">
      <c r="C155" s="282"/>
      <c r="D155" s="339"/>
      <c r="E155" s="577"/>
      <c r="F155" s="577"/>
      <c r="G155" s="578"/>
      <c r="H155" s="579"/>
      <c r="Q155" s="282"/>
      <c r="R155" s="339"/>
      <c r="S155" s="577"/>
      <c r="T155" s="577"/>
      <c r="U155" s="578"/>
      <c r="V155" s="579"/>
    </row>
    <row r="156" spans="3:22" x14ac:dyDescent="0.25">
      <c r="C156" s="282"/>
      <c r="D156" s="339"/>
      <c r="E156" s="577"/>
      <c r="F156" s="577"/>
      <c r="G156" s="578"/>
      <c r="H156" s="579"/>
    </row>
    <row r="157" spans="3:22" x14ac:dyDescent="0.25">
      <c r="C157" s="282"/>
      <c r="D157" s="339"/>
      <c r="E157" s="577"/>
      <c r="F157" s="577"/>
      <c r="G157" s="578"/>
      <c r="H157" s="579"/>
    </row>
    <row r="158" spans="3:22" x14ac:dyDescent="0.25">
      <c r="C158" s="282"/>
      <c r="D158" s="339"/>
      <c r="E158" s="577"/>
      <c r="F158" s="577"/>
      <c r="G158" s="578"/>
      <c r="H158" s="579"/>
    </row>
    <row r="159" spans="3:22" x14ac:dyDescent="0.25">
      <c r="C159" s="282"/>
      <c r="D159" s="339"/>
      <c r="E159" s="577"/>
      <c r="F159" s="577"/>
      <c r="G159" s="578"/>
      <c r="H159" s="579"/>
    </row>
    <row r="160" spans="3:22" x14ac:dyDescent="0.25">
      <c r="C160" s="282"/>
      <c r="D160" s="339"/>
      <c r="E160" s="577"/>
      <c r="F160" s="577"/>
      <c r="G160" s="578"/>
      <c r="H160" s="579"/>
    </row>
    <row r="161" spans="2:19" x14ac:dyDescent="0.25">
      <c r="C161" s="308"/>
      <c r="D161" s="339"/>
      <c r="E161" s="339"/>
      <c r="F161" s="339"/>
      <c r="G161" s="588"/>
      <c r="H161" s="269"/>
    </row>
    <row r="162" spans="2:19" x14ac:dyDescent="0.25">
      <c r="C162" s="308"/>
      <c r="D162" s="339"/>
      <c r="E162" s="339"/>
      <c r="F162" s="339"/>
      <c r="G162" s="588"/>
      <c r="H162" s="269"/>
    </row>
    <row r="163" spans="2:19" x14ac:dyDescent="0.25">
      <c r="C163" s="589" t="s">
        <v>10</v>
      </c>
      <c r="D163" s="590" t="s">
        <v>905</v>
      </c>
      <c r="E163" s="590" t="s">
        <v>906</v>
      </c>
      <c r="F163" s="590" t="s">
        <v>907</v>
      </c>
      <c r="G163" s="591" t="s">
        <v>908</v>
      </c>
      <c r="H163" s="269"/>
    </row>
    <row r="164" spans="2:19" x14ac:dyDescent="0.25">
      <c r="C164" s="592">
        <v>0</v>
      </c>
      <c r="D164" s="593">
        <v>0.38500000000000001</v>
      </c>
      <c r="E164" s="387">
        <v>0.14299999999999999</v>
      </c>
      <c r="F164" s="387">
        <v>0.1575</v>
      </c>
      <c r="G164" s="594">
        <v>0.54800000000000004</v>
      </c>
      <c r="H164" s="269"/>
    </row>
    <row r="165" spans="2:19" x14ac:dyDescent="0.25">
      <c r="C165" s="592">
        <f t="shared" ref="C165:C172" si="8">C164+0.1</f>
        <v>0.1</v>
      </c>
      <c r="D165" s="593">
        <f t="shared" ref="D165:G172" si="9">D164</f>
        <v>0.38500000000000001</v>
      </c>
      <c r="E165" s="387">
        <f t="shared" si="9"/>
        <v>0.14299999999999999</v>
      </c>
      <c r="F165" s="387">
        <f t="shared" si="9"/>
        <v>0.1575</v>
      </c>
      <c r="G165" s="594">
        <f t="shared" si="9"/>
        <v>0.54800000000000004</v>
      </c>
    </row>
    <row r="166" spans="2:19" x14ac:dyDescent="0.25">
      <c r="B166" s="308"/>
      <c r="C166" s="592">
        <f t="shared" si="8"/>
        <v>0.2</v>
      </c>
      <c r="D166" s="593">
        <f t="shared" si="9"/>
        <v>0.38500000000000001</v>
      </c>
      <c r="E166" s="387">
        <f t="shared" si="9"/>
        <v>0.14299999999999999</v>
      </c>
      <c r="F166" s="387">
        <f t="shared" si="9"/>
        <v>0.1575</v>
      </c>
      <c r="G166" s="594">
        <f t="shared" si="9"/>
        <v>0.54800000000000004</v>
      </c>
      <c r="J166" s="549">
        <f>100/39.51</f>
        <v>2.5310048089091373</v>
      </c>
      <c r="K166" s="549">
        <v>29.4</v>
      </c>
      <c r="L166" s="549">
        <f>J166*K166</f>
        <v>74.411541381928629</v>
      </c>
      <c r="O166" s="589" t="s">
        <v>10</v>
      </c>
      <c r="P166" s="590" t="s">
        <v>905</v>
      </c>
      <c r="Q166" s="590" t="s">
        <v>906</v>
      </c>
      <c r="R166" s="590" t="s">
        <v>907</v>
      </c>
      <c r="S166" s="591" t="s">
        <v>908</v>
      </c>
    </row>
    <row r="167" spans="2:19" x14ac:dyDescent="0.25">
      <c r="C167" s="592">
        <f t="shared" si="8"/>
        <v>0.30000000000000004</v>
      </c>
      <c r="D167" s="593">
        <f t="shared" si="9"/>
        <v>0.38500000000000001</v>
      </c>
      <c r="E167" s="387">
        <f t="shared" si="9"/>
        <v>0.14299999999999999</v>
      </c>
      <c r="F167" s="387">
        <f t="shared" si="9"/>
        <v>0.1575</v>
      </c>
      <c r="G167" s="594">
        <f t="shared" si="9"/>
        <v>0.54800000000000004</v>
      </c>
      <c r="O167" s="592">
        <v>0</v>
      </c>
      <c r="P167" s="387">
        <v>0.4</v>
      </c>
      <c r="Q167" s="387">
        <v>0.155</v>
      </c>
      <c r="R167" s="387">
        <v>0.17399999999999999</v>
      </c>
      <c r="S167" s="594">
        <v>0.54600000000000004</v>
      </c>
    </row>
    <row r="168" spans="2:19" x14ac:dyDescent="0.25">
      <c r="C168" s="592">
        <f t="shared" si="8"/>
        <v>0.4</v>
      </c>
      <c r="D168" s="593">
        <f t="shared" si="9"/>
        <v>0.38500000000000001</v>
      </c>
      <c r="E168" s="387">
        <f t="shared" si="9"/>
        <v>0.14299999999999999</v>
      </c>
      <c r="F168" s="387">
        <f t="shared" si="9"/>
        <v>0.1575</v>
      </c>
      <c r="G168" s="594">
        <f t="shared" si="9"/>
        <v>0.54800000000000004</v>
      </c>
      <c r="O168" s="592">
        <f t="shared" ref="O168:O175" si="10">O167+0.1</f>
        <v>0.1</v>
      </c>
      <c r="P168" s="387">
        <v>0.4</v>
      </c>
      <c r="Q168" s="387">
        <v>0.155</v>
      </c>
      <c r="R168" s="387">
        <v>0.17399999999999999</v>
      </c>
      <c r="S168" s="594">
        <v>0.54600000000000004</v>
      </c>
    </row>
    <row r="169" spans="2:19" x14ac:dyDescent="0.25">
      <c r="C169" s="592">
        <f t="shared" si="8"/>
        <v>0.5</v>
      </c>
      <c r="D169" s="593">
        <f t="shared" si="9"/>
        <v>0.38500000000000001</v>
      </c>
      <c r="E169" s="387">
        <f t="shared" si="9"/>
        <v>0.14299999999999999</v>
      </c>
      <c r="F169" s="387">
        <f t="shared" si="9"/>
        <v>0.1575</v>
      </c>
      <c r="G169" s="594">
        <f t="shared" si="9"/>
        <v>0.54800000000000004</v>
      </c>
      <c r="O169" s="592">
        <f t="shared" si="10"/>
        <v>0.2</v>
      </c>
      <c r="P169" s="387">
        <v>0.4</v>
      </c>
      <c r="Q169" s="387">
        <v>0.155</v>
      </c>
      <c r="R169" s="387">
        <v>0.17399999999999999</v>
      </c>
      <c r="S169" s="594">
        <v>0.54600000000000004</v>
      </c>
    </row>
    <row r="170" spans="2:19" x14ac:dyDescent="0.25">
      <c r="C170" s="592">
        <f t="shared" si="8"/>
        <v>0.6</v>
      </c>
      <c r="D170" s="593">
        <f t="shared" si="9"/>
        <v>0.38500000000000001</v>
      </c>
      <c r="E170" s="387">
        <f t="shared" si="9"/>
        <v>0.14299999999999999</v>
      </c>
      <c r="F170" s="387">
        <f t="shared" si="9"/>
        <v>0.1575</v>
      </c>
      <c r="G170" s="594">
        <f t="shared" si="9"/>
        <v>0.54800000000000004</v>
      </c>
      <c r="O170" s="592">
        <f t="shared" si="10"/>
        <v>0.30000000000000004</v>
      </c>
      <c r="P170" s="387">
        <v>0.4</v>
      </c>
      <c r="Q170" s="387">
        <v>0.155</v>
      </c>
      <c r="R170" s="387">
        <v>0.17399999999999999</v>
      </c>
      <c r="S170" s="594">
        <v>0.54600000000000004</v>
      </c>
    </row>
    <row r="171" spans="2:19" x14ac:dyDescent="0.25">
      <c r="C171" s="592">
        <f t="shared" si="8"/>
        <v>0.7</v>
      </c>
      <c r="D171" s="593">
        <f t="shared" si="9"/>
        <v>0.38500000000000001</v>
      </c>
      <c r="E171" s="387">
        <f t="shared" si="9"/>
        <v>0.14299999999999999</v>
      </c>
      <c r="F171" s="387">
        <f t="shared" si="9"/>
        <v>0.1575</v>
      </c>
      <c r="G171" s="594">
        <f t="shared" si="9"/>
        <v>0.54800000000000004</v>
      </c>
      <c r="H171" s="384"/>
      <c r="I171" s="384"/>
      <c r="J171" s="384"/>
      <c r="O171" s="592">
        <f t="shared" si="10"/>
        <v>0.4</v>
      </c>
      <c r="P171" s="387">
        <v>0.4</v>
      </c>
      <c r="Q171" s="387">
        <v>0.155</v>
      </c>
      <c r="R171" s="387">
        <v>0.17399999999999999</v>
      </c>
      <c r="S171" s="594">
        <v>0.54600000000000004</v>
      </c>
    </row>
    <row r="172" spans="2:19" x14ac:dyDescent="0.25">
      <c r="C172" s="595">
        <f t="shared" si="8"/>
        <v>0.79999999999999993</v>
      </c>
      <c r="D172" s="593">
        <f t="shared" si="9"/>
        <v>0.38500000000000001</v>
      </c>
      <c r="E172" s="387">
        <f t="shared" si="9"/>
        <v>0.14299999999999999</v>
      </c>
      <c r="F172" s="387">
        <f t="shared" si="9"/>
        <v>0.1575</v>
      </c>
      <c r="G172" s="594">
        <f t="shared" si="9"/>
        <v>0.54800000000000004</v>
      </c>
      <c r="H172" s="384"/>
      <c r="I172" s="384"/>
      <c r="J172" s="384"/>
      <c r="O172" s="592">
        <f t="shared" si="10"/>
        <v>0.5</v>
      </c>
      <c r="P172" s="387">
        <v>0.4</v>
      </c>
      <c r="Q172" s="387">
        <v>0.155</v>
      </c>
      <c r="R172" s="387">
        <v>0.17399999999999999</v>
      </c>
      <c r="S172" s="594">
        <v>0.54600000000000004</v>
      </c>
    </row>
    <row r="173" spans="2:19" x14ac:dyDescent="0.25">
      <c r="C173" s="386"/>
      <c r="D173" s="387"/>
      <c r="E173" s="284"/>
      <c r="F173" s="384"/>
      <c r="G173" s="384"/>
      <c r="H173" s="384"/>
      <c r="I173" s="384"/>
      <c r="J173" s="384"/>
      <c r="O173" s="592">
        <f t="shared" si="10"/>
        <v>0.6</v>
      </c>
      <c r="P173" s="387">
        <v>0.4</v>
      </c>
      <c r="Q173" s="387">
        <v>0.155</v>
      </c>
      <c r="R173" s="387">
        <v>0.17399999999999999</v>
      </c>
      <c r="S173" s="594">
        <v>0.54600000000000004</v>
      </c>
    </row>
    <row r="174" spans="2:19" x14ac:dyDescent="0.25">
      <c r="C174" s="390"/>
      <c r="D174" s="284"/>
      <c r="E174" s="284"/>
      <c r="F174" s="384"/>
      <c r="G174" s="384"/>
      <c r="H174" s="384"/>
      <c r="I174" s="384"/>
      <c r="J174" s="384"/>
      <c r="O174" s="592">
        <f t="shared" si="10"/>
        <v>0.7</v>
      </c>
      <c r="P174" s="387">
        <v>0.4</v>
      </c>
      <c r="Q174" s="387">
        <v>0.155</v>
      </c>
      <c r="R174" s="387">
        <v>0.17399999999999999</v>
      </c>
      <c r="S174" s="594">
        <v>0.54600000000000004</v>
      </c>
    </row>
    <row r="175" spans="2:19" x14ac:dyDescent="0.25">
      <c r="C175" s="390"/>
      <c r="D175" s="284"/>
      <c r="E175" s="284"/>
      <c r="F175" s="384"/>
      <c r="G175" s="384"/>
      <c r="H175" s="384"/>
      <c r="I175" s="384"/>
      <c r="J175" s="384"/>
      <c r="O175" s="595">
        <f t="shared" si="10"/>
        <v>0.79999999999999993</v>
      </c>
      <c r="P175" s="596">
        <v>0.4</v>
      </c>
      <c r="Q175" s="387">
        <v>0.155</v>
      </c>
      <c r="R175" s="596">
        <v>0.17399999999999999</v>
      </c>
      <c r="S175" s="597">
        <v>0.54600000000000004</v>
      </c>
    </row>
    <row r="176" spans="2:19" x14ac:dyDescent="0.25">
      <c r="C176" s="390"/>
      <c r="D176" s="284"/>
      <c r="E176" s="284"/>
    </row>
    <row r="177" spans="3:11" x14ac:dyDescent="0.25">
      <c r="C177" s="549" t="s">
        <v>909</v>
      </c>
      <c r="D177" s="549"/>
      <c r="E177" s="549"/>
      <c r="F177" s="549"/>
      <c r="G177" s="549"/>
    </row>
    <row r="178" spans="3:11" ht="12" customHeight="1" x14ac:dyDescent="0.25">
      <c r="C178" s="1291" t="s">
        <v>910</v>
      </c>
      <c r="D178" s="1291"/>
      <c r="E178" s="549"/>
      <c r="F178" s="1291" t="s">
        <v>911</v>
      </c>
      <c r="G178" s="1291"/>
    </row>
    <row r="179" spans="3:11" x14ac:dyDescent="0.25">
      <c r="C179" s="546" t="s">
        <v>871</v>
      </c>
      <c r="D179" s="599">
        <f>E137</f>
        <v>0.13900000000000001</v>
      </c>
      <c r="E179" s="549"/>
      <c r="F179" s="546" t="s">
        <v>871</v>
      </c>
      <c r="G179" s="600">
        <f>E164</f>
        <v>0.14299999999999999</v>
      </c>
    </row>
    <row r="180" spans="3:11" x14ac:dyDescent="0.25">
      <c r="C180" s="546" t="s">
        <v>875</v>
      </c>
      <c r="D180" s="599">
        <f>F137/10</f>
        <v>1.5299999999999999E-2</v>
      </c>
      <c r="E180" s="549"/>
      <c r="F180" s="546" t="s">
        <v>875</v>
      </c>
      <c r="G180" s="600">
        <f>F164/10</f>
        <v>1.575E-2</v>
      </c>
    </row>
    <row r="181" spans="3:11" x14ac:dyDescent="0.25">
      <c r="C181" s="546" t="s">
        <v>873</v>
      </c>
      <c r="D181" s="599">
        <f>D137</f>
        <v>0.39800000000000002</v>
      </c>
      <c r="E181" s="549"/>
      <c r="F181" s="546" t="s">
        <v>873</v>
      </c>
      <c r="G181" s="600">
        <f>D164</f>
        <v>0.38500000000000001</v>
      </c>
    </row>
    <row r="182" spans="3:11" x14ac:dyDescent="0.25">
      <c r="C182" s="546" t="s">
        <v>814</v>
      </c>
      <c r="D182" s="599">
        <f>G137</f>
        <v>0.56000000000000005</v>
      </c>
      <c r="E182" s="549"/>
      <c r="F182" s="546" t="s">
        <v>814</v>
      </c>
      <c r="G182" s="600">
        <f>G168</f>
        <v>0.54800000000000004</v>
      </c>
    </row>
    <row r="183" spans="3:11" ht="15.75" customHeight="1" x14ac:dyDescent="0.25">
      <c r="C183" s="600" t="s">
        <v>912</v>
      </c>
      <c r="D183" s="600"/>
      <c r="E183" s="600"/>
      <c r="F183" s="600"/>
      <c r="G183" s="600"/>
      <c r="H183" s="600"/>
      <c r="I183" s="600"/>
      <c r="J183" s="600"/>
      <c r="K183" s="549"/>
    </row>
    <row r="184" spans="3:11" x14ac:dyDescent="0.25">
      <c r="C184" s="600"/>
      <c r="D184" s="600"/>
      <c r="E184" s="600"/>
      <c r="F184" s="600"/>
      <c r="G184" s="600"/>
      <c r="H184" s="600"/>
      <c r="I184" s="600"/>
      <c r="J184" s="600"/>
      <c r="K184" s="549"/>
    </row>
    <row r="185" spans="3:11" ht="15.75" customHeight="1" x14ac:dyDescent="0.25">
      <c r="C185" s="1291" t="s">
        <v>910</v>
      </c>
      <c r="D185" s="1291"/>
      <c r="E185" s="601"/>
      <c r="F185" s="601"/>
      <c r="G185" s="601"/>
      <c r="H185" s="601"/>
      <c r="I185" s="601"/>
      <c r="J185" s="601"/>
      <c r="K185" s="549"/>
    </row>
    <row r="186" spans="3:11" x14ac:dyDescent="0.25">
      <c r="C186" s="602" t="s">
        <v>913</v>
      </c>
      <c r="D186" s="600" t="s">
        <v>914</v>
      </c>
      <c r="E186" s="600" t="s">
        <v>679</v>
      </c>
      <c r="F186" s="603">
        <f>'PROPELL (0.969)'!D220</f>
        <v>5.8440838399999997</v>
      </c>
      <c r="G186" s="549" t="s">
        <v>129</v>
      </c>
      <c r="H186" s="600"/>
    </row>
    <row r="187" spans="3:11" x14ac:dyDescent="0.25">
      <c r="C187" s="602" t="s">
        <v>10</v>
      </c>
      <c r="D187" s="604">
        <f>F186/(D181*D15)</f>
        <v>2.66741118176793</v>
      </c>
      <c r="E187" s="600" t="s">
        <v>779</v>
      </c>
      <c r="F187" s="600"/>
      <c r="G187" s="600"/>
      <c r="H187" s="600"/>
      <c r="I187" s="600"/>
      <c r="J187" s="600"/>
      <c r="K187" s="549"/>
    </row>
    <row r="188" spans="3:11" x14ac:dyDescent="0.25">
      <c r="C188" s="602" t="s">
        <v>10</v>
      </c>
      <c r="D188" s="605">
        <f>D187*60</f>
        <v>160.04467090607579</v>
      </c>
      <c r="E188" s="600" t="s">
        <v>622</v>
      </c>
      <c r="F188" s="600" t="s">
        <v>915</v>
      </c>
      <c r="G188" s="600"/>
      <c r="H188" s="605">
        <f>D188*F206</f>
        <v>705.79699869579429</v>
      </c>
      <c r="I188" s="600" t="s">
        <v>622</v>
      </c>
      <c r="J188" s="600"/>
      <c r="K188" s="549"/>
    </row>
    <row r="189" spans="3:11" x14ac:dyDescent="0.25">
      <c r="C189" s="602"/>
      <c r="D189" s="605"/>
      <c r="E189" s="600"/>
      <c r="F189" s="600"/>
      <c r="G189" s="600"/>
      <c r="H189" s="605"/>
      <c r="I189" s="600"/>
      <c r="J189" s="600"/>
      <c r="K189" s="549"/>
    </row>
    <row r="190" spans="3:11" x14ac:dyDescent="0.25">
      <c r="C190" s="576"/>
      <c r="D190" s="405"/>
      <c r="E190" s="405"/>
      <c r="F190" s="405"/>
      <c r="G190" s="606"/>
      <c r="H190" s="606"/>
      <c r="I190" s="607"/>
    </row>
    <row r="191" spans="3:11" ht="19.2" customHeight="1" x14ac:dyDescent="0.25">
      <c r="C191" s="1292" t="s">
        <v>916</v>
      </c>
      <c r="D191" s="1292"/>
      <c r="E191" s="600"/>
      <c r="F191" s="600"/>
      <c r="G191" s="600"/>
      <c r="H191" s="605"/>
      <c r="I191" s="600"/>
    </row>
    <row r="192" spans="3:11" x14ac:dyDescent="0.25">
      <c r="C192" s="602" t="s">
        <v>913</v>
      </c>
      <c r="D192" s="600" t="s">
        <v>914</v>
      </c>
      <c r="E192" s="600"/>
      <c r="F192" s="600"/>
      <c r="G192" s="600"/>
      <c r="H192" s="605"/>
      <c r="I192" s="600"/>
    </row>
    <row r="193" spans="3:13" ht="15.75" customHeight="1" x14ac:dyDescent="0.25">
      <c r="C193" s="602" t="s">
        <v>10</v>
      </c>
      <c r="D193" s="605">
        <f>F186/(G181*D15)</f>
        <v>2.7574796112821724</v>
      </c>
      <c r="E193" s="600" t="s">
        <v>779</v>
      </c>
      <c r="F193" s="600"/>
      <c r="G193" s="600"/>
      <c r="H193" s="605"/>
      <c r="I193" s="600"/>
      <c r="J193" s="308"/>
      <c r="K193" s="308"/>
      <c r="L193" s="308"/>
      <c r="M193" s="308"/>
    </row>
    <row r="194" spans="3:13" x14ac:dyDescent="0.25">
      <c r="C194" s="602" t="s">
        <v>10</v>
      </c>
      <c r="D194" s="605">
        <f>D193*60</f>
        <v>165.44877667693035</v>
      </c>
      <c r="E194" s="600" t="s">
        <v>622</v>
      </c>
      <c r="F194" s="600" t="s">
        <v>915</v>
      </c>
      <c r="G194" s="600"/>
      <c r="H194" s="605">
        <f>D194*4</f>
        <v>661.7951067077214</v>
      </c>
      <c r="I194" s="600" t="s">
        <v>622</v>
      </c>
    </row>
    <row r="195" spans="3:13" x14ac:dyDescent="0.25">
      <c r="C195" s="600"/>
      <c r="D195" s="600"/>
      <c r="E195" s="600"/>
      <c r="F195" s="600"/>
      <c r="G195" s="600"/>
      <c r="H195" s="600"/>
      <c r="I195" s="600"/>
    </row>
    <row r="196" spans="3:13" x14ac:dyDescent="0.25">
      <c r="C196" s="602" t="s">
        <v>917</v>
      </c>
      <c r="D196" s="600" t="s">
        <v>918</v>
      </c>
      <c r="E196" s="600"/>
      <c r="F196" s="602" t="s">
        <v>919</v>
      </c>
      <c r="G196" s="600" t="s">
        <v>920</v>
      </c>
      <c r="H196" s="600"/>
      <c r="I196" s="600"/>
    </row>
    <row r="197" spans="3:13" ht="13.2" x14ac:dyDescent="0.25">
      <c r="C197" s="602" t="s">
        <v>921</v>
      </c>
      <c r="D197" s="600" t="s">
        <v>922</v>
      </c>
      <c r="E197" s="600"/>
      <c r="F197" s="600"/>
      <c r="G197" s="600"/>
      <c r="H197" s="600"/>
      <c r="I197" s="600"/>
    </row>
    <row r="198" spans="3:13" x14ac:dyDescent="0.25">
      <c r="C198" s="602" t="s">
        <v>923</v>
      </c>
      <c r="D198" s="600" t="s">
        <v>924</v>
      </c>
      <c r="E198" s="600"/>
      <c r="F198" s="600"/>
      <c r="G198" s="600"/>
      <c r="H198" s="600"/>
      <c r="I198" s="600"/>
    </row>
    <row r="199" spans="3:13" x14ac:dyDescent="0.25">
      <c r="C199" s="602" t="s">
        <v>925</v>
      </c>
      <c r="D199" s="600" t="s">
        <v>926</v>
      </c>
      <c r="E199" s="600"/>
      <c r="F199" s="600"/>
      <c r="G199" s="600"/>
      <c r="H199" s="600"/>
      <c r="I199" s="600"/>
    </row>
    <row r="200" spans="3:13" x14ac:dyDescent="0.25">
      <c r="C200" s="600"/>
      <c r="D200" s="600"/>
      <c r="E200" s="600"/>
      <c r="F200" s="600"/>
      <c r="G200" s="600"/>
      <c r="H200" s="600"/>
      <c r="I200" s="600"/>
    </row>
    <row r="201" spans="3:13" ht="12" customHeight="1" x14ac:dyDescent="0.25">
      <c r="C201" s="1293" t="s">
        <v>927</v>
      </c>
      <c r="D201" s="1293"/>
      <c r="E201" s="1293"/>
      <c r="F201" s="1293"/>
      <c r="G201" s="1293"/>
      <c r="H201" s="1293"/>
      <c r="I201" s="1293"/>
      <c r="J201" s="1293"/>
      <c r="K201" s="549"/>
    </row>
    <row r="202" spans="3:13" x14ac:dyDescent="0.25">
      <c r="C202" s="1293"/>
      <c r="D202" s="1293"/>
      <c r="E202" s="1293"/>
      <c r="F202" s="1293"/>
      <c r="G202" s="1293"/>
      <c r="H202" s="1293"/>
      <c r="I202" s="1293"/>
      <c r="J202" s="1293"/>
      <c r="K202" s="549"/>
    </row>
    <row r="203" spans="3:13" x14ac:dyDescent="0.25">
      <c r="C203" s="1293"/>
      <c r="D203" s="1293"/>
      <c r="E203" s="1293"/>
      <c r="F203" s="1293"/>
      <c r="G203" s="1293"/>
      <c r="H203" s="1293"/>
      <c r="I203" s="1293"/>
      <c r="J203" s="1293"/>
      <c r="K203" s="549"/>
    </row>
    <row r="204" spans="3:13" ht="15.75" customHeight="1" x14ac:dyDescent="0.25">
      <c r="C204" s="1291" t="s">
        <v>928</v>
      </c>
      <c r="D204" s="1291"/>
      <c r="E204" s="608"/>
      <c r="F204" s="608"/>
      <c r="G204" s="608"/>
      <c r="H204" s="608"/>
      <c r="I204" s="608"/>
      <c r="J204" s="608"/>
      <c r="K204" s="549"/>
    </row>
    <row r="205" spans="3:13" ht="15.75" customHeight="1" x14ac:dyDescent="0.25">
      <c r="C205" s="598"/>
      <c r="D205" s="598"/>
      <c r="E205" s="608"/>
      <c r="F205" s="608"/>
      <c r="G205" s="608"/>
      <c r="H205" s="608"/>
      <c r="I205" s="608"/>
      <c r="J205" s="608"/>
      <c r="K205" s="549"/>
    </row>
    <row r="206" spans="3:13" ht="15.75" customHeight="1" x14ac:dyDescent="0.3">
      <c r="C206" s="1294" t="s">
        <v>929</v>
      </c>
      <c r="D206" s="1294"/>
      <c r="E206" s="1294"/>
      <c r="F206" s="609">
        <f>'PROPELL (0.969)'!D41</f>
        <v>4.41</v>
      </c>
      <c r="G206" s="609" t="s">
        <v>930</v>
      </c>
      <c r="H206" s="610">
        <v>3150</v>
      </c>
      <c r="I206" s="1295" t="s">
        <v>931</v>
      </c>
      <c r="J206" s="1295"/>
      <c r="K206" s="610">
        <v>720</v>
      </c>
    </row>
    <row r="207" spans="3:13" ht="15.75" customHeight="1" x14ac:dyDescent="0.3">
      <c r="C207" s="611" t="s">
        <v>932</v>
      </c>
      <c r="D207" s="611" t="s">
        <v>933</v>
      </c>
      <c r="E207" s="611" t="s">
        <v>933</v>
      </c>
      <c r="F207" s="1296" t="s">
        <v>934</v>
      </c>
      <c r="G207" s="611" t="s">
        <v>525</v>
      </c>
      <c r="H207" s="611" t="s">
        <v>935</v>
      </c>
      <c r="I207" s="611" t="s">
        <v>936</v>
      </c>
      <c r="J207" s="611" t="s">
        <v>937</v>
      </c>
      <c r="K207" s="611" t="s">
        <v>936</v>
      </c>
    </row>
    <row r="208" spans="3:13" ht="15.75" customHeight="1" x14ac:dyDescent="0.3">
      <c r="C208" s="611" t="s">
        <v>938</v>
      </c>
      <c r="D208" s="611" t="s">
        <v>938</v>
      </c>
      <c r="E208" s="611" t="s">
        <v>939</v>
      </c>
      <c r="F208" s="1296"/>
      <c r="G208" s="611" t="s">
        <v>940</v>
      </c>
      <c r="H208" s="611" t="s">
        <v>940</v>
      </c>
      <c r="I208" s="611" t="s">
        <v>940</v>
      </c>
      <c r="J208" s="611" t="s">
        <v>941</v>
      </c>
      <c r="K208" s="611" t="s">
        <v>941</v>
      </c>
    </row>
    <row r="209" spans="2:11" ht="15.75" customHeight="1" x14ac:dyDescent="0.3">
      <c r="C209" s="612">
        <v>50</v>
      </c>
      <c r="D209" s="613">
        <f t="shared" ref="D209:D223" si="11">C209/F$206</f>
        <v>11.337868480725623</v>
      </c>
      <c r="E209" s="613">
        <f t="shared" ref="E209:E223" si="12">D209/60</f>
        <v>0.18896447467876037</v>
      </c>
      <c r="F209" s="613">
        <f t="shared" ref="F209:F223" si="13">$D$180*1.025*($D$15^5)*E209^2</f>
        <v>2.8306919938796673</v>
      </c>
      <c r="G209" s="613">
        <f t="shared" ref="G209:G223" si="14">2*3.14*F209*E209</f>
        <v>3.3591734167733009</v>
      </c>
      <c r="H209" s="613">
        <f t="shared" ref="H209:H223" si="15">G209/0.98</f>
        <v>3.4277279762992867</v>
      </c>
      <c r="I209" s="613">
        <f t="shared" ref="I209:I223" si="16">H209/(0.98)</f>
        <v>3.4976816084686599</v>
      </c>
      <c r="J209" s="613">
        <f t="shared" ref="J209:J223" si="17">(E209/$E$223)*100</f>
        <v>6.9444444444444438</v>
      </c>
      <c r="K209" s="613">
        <f t="shared" ref="K209:K223" si="18">(I209/H$206)*100</f>
        <v>0.11103751137995746</v>
      </c>
    </row>
    <row r="210" spans="2:11" ht="15.75" customHeight="1" x14ac:dyDescent="0.3">
      <c r="C210" s="612">
        <v>100</v>
      </c>
      <c r="D210" s="613">
        <f t="shared" si="11"/>
        <v>22.675736961451246</v>
      </c>
      <c r="E210" s="613">
        <f t="shared" si="12"/>
        <v>0.37792894935752075</v>
      </c>
      <c r="F210" s="613">
        <f t="shared" si="13"/>
        <v>11.322767975518669</v>
      </c>
      <c r="G210" s="613">
        <f t="shared" si="14"/>
        <v>26.873387334186408</v>
      </c>
      <c r="H210" s="613">
        <f t="shared" si="15"/>
        <v>27.421823810394294</v>
      </c>
      <c r="I210" s="613">
        <f t="shared" si="16"/>
        <v>27.98145286774928</v>
      </c>
      <c r="J210" s="613">
        <f t="shared" si="17"/>
        <v>13.888888888888888</v>
      </c>
      <c r="K210" s="613">
        <f t="shared" si="18"/>
        <v>0.88830009103965968</v>
      </c>
    </row>
    <row r="211" spans="2:11" ht="15.75" customHeight="1" x14ac:dyDescent="0.3">
      <c r="C211" s="612">
        <v>150</v>
      </c>
      <c r="D211" s="613">
        <f t="shared" si="11"/>
        <v>34.013605442176868</v>
      </c>
      <c r="E211" s="613">
        <f t="shared" si="12"/>
        <v>0.56689342403628118</v>
      </c>
      <c r="F211" s="613">
        <f t="shared" si="13"/>
        <v>25.47622794491701</v>
      </c>
      <c r="G211" s="613">
        <f t="shared" si="14"/>
        <v>90.697682252879147</v>
      </c>
      <c r="H211" s="613">
        <f t="shared" si="15"/>
        <v>92.548655360080758</v>
      </c>
      <c r="I211" s="613">
        <f t="shared" si="16"/>
        <v>94.437403428653838</v>
      </c>
      <c r="J211" s="613">
        <f t="shared" si="17"/>
        <v>20.833333333333336</v>
      </c>
      <c r="K211" s="613">
        <f t="shared" si="18"/>
        <v>2.9980128072588519</v>
      </c>
    </row>
    <row r="212" spans="2:11" ht="15.75" customHeight="1" x14ac:dyDescent="0.3">
      <c r="C212" s="612">
        <v>200</v>
      </c>
      <c r="D212" s="613">
        <f t="shared" si="11"/>
        <v>45.351473922902493</v>
      </c>
      <c r="E212" s="613">
        <f t="shared" si="12"/>
        <v>0.7558578987150415</v>
      </c>
      <c r="F212" s="613">
        <f t="shared" si="13"/>
        <v>45.291071902074677</v>
      </c>
      <c r="G212" s="613">
        <f t="shared" si="14"/>
        <v>214.98709867349126</v>
      </c>
      <c r="H212" s="613">
        <f t="shared" si="15"/>
        <v>219.37459048315435</v>
      </c>
      <c r="I212" s="613">
        <f t="shared" si="16"/>
        <v>223.85162294199424</v>
      </c>
      <c r="J212" s="613">
        <f t="shared" si="17"/>
        <v>27.777777777777775</v>
      </c>
      <c r="K212" s="613">
        <f t="shared" si="18"/>
        <v>7.1064007283172774</v>
      </c>
    </row>
    <row r="213" spans="2:11" ht="15.75" customHeight="1" x14ac:dyDescent="0.3">
      <c r="C213" s="612">
        <v>250</v>
      </c>
      <c r="D213" s="613">
        <f t="shared" si="11"/>
        <v>56.689342403628117</v>
      </c>
      <c r="E213" s="613">
        <f t="shared" si="12"/>
        <v>0.94482237339380193</v>
      </c>
      <c r="F213" s="613">
        <f t="shared" si="13"/>
        <v>70.767299846991691</v>
      </c>
      <c r="G213" s="613">
        <f t="shared" si="14"/>
        <v>419.89667709666276</v>
      </c>
      <c r="H213" s="613">
        <f t="shared" si="15"/>
        <v>428.465997037411</v>
      </c>
      <c r="I213" s="613">
        <f t="shared" si="16"/>
        <v>437.21020105858264</v>
      </c>
      <c r="J213" s="613">
        <f t="shared" si="17"/>
        <v>34.722222222222221</v>
      </c>
      <c r="K213" s="613">
        <f t="shared" si="18"/>
        <v>13.879688922494687</v>
      </c>
    </row>
    <row r="214" spans="2:11" ht="15.75" customHeight="1" x14ac:dyDescent="0.3">
      <c r="C214" s="612">
        <v>300</v>
      </c>
      <c r="D214" s="613">
        <f t="shared" si="11"/>
        <v>68.027210884353735</v>
      </c>
      <c r="E214" s="613">
        <f t="shared" si="12"/>
        <v>1.1337868480725624</v>
      </c>
      <c r="F214" s="613">
        <f t="shared" si="13"/>
        <v>101.90491177966804</v>
      </c>
      <c r="G214" s="613">
        <f t="shared" si="14"/>
        <v>725.58145802303318</v>
      </c>
      <c r="H214" s="613">
        <f t="shared" si="15"/>
        <v>740.38924288064607</v>
      </c>
      <c r="I214" s="613">
        <f t="shared" si="16"/>
        <v>755.4992274292307</v>
      </c>
      <c r="J214" s="613">
        <f t="shared" si="17"/>
        <v>41.666666666666671</v>
      </c>
      <c r="K214" s="613">
        <f t="shared" si="18"/>
        <v>23.984102458070815</v>
      </c>
    </row>
    <row r="215" spans="2:11" ht="16.5" customHeight="1" x14ac:dyDescent="0.3">
      <c r="C215" s="612">
        <v>350</v>
      </c>
      <c r="D215" s="613">
        <f t="shared" si="11"/>
        <v>79.365079365079367</v>
      </c>
      <c r="E215" s="613">
        <f t="shared" si="12"/>
        <v>1.3227513227513228</v>
      </c>
      <c r="F215" s="613">
        <f t="shared" si="13"/>
        <v>138.70390770010374</v>
      </c>
      <c r="G215" s="613">
        <f t="shared" si="14"/>
        <v>1152.1964819532429</v>
      </c>
      <c r="H215" s="613">
        <f t="shared" si="15"/>
        <v>1175.7106958706561</v>
      </c>
      <c r="I215" s="613">
        <f t="shared" si="16"/>
        <v>1199.7047917047512</v>
      </c>
      <c r="J215" s="613">
        <f t="shared" si="17"/>
        <v>48.611111111111114</v>
      </c>
      <c r="K215" s="613">
        <f t="shared" si="18"/>
        <v>38.085866403325433</v>
      </c>
    </row>
    <row r="216" spans="2:11" ht="15.75" customHeight="1" x14ac:dyDescent="0.3">
      <c r="C216" s="612">
        <v>400</v>
      </c>
      <c r="D216" s="613">
        <f t="shared" si="11"/>
        <v>90.702947845804985</v>
      </c>
      <c r="E216" s="613">
        <f t="shared" si="12"/>
        <v>1.511715797430083</v>
      </c>
      <c r="F216" s="613">
        <f t="shared" si="13"/>
        <v>181.16428760829871</v>
      </c>
      <c r="G216" s="613">
        <f t="shared" si="14"/>
        <v>1719.8967893879301</v>
      </c>
      <c r="H216" s="613">
        <f t="shared" si="15"/>
        <v>1754.9967238652348</v>
      </c>
      <c r="I216" s="613">
        <f t="shared" si="16"/>
        <v>1790.8129835359539</v>
      </c>
      <c r="J216" s="613">
        <f t="shared" si="17"/>
        <v>55.55555555555555</v>
      </c>
      <c r="K216" s="613">
        <f t="shared" si="18"/>
        <v>56.851205826538219</v>
      </c>
    </row>
    <row r="217" spans="2:11" ht="15.75" customHeight="1" x14ac:dyDescent="0.3">
      <c r="C217" s="612">
        <v>450</v>
      </c>
      <c r="D217" s="613">
        <f t="shared" si="11"/>
        <v>102.0408163265306</v>
      </c>
      <c r="E217" s="613">
        <f t="shared" si="12"/>
        <v>1.7006802721088434</v>
      </c>
      <c r="F217" s="613">
        <f t="shared" si="13"/>
        <v>229.28605150425307</v>
      </c>
      <c r="G217" s="613">
        <f t="shared" si="14"/>
        <v>2448.8374208277369</v>
      </c>
      <c r="H217" s="613">
        <f t="shared" si="15"/>
        <v>2498.8136947221806</v>
      </c>
      <c r="I217" s="613">
        <f t="shared" si="16"/>
        <v>2549.8098925736535</v>
      </c>
      <c r="J217" s="613">
        <f t="shared" si="17"/>
        <v>62.5</v>
      </c>
      <c r="K217" s="613">
        <f t="shared" si="18"/>
        <v>80.946345795989004</v>
      </c>
    </row>
    <row r="218" spans="2:11" ht="15.75" customHeight="1" x14ac:dyDescent="0.3">
      <c r="C218" s="612">
        <v>500</v>
      </c>
      <c r="D218" s="613">
        <f t="shared" si="11"/>
        <v>113.37868480725623</v>
      </c>
      <c r="E218" s="613">
        <f t="shared" si="12"/>
        <v>1.8896447467876039</v>
      </c>
      <c r="F218" s="613">
        <f t="shared" si="13"/>
        <v>283.06919938796676</v>
      </c>
      <c r="G218" s="613">
        <f t="shared" si="14"/>
        <v>3359.1734167733021</v>
      </c>
      <c r="H218" s="613">
        <f t="shared" si="15"/>
        <v>3427.727976299288</v>
      </c>
      <c r="I218" s="613">
        <f t="shared" si="16"/>
        <v>3497.6816084686611</v>
      </c>
      <c r="J218" s="613">
        <f t="shared" si="17"/>
        <v>69.444444444444443</v>
      </c>
      <c r="K218" s="613">
        <f t="shared" si="18"/>
        <v>111.03751137995749</v>
      </c>
    </row>
    <row r="219" spans="2:11" ht="15.75" customHeight="1" x14ac:dyDescent="0.3">
      <c r="B219" s="319"/>
      <c r="C219" s="612">
        <v>550</v>
      </c>
      <c r="D219" s="613">
        <f t="shared" si="11"/>
        <v>124.71655328798185</v>
      </c>
      <c r="E219" s="613">
        <f t="shared" si="12"/>
        <v>2.0786092214663641</v>
      </c>
      <c r="F219" s="613">
        <f t="shared" si="13"/>
        <v>342.51373125943968</v>
      </c>
      <c r="G219" s="613">
        <f t="shared" si="14"/>
        <v>4471.0598177252623</v>
      </c>
      <c r="H219" s="613">
        <f t="shared" si="15"/>
        <v>4562.3059364543496</v>
      </c>
      <c r="I219" s="613">
        <f t="shared" si="16"/>
        <v>4655.4142208717858</v>
      </c>
      <c r="J219" s="613">
        <f t="shared" si="17"/>
        <v>76.388888888888886</v>
      </c>
      <c r="K219" s="613">
        <f t="shared" si="18"/>
        <v>147.79092764672336</v>
      </c>
    </row>
    <row r="220" spans="2:11" ht="15.75" customHeight="1" x14ac:dyDescent="0.3">
      <c r="B220" s="319"/>
      <c r="C220" s="612">
        <v>600</v>
      </c>
      <c r="D220" s="613">
        <f t="shared" si="11"/>
        <v>136.05442176870747</v>
      </c>
      <c r="E220" s="613">
        <f t="shared" si="12"/>
        <v>2.2675736961451247</v>
      </c>
      <c r="F220" s="613">
        <f t="shared" si="13"/>
        <v>407.61964711867216</v>
      </c>
      <c r="G220" s="613">
        <f t="shared" si="14"/>
        <v>5804.6516641842654</v>
      </c>
      <c r="H220" s="613">
        <f t="shared" si="15"/>
        <v>5923.1139430451685</v>
      </c>
      <c r="I220" s="613">
        <f t="shared" si="16"/>
        <v>6043.9938194338456</v>
      </c>
      <c r="J220" s="613">
        <f t="shared" si="17"/>
        <v>83.333333333333343</v>
      </c>
      <c r="K220" s="613">
        <f t="shared" si="18"/>
        <v>191.87281966456652</v>
      </c>
    </row>
    <row r="221" spans="2:11" ht="15.75" customHeight="1" x14ac:dyDescent="0.3">
      <c r="B221" s="319"/>
      <c r="C221" s="612">
        <v>650</v>
      </c>
      <c r="D221" s="613">
        <f t="shared" si="11"/>
        <v>147.3922902494331</v>
      </c>
      <c r="E221" s="613">
        <f t="shared" si="12"/>
        <v>2.4565381708238849</v>
      </c>
      <c r="F221" s="613">
        <f t="shared" si="13"/>
        <v>478.38694696566381</v>
      </c>
      <c r="G221" s="613">
        <f t="shared" si="14"/>
        <v>7380.1039966509434</v>
      </c>
      <c r="H221" s="613">
        <f t="shared" si="15"/>
        <v>7530.7183639295345</v>
      </c>
      <c r="I221" s="613">
        <f t="shared" si="16"/>
        <v>7684.4064938056472</v>
      </c>
      <c r="J221" s="613">
        <f t="shared" si="17"/>
        <v>90.277777777777786</v>
      </c>
      <c r="K221" s="613">
        <f t="shared" si="18"/>
        <v>243.94941250176657</v>
      </c>
    </row>
    <row r="222" spans="2:11" ht="15.75" customHeight="1" x14ac:dyDescent="0.3">
      <c r="B222" s="319"/>
      <c r="C222" s="612">
        <v>700</v>
      </c>
      <c r="D222" s="613">
        <f t="shared" si="11"/>
        <v>158.73015873015873</v>
      </c>
      <c r="E222" s="613">
        <f t="shared" si="12"/>
        <v>2.6455026455026456</v>
      </c>
      <c r="F222" s="613">
        <f t="shared" si="13"/>
        <v>554.81563080041497</v>
      </c>
      <c r="G222" s="613">
        <f t="shared" si="14"/>
        <v>9217.5718556259435</v>
      </c>
      <c r="H222" s="613">
        <f t="shared" si="15"/>
        <v>9405.6855669652487</v>
      </c>
      <c r="I222" s="613">
        <f t="shared" si="16"/>
        <v>9597.6383336380095</v>
      </c>
      <c r="J222" s="613">
        <f t="shared" si="17"/>
        <v>97.222222222222229</v>
      </c>
      <c r="K222" s="613">
        <f t="shared" si="18"/>
        <v>304.68693122660346</v>
      </c>
    </row>
    <row r="223" spans="2:11" ht="15.75" customHeight="1" x14ac:dyDescent="0.3">
      <c r="B223" s="319"/>
      <c r="C223" s="612">
        <v>720</v>
      </c>
      <c r="D223" s="613">
        <f t="shared" si="11"/>
        <v>163.26530612244898</v>
      </c>
      <c r="E223" s="613">
        <f t="shared" si="12"/>
        <v>2.7210884353741496</v>
      </c>
      <c r="F223" s="613">
        <f t="shared" si="13"/>
        <v>586.97229185088793</v>
      </c>
      <c r="G223" s="613">
        <f t="shared" si="14"/>
        <v>10030.438075710412</v>
      </c>
      <c r="H223" s="613">
        <f t="shared" si="15"/>
        <v>10235.140893582053</v>
      </c>
      <c r="I223" s="613">
        <f t="shared" si="16"/>
        <v>10444.021319981686</v>
      </c>
      <c r="J223" s="613">
        <f t="shared" si="17"/>
        <v>100</v>
      </c>
      <c r="K223" s="613">
        <f t="shared" si="18"/>
        <v>331.556232380371</v>
      </c>
    </row>
    <row r="224" spans="2:11" x14ac:dyDescent="0.25">
      <c r="C224" s="600"/>
      <c r="D224" s="605"/>
      <c r="E224" s="605"/>
      <c r="F224" s="614"/>
      <c r="G224" s="605"/>
      <c r="H224" s="605"/>
      <c r="I224" s="605"/>
      <c r="J224" s="605"/>
      <c r="K224" s="605"/>
    </row>
    <row r="225" spans="2:20" x14ac:dyDescent="0.25">
      <c r="C225" s="600"/>
      <c r="D225" s="605"/>
      <c r="E225" s="605"/>
      <c r="F225" s="614"/>
      <c r="G225" s="605"/>
      <c r="H225" s="605"/>
      <c r="I225" s="605"/>
      <c r="J225" s="605"/>
      <c r="K225" s="605"/>
    </row>
    <row r="226" spans="2:20" x14ac:dyDescent="0.25">
      <c r="B226" s="308"/>
      <c r="C226" s="600"/>
      <c r="D226" s="605"/>
      <c r="E226" s="605"/>
      <c r="F226" s="614"/>
      <c r="G226" s="605"/>
      <c r="H226" s="605"/>
      <c r="I226" s="605"/>
      <c r="J226" s="605"/>
      <c r="K226" s="605"/>
      <c r="Q226" s="291">
        <f>9*R226</f>
        <v>1.8</v>
      </c>
      <c r="R226" s="291">
        <v>0.2</v>
      </c>
      <c r="T226" s="291">
        <f>R226*0.3</f>
        <v>0.06</v>
      </c>
    </row>
    <row r="227" spans="2:20" x14ac:dyDescent="0.25">
      <c r="B227" s="308"/>
      <c r="C227" s="615"/>
      <c r="D227" s="605"/>
      <c r="E227" s="605"/>
      <c r="F227" s="614"/>
      <c r="G227" s="605"/>
      <c r="H227" s="605"/>
      <c r="I227" s="605"/>
      <c r="J227" s="418"/>
      <c r="K227" s="418"/>
    </row>
    <row r="228" spans="2:20" x14ac:dyDescent="0.25">
      <c r="B228" s="308"/>
      <c r="C228" s="284"/>
      <c r="D228" s="284"/>
      <c r="E228" s="284"/>
      <c r="F228" s="284"/>
      <c r="G228" s="284"/>
    </row>
    <row r="229" spans="2:20" x14ac:dyDescent="0.25">
      <c r="B229" s="308"/>
      <c r="C229" s="616" t="s">
        <v>942</v>
      </c>
      <c r="D229" s="259"/>
      <c r="E229" s="259"/>
      <c r="F229" s="284"/>
      <c r="G229" s="284"/>
    </row>
    <row r="230" spans="2:20" x14ac:dyDescent="0.3">
      <c r="B230" s="308"/>
      <c r="C230" s="1297" t="s">
        <v>929</v>
      </c>
      <c r="D230" s="1297"/>
      <c r="E230" s="1297"/>
      <c r="F230" s="617">
        <v>4</v>
      </c>
      <c r="G230" s="617" t="s">
        <v>930</v>
      </c>
      <c r="H230" s="618">
        <v>3150</v>
      </c>
      <c r="I230" s="1298" t="s">
        <v>931</v>
      </c>
      <c r="J230" s="1298"/>
      <c r="K230" s="618">
        <v>720</v>
      </c>
    </row>
    <row r="231" spans="2:20" ht="14.4" x14ac:dyDescent="0.3">
      <c r="B231" s="308"/>
      <c r="C231" s="619" t="s">
        <v>932</v>
      </c>
      <c r="D231" s="619" t="s">
        <v>933</v>
      </c>
      <c r="E231" s="619" t="s">
        <v>933</v>
      </c>
      <c r="F231" s="1299" t="s">
        <v>934</v>
      </c>
      <c r="G231" s="619" t="s">
        <v>525</v>
      </c>
      <c r="H231" s="619" t="s">
        <v>935</v>
      </c>
      <c r="I231" s="619" t="s">
        <v>936</v>
      </c>
      <c r="J231" s="619" t="s">
        <v>937</v>
      </c>
      <c r="K231" s="619" t="s">
        <v>936</v>
      </c>
    </row>
    <row r="232" spans="2:20" x14ac:dyDescent="0.3">
      <c r="B232" s="308"/>
      <c r="C232" s="619" t="s">
        <v>938</v>
      </c>
      <c r="D232" s="619" t="s">
        <v>938</v>
      </c>
      <c r="E232" s="619" t="s">
        <v>939</v>
      </c>
      <c r="F232" s="1299"/>
      <c r="G232" s="619" t="s">
        <v>940</v>
      </c>
      <c r="H232" s="619" t="s">
        <v>940</v>
      </c>
      <c r="I232" s="619" t="s">
        <v>940</v>
      </c>
      <c r="J232" s="619" t="s">
        <v>941</v>
      </c>
      <c r="K232" s="619" t="s">
        <v>941</v>
      </c>
    </row>
    <row r="233" spans="2:20" x14ac:dyDescent="0.3">
      <c r="B233" s="308"/>
      <c r="C233" s="612">
        <v>50</v>
      </c>
      <c r="D233" s="613">
        <f t="shared" ref="D233:D246" si="19">C233/F$230</f>
        <v>12.5</v>
      </c>
      <c r="E233" s="613">
        <f t="shared" ref="E233:E248" si="20">D233/60</f>
        <v>0.20833333333333334</v>
      </c>
      <c r="F233" s="613">
        <f t="shared" ref="F233:F248" si="21">$G$180*1.025*($D$15^5)*E233^2</f>
        <v>3.5419215695146891</v>
      </c>
      <c r="G233" s="613">
        <f t="shared" ref="G233:G248" si="22">2*3.14*F233*E233</f>
        <v>4.6340140534483858</v>
      </c>
      <c r="H233" s="613">
        <f t="shared" ref="H233:H248" si="23">G233/0.98</f>
        <v>4.7285857688248836</v>
      </c>
      <c r="I233" s="613">
        <f t="shared" ref="I233:I248" si="24">H233/(0.98)</f>
        <v>4.825087519209065</v>
      </c>
      <c r="J233" s="613">
        <f t="shared" ref="J233:J248" si="25">(E233/$E$248)*100</f>
        <v>6.9444444444444446</v>
      </c>
      <c r="K233" s="613">
        <f t="shared" ref="K233:K248" si="26">(I233/H$230)*100</f>
        <v>0.15317738156219254</v>
      </c>
    </row>
    <row r="234" spans="2:20" x14ac:dyDescent="0.3">
      <c r="B234" s="308"/>
      <c r="C234" s="612">
        <v>100</v>
      </c>
      <c r="D234" s="613">
        <f t="shared" si="19"/>
        <v>25</v>
      </c>
      <c r="E234" s="613">
        <f t="shared" si="20"/>
        <v>0.41666666666666669</v>
      </c>
      <c r="F234" s="613">
        <f t="shared" si="21"/>
        <v>14.167686278058756</v>
      </c>
      <c r="G234" s="613">
        <f t="shared" si="22"/>
        <v>37.072112427587086</v>
      </c>
      <c r="H234" s="613">
        <f t="shared" si="23"/>
        <v>37.828686150599069</v>
      </c>
      <c r="I234" s="613">
        <f t="shared" si="24"/>
        <v>38.60070015367252</v>
      </c>
      <c r="J234" s="613">
        <f t="shared" si="25"/>
        <v>13.888888888888889</v>
      </c>
      <c r="K234" s="613">
        <f t="shared" si="26"/>
        <v>1.2254190524975404</v>
      </c>
    </row>
    <row r="235" spans="2:20" x14ac:dyDescent="0.3">
      <c r="B235" s="308"/>
      <c r="C235" s="612">
        <v>150</v>
      </c>
      <c r="D235" s="613">
        <f t="shared" si="19"/>
        <v>37.5</v>
      </c>
      <c r="E235" s="613">
        <f t="shared" si="20"/>
        <v>0.625</v>
      </c>
      <c r="F235" s="613">
        <f t="shared" si="21"/>
        <v>31.877294125632201</v>
      </c>
      <c r="G235" s="613">
        <f t="shared" si="22"/>
        <v>125.11837944310639</v>
      </c>
      <c r="H235" s="613">
        <f t="shared" si="23"/>
        <v>127.67181575827183</v>
      </c>
      <c r="I235" s="613">
        <f t="shared" si="24"/>
        <v>130.27736301864473</v>
      </c>
      <c r="J235" s="613">
        <f t="shared" si="25"/>
        <v>20.833333333333336</v>
      </c>
      <c r="K235" s="613">
        <f t="shared" si="26"/>
        <v>4.135789302179198</v>
      </c>
    </row>
    <row r="236" spans="2:20" x14ac:dyDescent="0.3">
      <c r="B236" s="308"/>
      <c r="C236" s="612">
        <v>200</v>
      </c>
      <c r="D236" s="613">
        <f t="shared" si="19"/>
        <v>50</v>
      </c>
      <c r="E236" s="613">
        <f t="shared" si="20"/>
        <v>0.83333333333333337</v>
      </c>
      <c r="F236" s="613">
        <f t="shared" si="21"/>
        <v>56.670745112235025</v>
      </c>
      <c r="G236" s="613">
        <f t="shared" si="22"/>
        <v>296.57689942069669</v>
      </c>
      <c r="H236" s="613">
        <f t="shared" si="23"/>
        <v>302.62948920479255</v>
      </c>
      <c r="I236" s="613">
        <f t="shared" si="24"/>
        <v>308.80560122938016</v>
      </c>
      <c r="J236" s="613">
        <f t="shared" si="25"/>
        <v>27.777777777777779</v>
      </c>
      <c r="K236" s="613">
        <f t="shared" si="26"/>
        <v>9.8033524199803228</v>
      </c>
    </row>
    <row r="237" spans="2:20" x14ac:dyDescent="0.3">
      <c r="B237" s="308"/>
      <c r="C237" s="612">
        <v>250</v>
      </c>
      <c r="D237" s="613">
        <f t="shared" si="19"/>
        <v>62.5</v>
      </c>
      <c r="E237" s="613">
        <f t="shared" si="20"/>
        <v>1.0416666666666667</v>
      </c>
      <c r="F237" s="613">
        <f t="shared" si="21"/>
        <v>88.548039237867243</v>
      </c>
      <c r="G237" s="613">
        <f t="shared" si="22"/>
        <v>579.25175668104828</v>
      </c>
      <c r="H237" s="613">
        <f t="shared" si="23"/>
        <v>591.07322110311054</v>
      </c>
      <c r="I237" s="613">
        <f t="shared" si="24"/>
        <v>603.13593990113327</v>
      </c>
      <c r="J237" s="613">
        <f t="shared" si="25"/>
        <v>34.722222222222229</v>
      </c>
      <c r="K237" s="613">
        <f t="shared" si="26"/>
        <v>19.147172695274072</v>
      </c>
    </row>
    <row r="238" spans="2:20" x14ac:dyDescent="0.3">
      <c r="B238" s="308"/>
      <c r="C238" s="612">
        <v>300</v>
      </c>
      <c r="D238" s="613">
        <f t="shared" si="19"/>
        <v>75</v>
      </c>
      <c r="E238" s="613">
        <f t="shared" si="20"/>
        <v>1.25</v>
      </c>
      <c r="F238" s="613">
        <f t="shared" si="21"/>
        <v>127.5091765025288</v>
      </c>
      <c r="G238" s="613">
        <f t="shared" si="22"/>
        <v>1000.9470355448511</v>
      </c>
      <c r="H238" s="613">
        <f t="shared" si="23"/>
        <v>1021.3745260661747</v>
      </c>
      <c r="I238" s="613">
        <f t="shared" si="24"/>
        <v>1042.2189041491579</v>
      </c>
      <c r="J238" s="613">
        <f t="shared" si="25"/>
        <v>41.666666666666671</v>
      </c>
      <c r="K238" s="613">
        <f t="shared" si="26"/>
        <v>33.086314417433584</v>
      </c>
    </row>
    <row r="239" spans="2:20" x14ac:dyDescent="0.3">
      <c r="B239" s="308"/>
      <c r="C239" s="612">
        <v>350</v>
      </c>
      <c r="D239" s="613">
        <f t="shared" si="19"/>
        <v>87.5</v>
      </c>
      <c r="E239" s="613">
        <f t="shared" si="20"/>
        <v>1.4583333333333333</v>
      </c>
      <c r="F239" s="613">
        <f t="shared" si="21"/>
        <v>173.55415690621973</v>
      </c>
      <c r="G239" s="613">
        <f t="shared" si="22"/>
        <v>1589.4668203327956</v>
      </c>
      <c r="H239" s="613">
        <f t="shared" si="23"/>
        <v>1621.9049187069343</v>
      </c>
      <c r="I239" s="613">
        <f t="shared" si="24"/>
        <v>1655.0050190887084</v>
      </c>
      <c r="J239" s="613">
        <f t="shared" si="25"/>
        <v>48.611111111111107</v>
      </c>
      <c r="K239" s="613">
        <f t="shared" si="26"/>
        <v>52.539841875832018</v>
      </c>
    </row>
    <row r="240" spans="2:20" x14ac:dyDescent="0.3">
      <c r="B240" s="308"/>
      <c r="C240" s="612">
        <v>400</v>
      </c>
      <c r="D240" s="613">
        <f t="shared" si="19"/>
        <v>100</v>
      </c>
      <c r="E240" s="613">
        <f t="shared" si="20"/>
        <v>1.6666666666666667</v>
      </c>
      <c r="F240" s="613">
        <f t="shared" si="21"/>
        <v>226.6829804489401</v>
      </c>
      <c r="G240" s="613">
        <f t="shared" si="22"/>
        <v>2372.6151953655735</v>
      </c>
      <c r="H240" s="613">
        <f t="shared" si="23"/>
        <v>2421.0359136383404</v>
      </c>
      <c r="I240" s="613">
        <f t="shared" si="24"/>
        <v>2470.4448098350413</v>
      </c>
      <c r="J240" s="613">
        <f t="shared" si="25"/>
        <v>55.555555555555557</v>
      </c>
      <c r="K240" s="613">
        <f t="shared" si="26"/>
        <v>78.426819359842582</v>
      </c>
    </row>
    <row r="241" spans="2:12" x14ac:dyDescent="0.3">
      <c r="B241" s="308"/>
      <c r="C241" s="612">
        <v>450</v>
      </c>
      <c r="D241" s="613">
        <f t="shared" si="19"/>
        <v>112.5</v>
      </c>
      <c r="E241" s="613">
        <f t="shared" si="20"/>
        <v>1.875</v>
      </c>
      <c r="F241" s="613">
        <f t="shared" si="21"/>
        <v>286.89564713068978</v>
      </c>
      <c r="G241" s="613">
        <f t="shared" si="22"/>
        <v>3378.1962449638727</v>
      </c>
      <c r="H241" s="613">
        <f t="shared" si="23"/>
        <v>3447.1390254733396</v>
      </c>
      <c r="I241" s="613">
        <f t="shared" si="24"/>
        <v>3517.488801503408</v>
      </c>
      <c r="J241" s="613">
        <f t="shared" si="25"/>
        <v>62.5</v>
      </c>
      <c r="K241" s="613">
        <f t="shared" si="26"/>
        <v>111.66631115883835</v>
      </c>
    </row>
    <row r="242" spans="2:12" x14ac:dyDescent="0.3">
      <c r="B242" s="308"/>
      <c r="C242" s="612">
        <v>500</v>
      </c>
      <c r="D242" s="613">
        <f t="shared" si="19"/>
        <v>125</v>
      </c>
      <c r="E242" s="613">
        <f t="shared" si="20"/>
        <v>2.0833333333333335</v>
      </c>
      <c r="F242" s="613">
        <f t="shared" si="21"/>
        <v>354.19215695146897</v>
      </c>
      <c r="G242" s="613">
        <f t="shared" si="22"/>
        <v>4634.0140534483862</v>
      </c>
      <c r="H242" s="613">
        <f t="shared" si="23"/>
        <v>4728.5857688248843</v>
      </c>
      <c r="I242" s="613">
        <f t="shared" si="24"/>
        <v>4825.0875192090662</v>
      </c>
      <c r="J242" s="613">
        <f t="shared" si="25"/>
        <v>69.444444444444457</v>
      </c>
      <c r="K242" s="613">
        <f t="shared" si="26"/>
        <v>153.17738156219258</v>
      </c>
      <c r="L242" s="384"/>
    </row>
    <row r="243" spans="2:12" x14ac:dyDescent="0.3">
      <c r="B243" s="308"/>
      <c r="C243" s="612">
        <v>550</v>
      </c>
      <c r="D243" s="613">
        <f t="shared" si="19"/>
        <v>137.5</v>
      </c>
      <c r="E243" s="613">
        <f t="shared" si="20"/>
        <v>2.2916666666666665</v>
      </c>
      <c r="F243" s="613">
        <f t="shared" si="21"/>
        <v>428.57250991127734</v>
      </c>
      <c r="G243" s="613">
        <f t="shared" si="22"/>
        <v>6167.8727051397991</v>
      </c>
      <c r="H243" s="613">
        <f t="shared" si="23"/>
        <v>6293.7476583059179</v>
      </c>
      <c r="I243" s="613">
        <f t="shared" si="24"/>
        <v>6422.191488067263</v>
      </c>
      <c r="J243" s="613">
        <f t="shared" si="25"/>
        <v>76.388888888888886</v>
      </c>
      <c r="K243" s="613">
        <f t="shared" si="26"/>
        <v>203.87909485927818</v>
      </c>
      <c r="L243" s="384"/>
    </row>
    <row r="244" spans="2:12" x14ac:dyDescent="0.3">
      <c r="B244" s="308"/>
      <c r="C244" s="612">
        <v>600</v>
      </c>
      <c r="D244" s="613">
        <f t="shared" si="19"/>
        <v>150</v>
      </c>
      <c r="E244" s="613">
        <f t="shared" si="20"/>
        <v>2.5</v>
      </c>
      <c r="F244" s="613">
        <f t="shared" si="21"/>
        <v>510.03670601011521</v>
      </c>
      <c r="G244" s="613">
        <f t="shared" si="22"/>
        <v>8007.5762843588091</v>
      </c>
      <c r="H244" s="613">
        <f t="shared" si="23"/>
        <v>8170.9962085293973</v>
      </c>
      <c r="I244" s="613">
        <f t="shared" si="24"/>
        <v>8337.751233193263</v>
      </c>
      <c r="J244" s="613">
        <f t="shared" si="25"/>
        <v>83.333333333333343</v>
      </c>
      <c r="K244" s="613">
        <f t="shared" si="26"/>
        <v>264.69051533946867</v>
      </c>
    </row>
    <row r="245" spans="2:12" x14ac:dyDescent="0.3">
      <c r="C245" s="612">
        <v>650</v>
      </c>
      <c r="D245" s="613">
        <f t="shared" si="19"/>
        <v>162.5</v>
      </c>
      <c r="E245" s="613">
        <f t="shared" si="20"/>
        <v>2.7083333333333335</v>
      </c>
      <c r="F245" s="613">
        <f t="shared" si="21"/>
        <v>598.58474524798248</v>
      </c>
      <c r="G245" s="613">
        <f t="shared" si="22"/>
        <v>10180.928875426103</v>
      </c>
      <c r="H245" s="613">
        <f t="shared" si="23"/>
        <v>10388.702934108269</v>
      </c>
      <c r="I245" s="613">
        <f t="shared" si="24"/>
        <v>10600.717279702316</v>
      </c>
      <c r="J245" s="613">
        <f t="shared" si="25"/>
        <v>90.277777777777786</v>
      </c>
      <c r="K245" s="613">
        <f t="shared" si="26"/>
        <v>336.53070729213704</v>
      </c>
    </row>
    <row r="246" spans="2:12" x14ac:dyDescent="0.3">
      <c r="C246" s="612">
        <v>700</v>
      </c>
      <c r="D246" s="613">
        <f t="shared" si="19"/>
        <v>175</v>
      </c>
      <c r="E246" s="613">
        <f t="shared" si="20"/>
        <v>2.9166666666666665</v>
      </c>
      <c r="F246" s="613">
        <f t="shared" si="21"/>
        <v>694.21662762487892</v>
      </c>
      <c r="G246" s="613">
        <f t="shared" si="22"/>
        <v>12715.734562662365</v>
      </c>
      <c r="H246" s="613">
        <f t="shared" si="23"/>
        <v>12975.239349655474</v>
      </c>
      <c r="I246" s="613">
        <f t="shared" si="24"/>
        <v>13240.040152709667</v>
      </c>
      <c r="J246" s="613">
        <f t="shared" si="25"/>
        <v>97.222222222222214</v>
      </c>
      <c r="K246" s="613">
        <f t="shared" si="26"/>
        <v>420.31873500665614</v>
      </c>
    </row>
    <row r="247" spans="2:12" x14ac:dyDescent="0.3">
      <c r="C247" s="620">
        <f>D247*F230</f>
        <v>661.7951067077214</v>
      </c>
      <c r="D247" s="613">
        <f>D194</f>
        <v>165.44877667693035</v>
      </c>
      <c r="E247" s="613">
        <f t="shared" si="20"/>
        <v>2.7574796112821724</v>
      </c>
      <c r="F247" s="613">
        <f t="shared" si="21"/>
        <v>620.50607082345414</v>
      </c>
      <c r="G247" s="613">
        <f t="shared" si="22"/>
        <v>10745.286228747214</v>
      </c>
      <c r="H247" s="613">
        <f t="shared" si="23"/>
        <v>10964.577784435933</v>
      </c>
      <c r="I247" s="613">
        <f t="shared" si="24"/>
        <v>11188.34467799585</v>
      </c>
      <c r="J247" s="613">
        <f t="shared" si="25"/>
        <v>91.915987042739076</v>
      </c>
      <c r="K247" s="613">
        <f t="shared" si="26"/>
        <v>355.18554533320162</v>
      </c>
    </row>
    <row r="248" spans="2:12" x14ac:dyDescent="0.3">
      <c r="C248" s="612">
        <v>720</v>
      </c>
      <c r="D248" s="613">
        <f>C248/F$230</f>
        <v>180</v>
      </c>
      <c r="E248" s="613">
        <f t="shared" si="20"/>
        <v>3</v>
      </c>
      <c r="F248" s="613">
        <f t="shared" si="21"/>
        <v>734.45285665456584</v>
      </c>
      <c r="G248" s="613">
        <f t="shared" si="22"/>
        <v>13837.091819372021</v>
      </c>
      <c r="H248" s="613">
        <f t="shared" si="23"/>
        <v>14119.481448338796</v>
      </c>
      <c r="I248" s="613">
        <f t="shared" si="24"/>
        <v>14407.634130957957</v>
      </c>
      <c r="J248" s="613">
        <f t="shared" si="25"/>
        <v>100</v>
      </c>
      <c r="K248" s="613">
        <f t="shared" si="26"/>
        <v>457.38521050660177</v>
      </c>
    </row>
    <row r="249" spans="2:12" x14ac:dyDescent="0.25">
      <c r="C249" s="600"/>
      <c r="D249" s="605"/>
      <c r="E249" s="605"/>
      <c r="F249" s="614"/>
      <c r="G249" s="605"/>
      <c r="H249" s="605"/>
      <c r="I249" s="605"/>
      <c r="J249" s="605"/>
      <c r="K249" s="605"/>
    </row>
    <row r="250" spans="2:12" x14ac:dyDescent="0.25">
      <c r="C250" s="600"/>
      <c r="D250" s="605"/>
      <c r="E250" s="605"/>
      <c r="F250" s="614"/>
      <c r="G250" s="605"/>
      <c r="H250" s="605"/>
      <c r="I250" s="605"/>
      <c r="J250" s="605"/>
      <c r="K250" s="605"/>
    </row>
    <row r="251" spans="2:12" x14ac:dyDescent="0.25">
      <c r="C251" s="390"/>
      <c r="D251" s="284"/>
      <c r="E251" s="284"/>
      <c r="F251" s="284"/>
      <c r="G251" s="284"/>
    </row>
    <row r="252" spans="2:12" x14ac:dyDescent="0.25">
      <c r="C252" s="390"/>
      <c r="D252" s="387"/>
      <c r="E252" s="284"/>
      <c r="F252" s="284"/>
      <c r="G252" s="284"/>
    </row>
    <row r="253" spans="2:12" x14ac:dyDescent="0.25">
      <c r="C253" s="390"/>
      <c r="D253" s="284"/>
      <c r="E253" s="418"/>
      <c r="F253" s="419"/>
      <c r="G253" s="419"/>
    </row>
    <row r="254" spans="2:12" x14ac:dyDescent="0.25">
      <c r="C254" s="390"/>
      <c r="D254" s="284"/>
      <c r="E254" s="284"/>
      <c r="F254" s="284"/>
      <c r="G254" s="284"/>
    </row>
    <row r="255" spans="2:12" x14ac:dyDescent="0.25">
      <c r="C255" s="390"/>
      <c r="D255" s="284"/>
      <c r="E255" s="284"/>
      <c r="F255" s="284"/>
      <c r="G255" s="284"/>
    </row>
    <row r="256" spans="2:12" x14ac:dyDescent="0.25">
      <c r="C256" s="284"/>
      <c r="D256" s="390"/>
      <c r="E256" s="284"/>
      <c r="F256" s="284"/>
      <c r="G256" s="284"/>
      <c r="H256" s="284"/>
    </row>
    <row r="257" spans="3:11" x14ac:dyDescent="0.25">
      <c r="C257" s="284"/>
      <c r="D257" s="390"/>
      <c r="E257" s="284"/>
      <c r="F257" s="284"/>
      <c r="G257" s="284"/>
      <c r="H257" s="284"/>
    </row>
    <row r="258" spans="3:11" x14ac:dyDescent="0.3">
      <c r="E258" s="322"/>
    </row>
    <row r="259" spans="3:11" x14ac:dyDescent="0.25">
      <c r="C259" s="387"/>
      <c r="D259" s="387"/>
      <c r="E259" s="387"/>
      <c r="F259" s="387"/>
      <c r="G259" s="387"/>
      <c r="H259" s="387"/>
      <c r="I259" s="387"/>
      <c r="J259" s="387"/>
      <c r="K259" s="387"/>
    </row>
    <row r="260" spans="3:11" x14ac:dyDescent="0.25">
      <c r="C260" s="576"/>
      <c r="D260" s="419"/>
      <c r="E260" s="419"/>
      <c r="F260" s="419"/>
      <c r="G260" s="593"/>
      <c r="H260" s="418"/>
      <c r="I260" s="419"/>
      <c r="J260" s="387"/>
      <c r="K260" s="418"/>
    </row>
    <row r="261" spans="3:11" x14ac:dyDescent="0.25">
      <c r="C261" s="576"/>
      <c r="D261" s="419"/>
      <c r="E261" s="419"/>
      <c r="F261" s="419"/>
      <c r="G261" s="593"/>
      <c r="H261" s="418"/>
      <c r="I261" s="419"/>
      <c r="J261" s="418"/>
      <c r="K261" s="418"/>
    </row>
    <row r="262" spans="3:11" x14ac:dyDescent="0.25">
      <c r="C262" s="576"/>
      <c r="D262" s="419"/>
      <c r="E262" s="419"/>
      <c r="F262" s="419"/>
      <c r="G262" s="593"/>
      <c r="H262" s="418"/>
      <c r="I262" s="419"/>
      <c r="J262" s="418"/>
      <c r="K262" s="418"/>
    </row>
    <row r="263" spans="3:11" x14ac:dyDescent="0.25">
      <c r="C263" s="576"/>
      <c r="D263" s="419"/>
      <c r="E263" s="419"/>
      <c r="F263" s="419"/>
      <c r="G263" s="593"/>
      <c r="H263" s="418"/>
      <c r="I263" s="419"/>
      <c r="J263" s="418"/>
      <c r="K263" s="418"/>
    </row>
    <row r="264" spans="3:11" x14ac:dyDescent="0.25">
      <c r="C264" s="576"/>
      <c r="D264" s="419"/>
      <c r="E264" s="419"/>
      <c r="F264" s="419"/>
      <c r="G264" s="593"/>
      <c r="H264" s="418"/>
      <c r="I264" s="419"/>
      <c r="J264" s="418"/>
      <c r="K264" s="418"/>
    </row>
    <row r="265" spans="3:11" x14ac:dyDescent="0.25">
      <c r="C265" s="576"/>
      <c r="D265" s="419"/>
      <c r="E265" s="419"/>
      <c r="F265" s="419"/>
      <c r="G265" s="593"/>
      <c r="H265" s="418"/>
      <c r="I265" s="419"/>
      <c r="J265" s="418"/>
      <c r="K265" s="418"/>
    </row>
    <row r="266" spans="3:11" x14ac:dyDescent="0.25">
      <c r="C266" s="576"/>
      <c r="D266" s="419"/>
      <c r="E266" s="419"/>
      <c r="F266" s="419"/>
      <c r="G266" s="593"/>
      <c r="H266" s="418"/>
      <c r="I266" s="419"/>
      <c r="J266" s="418"/>
      <c r="K266" s="418"/>
    </row>
    <row r="267" spans="3:11" x14ac:dyDescent="0.25">
      <c r="C267" s="576"/>
      <c r="D267" s="419"/>
      <c r="E267" s="419"/>
      <c r="F267" s="419"/>
      <c r="G267" s="593"/>
      <c r="H267" s="418"/>
      <c r="I267" s="419"/>
      <c r="J267" s="418"/>
      <c r="K267" s="418"/>
    </row>
    <row r="268" spans="3:11" x14ac:dyDescent="0.25">
      <c r="C268" s="576"/>
      <c r="D268" s="419"/>
      <c r="E268" s="419"/>
      <c r="F268" s="419"/>
      <c r="G268" s="593"/>
      <c r="H268" s="418"/>
      <c r="I268" s="419"/>
      <c r="J268" s="418"/>
      <c r="K268" s="418"/>
    </row>
    <row r="269" spans="3:11" x14ac:dyDescent="0.25">
      <c r="C269" s="282"/>
      <c r="D269" s="419"/>
      <c r="E269" s="419"/>
      <c r="F269" s="419"/>
      <c r="G269" s="593"/>
      <c r="H269" s="418"/>
      <c r="I269" s="419"/>
      <c r="J269" s="418"/>
      <c r="K269" s="418"/>
    </row>
    <row r="270" spans="3:11" x14ac:dyDescent="0.25">
      <c r="C270" s="282"/>
      <c r="D270" s="419"/>
      <c r="E270" s="419"/>
      <c r="F270" s="419"/>
      <c r="G270" s="593"/>
      <c r="H270" s="418"/>
      <c r="I270" s="419"/>
      <c r="J270" s="418"/>
      <c r="K270" s="418"/>
    </row>
    <row r="271" spans="3:11" x14ac:dyDescent="0.25">
      <c r="C271" s="282"/>
      <c r="D271" s="419"/>
      <c r="E271" s="419"/>
      <c r="F271" s="419"/>
      <c r="G271" s="593"/>
      <c r="H271" s="418"/>
      <c r="I271" s="419"/>
      <c r="J271" s="418"/>
      <c r="K271" s="418"/>
    </row>
    <row r="272" spans="3:11" x14ac:dyDescent="0.25">
      <c r="C272" s="282"/>
      <c r="D272" s="419"/>
      <c r="E272" s="419"/>
      <c r="F272" s="419"/>
      <c r="G272" s="593"/>
      <c r="H272" s="418"/>
      <c r="I272" s="419"/>
      <c r="J272" s="418"/>
      <c r="K272" s="418"/>
    </row>
    <row r="273" spans="3:11" x14ac:dyDescent="0.25">
      <c r="C273" s="282"/>
      <c r="D273" s="419"/>
      <c r="E273" s="419"/>
      <c r="F273" s="419"/>
      <c r="G273" s="593"/>
      <c r="H273" s="418"/>
      <c r="I273" s="419"/>
      <c r="J273" s="418"/>
      <c r="K273" s="418"/>
    </row>
    <row r="274" spans="3:11" x14ac:dyDescent="0.25">
      <c r="C274" s="308"/>
      <c r="D274" s="419"/>
      <c r="E274" s="419"/>
      <c r="F274" s="419"/>
      <c r="G274" s="593"/>
      <c r="H274" s="418"/>
      <c r="I274" s="419"/>
      <c r="J274" s="418"/>
      <c r="K274" s="418"/>
    </row>
    <row r="275" spans="3:11" x14ac:dyDescent="0.25">
      <c r="C275" s="308"/>
      <c r="D275" s="419"/>
      <c r="E275" s="419"/>
      <c r="F275" s="419"/>
      <c r="G275" s="593"/>
      <c r="H275" s="418"/>
      <c r="I275" s="419"/>
      <c r="J275" s="418"/>
      <c r="K275" s="418"/>
    </row>
    <row r="276" spans="3:11" x14ac:dyDescent="0.25">
      <c r="C276" s="308"/>
      <c r="D276" s="419"/>
      <c r="E276" s="419"/>
      <c r="F276" s="419"/>
      <c r="G276" s="593"/>
      <c r="H276" s="418"/>
      <c r="I276" s="419"/>
      <c r="J276" s="418"/>
      <c r="K276" s="418"/>
    </row>
    <row r="277" spans="3:11" x14ac:dyDescent="0.25">
      <c r="C277" s="308"/>
      <c r="D277" s="419"/>
      <c r="E277" s="419"/>
      <c r="F277" s="419"/>
      <c r="G277" s="593"/>
      <c r="H277" s="418"/>
      <c r="I277" s="419"/>
      <c r="J277" s="418"/>
      <c r="K277" s="418"/>
    </row>
    <row r="278" spans="3:11" x14ac:dyDescent="0.3">
      <c r="D278" s="276"/>
      <c r="E278" s="450"/>
      <c r="F278" s="384"/>
      <c r="G278" s="384"/>
      <c r="H278" s="384"/>
      <c r="I278" s="384"/>
      <c r="J278" s="384"/>
      <c r="K278" s="384"/>
    </row>
    <row r="279" spans="3:11" x14ac:dyDescent="0.25">
      <c r="C279" s="284"/>
      <c r="D279" s="284"/>
      <c r="E279" s="387"/>
      <c r="F279" s="387"/>
      <c r="G279" s="387"/>
      <c r="H279" s="384"/>
      <c r="I279" s="384"/>
      <c r="J279" s="384"/>
      <c r="K279" s="384"/>
    </row>
    <row r="280" spans="3:11" x14ac:dyDescent="0.25">
      <c r="C280" s="259"/>
      <c r="D280" s="259"/>
      <c r="E280" s="259"/>
      <c r="F280" s="259"/>
      <c r="G280" s="259"/>
    </row>
    <row r="281" spans="3:11" x14ac:dyDescent="0.25">
      <c r="C281" s="284"/>
      <c r="D281" s="284"/>
      <c r="E281" s="284"/>
      <c r="F281" s="284"/>
      <c r="G281" s="284"/>
      <c r="H281" s="384"/>
      <c r="I281" s="384"/>
      <c r="J281" s="384"/>
      <c r="K281" s="384"/>
    </row>
    <row r="282" spans="3:11" x14ac:dyDescent="0.25">
      <c r="C282" s="284"/>
      <c r="D282" s="284"/>
      <c r="E282" s="284"/>
      <c r="F282" s="284"/>
      <c r="G282" s="284"/>
      <c r="H282" s="384"/>
      <c r="I282" s="384"/>
      <c r="J282" s="384"/>
      <c r="K282" s="384"/>
    </row>
    <row r="283" spans="3:11" x14ac:dyDescent="0.25">
      <c r="C283" s="421"/>
      <c r="D283" s="284"/>
      <c r="E283" s="284"/>
      <c r="F283" s="284"/>
      <c r="G283" s="284"/>
      <c r="H283" s="384"/>
      <c r="I283" s="384"/>
      <c r="J283" s="384"/>
      <c r="K283" s="384"/>
    </row>
    <row r="284" spans="3:11" x14ac:dyDescent="0.25">
      <c r="C284" s="421"/>
      <c r="D284" s="284"/>
      <c r="E284" s="284"/>
      <c r="F284" s="284"/>
      <c r="G284" s="284"/>
      <c r="H284" s="384"/>
      <c r="I284" s="384"/>
      <c r="J284" s="384"/>
      <c r="K284" s="384"/>
    </row>
    <row r="285" spans="3:11" x14ac:dyDescent="0.25">
      <c r="C285" s="421"/>
      <c r="D285" s="284"/>
      <c r="E285" s="284"/>
      <c r="F285" s="284"/>
      <c r="G285" s="284"/>
      <c r="H285" s="384"/>
      <c r="I285" s="384"/>
      <c r="J285" s="384"/>
      <c r="K285" s="384"/>
    </row>
    <row r="286" spans="3:11" ht="15" customHeight="1" x14ac:dyDescent="0.25">
      <c r="C286" s="421"/>
      <c r="D286" s="284"/>
      <c r="E286" s="284"/>
      <c r="F286" s="284"/>
      <c r="G286" s="284"/>
      <c r="H286" s="384"/>
      <c r="I286" s="384"/>
      <c r="J286" s="384"/>
      <c r="K286" s="384"/>
    </row>
    <row r="287" spans="3:11" x14ac:dyDescent="0.25">
      <c r="C287" s="387"/>
      <c r="D287" s="418"/>
      <c r="E287" s="419"/>
      <c r="F287" s="418"/>
      <c r="G287" s="418"/>
      <c r="H287" s="279"/>
      <c r="I287" s="279"/>
      <c r="J287" s="279"/>
      <c r="K287" s="384"/>
    </row>
    <row r="288" spans="3:11" x14ac:dyDescent="0.25">
      <c r="C288" s="284"/>
      <c r="D288" s="418"/>
      <c r="E288" s="419"/>
      <c r="F288" s="418"/>
      <c r="G288" s="418"/>
    </row>
    <row r="289" spans="3:11" x14ac:dyDescent="0.25">
      <c r="C289" s="284"/>
      <c r="D289" s="284"/>
      <c r="E289" s="284"/>
      <c r="F289" s="284"/>
      <c r="G289" s="284"/>
    </row>
    <row r="290" spans="3:11" x14ac:dyDescent="0.25">
      <c r="C290" s="390"/>
      <c r="D290" s="454"/>
      <c r="E290" s="421"/>
      <c r="G290" s="421"/>
    </row>
    <row r="291" spans="3:11" x14ac:dyDescent="0.25">
      <c r="C291" s="390"/>
      <c r="D291" s="454"/>
      <c r="E291" s="421"/>
      <c r="G291" s="421"/>
      <c r="H291" s="258"/>
      <c r="K291" s="384"/>
    </row>
    <row r="292" spans="3:11" x14ac:dyDescent="0.25">
      <c r="C292" s="390"/>
      <c r="D292" s="454"/>
      <c r="E292" s="424"/>
      <c r="G292" s="421"/>
      <c r="H292" s="384"/>
      <c r="I292" s="384"/>
      <c r="J292" s="455"/>
      <c r="K292" s="455"/>
    </row>
    <row r="293" spans="3:11" x14ac:dyDescent="0.25">
      <c r="C293" s="390"/>
      <c r="D293" s="454"/>
      <c r="E293" s="424"/>
      <c r="G293" s="421"/>
      <c r="J293" s="455"/>
    </row>
    <row r="294" spans="3:11" x14ac:dyDescent="0.25">
      <c r="C294" s="390"/>
      <c r="D294" s="454"/>
      <c r="E294" s="456"/>
      <c r="G294" s="284"/>
      <c r="H294" s="384"/>
    </row>
    <row r="295" spans="3:11" x14ac:dyDescent="0.3">
      <c r="E295" s="276"/>
      <c r="F295" s="308"/>
      <c r="G295" s="384"/>
    </row>
    <row r="296" spans="3:11" x14ac:dyDescent="0.3">
      <c r="E296" s="276"/>
      <c r="F296" s="457"/>
      <c r="G296" s="458"/>
      <c r="H296" s="384"/>
      <c r="I296" s="384"/>
    </row>
    <row r="306" spans="3:7" x14ac:dyDescent="0.25">
      <c r="C306" s="387"/>
      <c r="D306" s="387"/>
      <c r="E306" s="387"/>
      <c r="F306" s="387"/>
      <c r="G306" s="308"/>
    </row>
    <row r="307" spans="3:7" x14ac:dyDescent="0.25">
      <c r="C307" s="576"/>
      <c r="D307" s="621"/>
      <c r="E307" s="327"/>
      <c r="F307" s="354"/>
      <c r="G307" s="327"/>
    </row>
    <row r="308" spans="3:7" x14ac:dyDescent="0.25">
      <c r="C308" s="576"/>
      <c r="D308" s="328"/>
      <c r="F308" s="322"/>
    </row>
    <row r="309" spans="3:7" x14ac:dyDescent="0.25">
      <c r="C309" s="576"/>
      <c r="D309" s="328"/>
      <c r="F309" s="322"/>
    </row>
    <row r="310" spans="3:7" x14ac:dyDescent="0.25">
      <c r="C310" s="576"/>
      <c r="D310" s="328"/>
      <c r="F310" s="322"/>
    </row>
    <row r="311" spans="3:7" x14ac:dyDescent="0.25">
      <c r="C311" s="576"/>
      <c r="D311" s="328"/>
      <c r="F311" s="322"/>
    </row>
    <row r="312" spans="3:7" x14ac:dyDescent="0.25">
      <c r="C312" s="576"/>
      <c r="D312" s="328"/>
      <c r="F312" s="322"/>
    </row>
    <row r="313" spans="3:7" x14ac:dyDescent="0.25">
      <c r="C313" s="576"/>
      <c r="D313" s="328"/>
      <c r="F313" s="322"/>
    </row>
    <row r="314" spans="3:7" x14ac:dyDescent="0.25">
      <c r="C314" s="576"/>
      <c r="D314" s="328"/>
      <c r="F314" s="322"/>
    </row>
    <row r="315" spans="3:7" x14ac:dyDescent="0.25">
      <c r="C315" s="576"/>
      <c r="D315" s="328"/>
      <c r="F315" s="322"/>
    </row>
    <row r="316" spans="3:7" x14ac:dyDescent="0.3">
      <c r="C316" s="282"/>
      <c r="D316" s="328"/>
      <c r="F316" s="322"/>
    </row>
    <row r="317" spans="3:7" x14ac:dyDescent="0.3">
      <c r="C317" s="282"/>
      <c r="D317" s="328"/>
      <c r="F317" s="322"/>
    </row>
    <row r="318" spans="3:7" x14ac:dyDescent="0.3">
      <c r="C318" s="282"/>
      <c r="D318" s="328"/>
      <c r="F318" s="322"/>
    </row>
    <row r="319" spans="3:7" x14ac:dyDescent="0.3">
      <c r="C319" s="282"/>
      <c r="D319" s="328"/>
      <c r="F319" s="322"/>
    </row>
    <row r="320" spans="3:7" x14ac:dyDescent="0.3">
      <c r="C320" s="282"/>
      <c r="D320" s="328"/>
      <c r="F320" s="322"/>
    </row>
    <row r="321" spans="2:9" x14ac:dyDescent="0.3">
      <c r="C321" s="308"/>
      <c r="D321" s="328"/>
      <c r="F321" s="322"/>
    </row>
    <row r="322" spans="2:9" x14ac:dyDescent="0.3">
      <c r="C322" s="308"/>
      <c r="D322" s="328"/>
      <c r="F322" s="322"/>
    </row>
    <row r="323" spans="2:9" x14ac:dyDescent="0.3">
      <c r="C323" s="308"/>
      <c r="D323" s="328"/>
      <c r="F323" s="322"/>
    </row>
    <row r="324" spans="2:9" x14ac:dyDescent="0.3">
      <c r="C324" s="308"/>
      <c r="D324" s="328"/>
      <c r="F324" s="322"/>
    </row>
    <row r="327" spans="2:9" x14ac:dyDescent="0.25">
      <c r="B327" s="284"/>
      <c r="C327" s="284"/>
      <c r="D327" s="284"/>
      <c r="E327" s="284"/>
      <c r="F327" s="284"/>
      <c r="G327" s="284"/>
      <c r="H327" s="284"/>
      <c r="I327" s="259"/>
    </row>
    <row r="328" spans="2:9" x14ac:dyDescent="0.25">
      <c r="B328" s="284"/>
      <c r="C328" s="284"/>
      <c r="D328" s="284"/>
      <c r="E328" s="284"/>
      <c r="F328" s="284"/>
      <c r="G328" s="284"/>
      <c r="H328" s="284"/>
      <c r="I328" s="259"/>
    </row>
    <row r="329" spans="2:9" x14ac:dyDescent="0.25">
      <c r="B329" s="284"/>
      <c r="C329" s="284"/>
      <c r="D329" s="284"/>
      <c r="E329" s="284"/>
      <c r="F329" s="284"/>
      <c r="G329" s="284"/>
      <c r="H329" s="284"/>
      <c r="I329" s="259"/>
    </row>
    <row r="330" spans="2:9" x14ac:dyDescent="0.25">
      <c r="B330" s="387"/>
      <c r="C330" s="284"/>
      <c r="D330" s="387"/>
      <c r="E330" s="284"/>
      <c r="F330" s="284"/>
      <c r="G330" s="284"/>
      <c r="H330" s="284"/>
      <c r="I330" s="259"/>
    </row>
    <row r="331" spans="2:9" x14ac:dyDescent="0.25">
      <c r="B331" s="390"/>
      <c r="C331" s="390"/>
      <c r="D331" s="284"/>
      <c r="E331" s="284"/>
      <c r="F331" s="284"/>
      <c r="G331" s="284"/>
      <c r="H331" s="284"/>
      <c r="I331" s="259"/>
    </row>
    <row r="332" spans="2:9" x14ac:dyDescent="0.25">
      <c r="B332" s="284"/>
      <c r="C332" s="390"/>
      <c r="D332" s="422"/>
      <c r="E332" s="284"/>
    </row>
    <row r="333" spans="2:9" x14ac:dyDescent="0.25">
      <c r="B333" s="284"/>
      <c r="C333" s="390"/>
      <c r="D333" s="482"/>
      <c r="E333" s="483"/>
      <c r="F333" s="387"/>
      <c r="G333" s="419"/>
    </row>
    <row r="334" spans="2:9" x14ac:dyDescent="0.25">
      <c r="B334" s="284"/>
      <c r="C334" s="284"/>
      <c r="E334" s="387"/>
      <c r="H334" s="284"/>
      <c r="I334" s="259"/>
    </row>
    <row r="335" spans="2:9" x14ac:dyDescent="0.25">
      <c r="B335" s="284"/>
      <c r="C335" s="390"/>
      <c r="D335" s="269"/>
      <c r="E335" s="284"/>
      <c r="H335" s="284"/>
      <c r="I335" s="259"/>
    </row>
    <row r="336" spans="2:9" x14ac:dyDescent="0.25">
      <c r="B336" s="284"/>
      <c r="C336" s="390"/>
      <c r="D336" s="419"/>
      <c r="E336" s="259"/>
      <c r="F336" s="387"/>
      <c r="G336" s="419"/>
      <c r="H336" s="284"/>
      <c r="I336" s="259"/>
    </row>
    <row r="337" spans="2:9" x14ac:dyDescent="0.25">
      <c r="B337" s="284"/>
      <c r="C337" s="390"/>
      <c r="D337" s="284"/>
      <c r="E337" s="390"/>
      <c r="F337" s="387"/>
      <c r="G337" s="419"/>
      <c r="H337" s="284"/>
      <c r="I337" s="259"/>
    </row>
    <row r="338" spans="2:9" x14ac:dyDescent="0.25">
      <c r="B338" s="284"/>
      <c r="F338" s="387"/>
      <c r="G338" s="284"/>
      <c r="H338" s="387"/>
      <c r="I338" s="259"/>
    </row>
    <row r="339" spans="2:9" x14ac:dyDescent="0.25">
      <c r="B339" s="284"/>
      <c r="F339" s="284"/>
      <c r="G339" s="284"/>
      <c r="H339" s="284"/>
      <c r="I339" s="259"/>
    </row>
    <row r="340" spans="2:9" x14ac:dyDescent="0.25">
      <c r="B340" s="284"/>
      <c r="F340" s="484"/>
      <c r="G340" s="284"/>
      <c r="H340" s="284"/>
      <c r="I340" s="259"/>
    </row>
    <row r="341" spans="2:9" x14ac:dyDescent="0.25">
      <c r="B341" s="387"/>
      <c r="C341" s="284"/>
      <c r="D341" s="306"/>
      <c r="E341" s="306"/>
      <c r="F341" s="306"/>
      <c r="G341" s="306"/>
      <c r="H341" s="306"/>
      <c r="I341" s="259"/>
    </row>
    <row r="342" spans="2:9" x14ac:dyDescent="0.25">
      <c r="C342" s="390"/>
      <c r="D342" s="284"/>
      <c r="E342" s="284"/>
      <c r="F342" s="284"/>
      <c r="G342" s="284"/>
      <c r="H342" s="259"/>
      <c r="I342" s="259"/>
    </row>
    <row r="343" spans="2:9" x14ac:dyDescent="0.25">
      <c r="C343" s="390"/>
      <c r="D343" s="284"/>
      <c r="E343" s="284"/>
      <c r="F343" s="284"/>
      <c r="G343" s="284"/>
      <c r="H343" s="259"/>
      <c r="I343" s="259"/>
    </row>
    <row r="344" spans="2:9" x14ac:dyDescent="0.25">
      <c r="C344" s="390"/>
      <c r="D344" s="622"/>
      <c r="E344" s="622"/>
      <c r="F344" s="622"/>
      <c r="G344" s="622"/>
      <c r="H344" s="622"/>
      <c r="I344" s="259"/>
    </row>
    <row r="345" spans="2:9" x14ac:dyDescent="0.25">
      <c r="C345" s="390"/>
      <c r="D345" s="279"/>
      <c r="E345" s="284"/>
      <c r="F345" s="284"/>
      <c r="G345" s="284"/>
      <c r="H345" s="259"/>
      <c r="I345" s="259"/>
    </row>
    <row r="346" spans="2:9" x14ac:dyDescent="0.25">
      <c r="C346" s="390"/>
      <c r="D346" s="279"/>
      <c r="E346" s="284"/>
      <c r="F346" s="284"/>
      <c r="G346" s="284"/>
      <c r="H346" s="259"/>
      <c r="I346" s="259"/>
    </row>
    <row r="347" spans="2:9" x14ac:dyDescent="0.25">
      <c r="C347" s="390"/>
      <c r="D347" s="284"/>
      <c r="E347" s="387"/>
      <c r="F347" s="284"/>
      <c r="G347" s="284"/>
      <c r="H347" s="259"/>
      <c r="I347" s="259"/>
    </row>
    <row r="348" spans="2:9" x14ac:dyDescent="0.25">
      <c r="C348" s="390"/>
      <c r="D348" s="454"/>
      <c r="E348" s="284"/>
      <c r="F348" s="284"/>
      <c r="G348" s="284"/>
      <c r="H348" s="259"/>
      <c r="I348" s="259"/>
    </row>
    <row r="349" spans="2:9" x14ac:dyDescent="0.25">
      <c r="C349" s="390"/>
      <c r="D349" s="454"/>
      <c r="E349" s="284"/>
      <c r="F349" s="284"/>
      <c r="G349" s="284"/>
      <c r="H349" s="259"/>
      <c r="I349" s="259"/>
    </row>
    <row r="350" spans="2:9" x14ac:dyDescent="0.25">
      <c r="C350" s="390"/>
      <c r="D350" s="284"/>
      <c r="E350" s="493"/>
      <c r="F350" s="284"/>
      <c r="G350" s="284"/>
      <c r="H350" s="259"/>
      <c r="I350" s="259"/>
    </row>
    <row r="351" spans="2:9" x14ac:dyDescent="0.25">
      <c r="B351" s="284"/>
      <c r="C351" s="390"/>
      <c r="D351" s="284"/>
      <c r="E351" s="284"/>
      <c r="F351" s="284"/>
      <c r="G351" s="284"/>
      <c r="H351" s="259"/>
      <c r="I351" s="259"/>
    </row>
    <row r="352" spans="2:9" x14ac:dyDescent="0.25">
      <c r="B352" s="284"/>
      <c r="C352" s="390"/>
      <c r="D352" s="454"/>
      <c r="E352" s="284"/>
      <c r="F352" s="284"/>
      <c r="G352" s="284"/>
      <c r="H352" s="259"/>
      <c r="I352" s="259"/>
    </row>
    <row r="353" spans="2:9" x14ac:dyDescent="0.25">
      <c r="B353" s="421"/>
      <c r="C353" s="421"/>
      <c r="D353" s="421"/>
      <c r="E353" s="421"/>
      <c r="F353" s="421"/>
      <c r="G353" s="421"/>
      <c r="H353" s="454"/>
      <c r="I353" s="259"/>
    </row>
    <row r="354" spans="2:9" x14ac:dyDescent="0.25">
      <c r="B354" s="421"/>
      <c r="C354" s="421"/>
      <c r="D354" s="421"/>
      <c r="E354" s="421"/>
      <c r="G354" s="421"/>
      <c r="H354" s="454"/>
      <c r="I354" s="259"/>
    </row>
    <row r="355" spans="2:9" x14ac:dyDescent="0.25">
      <c r="B355" s="421"/>
      <c r="C355" s="390"/>
      <c r="D355" s="421"/>
      <c r="E355" s="421"/>
      <c r="G355" s="421"/>
      <c r="H355" s="454"/>
      <c r="I355" s="259"/>
    </row>
    <row r="356" spans="2:9" x14ac:dyDescent="0.25">
      <c r="B356" s="421"/>
      <c r="C356" s="390"/>
      <c r="D356" s="454"/>
      <c r="E356" s="421"/>
      <c r="G356" s="421"/>
      <c r="H356" s="454"/>
      <c r="I356" s="259"/>
    </row>
    <row r="357" spans="2:9" x14ac:dyDescent="0.25">
      <c r="B357" s="421"/>
      <c r="C357" s="390"/>
      <c r="E357" s="421"/>
      <c r="G357" s="421"/>
      <c r="H357" s="454"/>
      <c r="I357" s="259"/>
    </row>
    <row r="358" spans="2:9" x14ac:dyDescent="0.25">
      <c r="B358" s="421"/>
      <c r="C358" s="421"/>
      <c r="D358" s="421"/>
      <c r="E358" s="421"/>
      <c r="F358" s="421"/>
      <c r="G358" s="421"/>
      <c r="H358" s="454"/>
      <c r="I358" s="259"/>
    </row>
    <row r="359" spans="2:9" x14ac:dyDescent="0.25">
      <c r="B359" s="421"/>
      <c r="C359" s="421"/>
      <c r="E359" s="421"/>
      <c r="I359" s="259"/>
    </row>
    <row r="360" spans="2:9" x14ac:dyDescent="0.25">
      <c r="B360" s="421"/>
      <c r="C360" s="390"/>
      <c r="D360" s="421"/>
      <c r="E360" s="454"/>
      <c r="I360" s="259"/>
    </row>
    <row r="361" spans="2:9" x14ac:dyDescent="0.25">
      <c r="B361" s="421"/>
      <c r="C361" s="390"/>
      <c r="D361" s="422"/>
      <c r="E361" s="454"/>
      <c r="I361" s="259"/>
    </row>
    <row r="362" spans="2:9" x14ac:dyDescent="0.25">
      <c r="B362" s="421"/>
      <c r="C362" s="390"/>
      <c r="D362" s="422"/>
      <c r="E362" s="454"/>
      <c r="I362" s="259"/>
    </row>
    <row r="363" spans="2:9" x14ac:dyDescent="0.25">
      <c r="B363" s="421"/>
      <c r="F363" s="390"/>
      <c r="G363" s="422"/>
      <c r="H363" s="454"/>
      <c r="I363" s="259"/>
    </row>
    <row r="364" spans="2:9" x14ac:dyDescent="0.25">
      <c r="B364" s="387"/>
      <c r="C364" s="421"/>
      <c r="D364" s="421"/>
      <c r="E364" s="421"/>
      <c r="F364" s="421"/>
      <c r="G364" s="421"/>
      <c r="H364" s="454"/>
      <c r="I364" s="259"/>
    </row>
    <row r="365" spans="2:9" x14ac:dyDescent="0.25">
      <c r="B365" s="387"/>
      <c r="C365" s="421"/>
      <c r="D365" s="421"/>
      <c r="E365" s="421"/>
      <c r="F365" s="421"/>
      <c r="G365" s="421"/>
      <c r="H365" s="454"/>
      <c r="I365" s="259"/>
    </row>
    <row r="366" spans="2:9" x14ac:dyDescent="0.25">
      <c r="B366" s="387"/>
      <c r="C366" s="390"/>
      <c r="D366" s="421"/>
      <c r="E366" s="421"/>
      <c r="F366" s="421"/>
      <c r="G366" s="421"/>
      <c r="H366" s="454"/>
      <c r="I366" s="259"/>
    </row>
    <row r="367" spans="2:9" x14ac:dyDescent="0.25">
      <c r="B367" s="387"/>
      <c r="C367" s="390"/>
      <c r="D367" s="422"/>
      <c r="E367" s="421"/>
      <c r="F367" s="421"/>
      <c r="G367" s="421"/>
      <c r="H367" s="454"/>
      <c r="I367" s="259"/>
    </row>
    <row r="368" spans="2:9" x14ac:dyDescent="0.25">
      <c r="B368" s="387"/>
      <c r="C368" s="390"/>
      <c r="D368" s="422"/>
      <c r="E368" s="421"/>
      <c r="F368" s="421"/>
      <c r="G368" s="421"/>
      <c r="H368" s="454"/>
      <c r="I368" s="259"/>
    </row>
    <row r="369" spans="2:9" x14ac:dyDescent="0.25">
      <c r="B369" s="387"/>
      <c r="F369" s="421"/>
      <c r="G369" s="421"/>
      <c r="H369" s="454"/>
      <c r="I369" s="259"/>
    </row>
    <row r="370" spans="2:9" x14ac:dyDescent="0.25">
      <c r="B370" s="387"/>
      <c r="C370" s="390"/>
      <c r="D370" s="421"/>
      <c r="E370" s="421"/>
      <c r="F370" s="421"/>
      <c r="G370" s="421"/>
      <c r="H370" s="454"/>
      <c r="I370" s="259"/>
    </row>
    <row r="371" spans="2:9" x14ac:dyDescent="0.25">
      <c r="B371" s="387"/>
      <c r="C371" s="421"/>
      <c r="D371" s="421"/>
      <c r="E371" s="421"/>
      <c r="F371" s="421"/>
      <c r="G371" s="421"/>
      <c r="H371" s="454"/>
      <c r="I371" s="259"/>
    </row>
    <row r="372" spans="2:9" x14ac:dyDescent="0.25">
      <c r="B372" s="421"/>
      <c r="C372" s="259"/>
      <c r="D372" s="259"/>
      <c r="E372" s="259"/>
      <c r="F372" s="259"/>
      <c r="G372" s="259"/>
      <c r="H372" s="259"/>
      <c r="I372" s="259"/>
    </row>
    <row r="373" spans="2:9" x14ac:dyDescent="0.25">
      <c r="B373" s="421"/>
      <c r="C373" s="259"/>
      <c r="D373" s="259"/>
      <c r="E373" s="259"/>
      <c r="F373" s="259"/>
      <c r="G373" s="259"/>
      <c r="H373" s="259"/>
      <c r="I373" s="259"/>
    </row>
    <row r="374" spans="2:9" x14ac:dyDescent="0.25">
      <c r="B374" s="387"/>
      <c r="C374" s="390"/>
      <c r="D374" s="421"/>
      <c r="E374" s="421"/>
      <c r="F374" s="421"/>
      <c r="G374" s="421"/>
      <c r="H374" s="284"/>
      <c r="I374" s="259"/>
    </row>
    <row r="375" spans="2:9" x14ac:dyDescent="0.25">
      <c r="B375" s="387"/>
      <c r="C375" s="390"/>
      <c r="D375" s="421"/>
      <c r="E375" s="421"/>
      <c r="F375" s="421"/>
      <c r="G375" s="421"/>
      <c r="H375" s="421"/>
      <c r="I375" s="259"/>
    </row>
    <row r="376" spans="2:9" x14ac:dyDescent="0.25">
      <c r="B376" s="387"/>
      <c r="C376" s="390"/>
      <c r="D376" s="422"/>
      <c r="E376" s="284"/>
      <c r="F376" s="484"/>
      <c r="G376" s="484"/>
      <c r="H376" s="421"/>
      <c r="I376" s="259"/>
    </row>
    <row r="377" spans="2:9" x14ac:dyDescent="0.25">
      <c r="B377" s="387"/>
      <c r="C377" s="390"/>
      <c r="D377" s="422"/>
      <c r="E377" s="284"/>
      <c r="F377" s="387"/>
      <c r="G377" s="387"/>
      <c r="H377" s="424"/>
      <c r="I377" s="259"/>
    </row>
    <row r="378" spans="2:9" x14ac:dyDescent="0.25">
      <c r="B378" s="387"/>
      <c r="C378" s="390"/>
      <c r="D378" s="387"/>
      <c r="E378" s="284"/>
      <c r="F378" s="387"/>
      <c r="G378" s="387"/>
      <c r="H378" s="424"/>
      <c r="I378" s="259"/>
    </row>
    <row r="379" spans="2:9" x14ac:dyDescent="0.25">
      <c r="B379" s="387"/>
      <c r="C379" s="284"/>
      <c r="D379" s="387"/>
      <c r="E379" s="390"/>
      <c r="F379" s="387"/>
      <c r="G379" s="284"/>
      <c r="H379" s="284"/>
      <c r="I379" s="259"/>
    </row>
    <row r="380" spans="2:9" x14ac:dyDescent="0.25">
      <c r="B380" s="387"/>
      <c r="C380" s="259"/>
      <c r="D380" s="259"/>
      <c r="E380" s="259"/>
      <c r="F380" s="259"/>
      <c r="G380" s="259"/>
      <c r="H380" s="259"/>
      <c r="I380" s="259"/>
    </row>
    <row r="381" spans="2:9" x14ac:dyDescent="0.25">
      <c r="B381" s="387"/>
      <c r="C381" s="259"/>
      <c r="D381" s="259"/>
      <c r="E381" s="259"/>
      <c r="F381" s="259"/>
      <c r="G381" s="259"/>
      <c r="H381" s="259"/>
      <c r="I381" s="259"/>
    </row>
    <row r="382" spans="2:9" x14ac:dyDescent="0.25">
      <c r="B382" s="387"/>
      <c r="C382" s="259"/>
      <c r="D382" s="259"/>
      <c r="E382" s="259"/>
      <c r="F382" s="259"/>
      <c r="G382" s="259"/>
      <c r="H382" s="259"/>
      <c r="I382" s="259"/>
    </row>
    <row r="383" spans="2:9" x14ac:dyDescent="0.25">
      <c r="B383" s="387"/>
      <c r="C383" s="259"/>
      <c r="D383" s="259"/>
      <c r="E383" s="259"/>
      <c r="F383" s="259"/>
      <c r="G383" s="259"/>
      <c r="H383" s="259"/>
      <c r="I383" s="259"/>
    </row>
    <row r="384" spans="2:9" x14ac:dyDescent="0.25">
      <c r="B384" s="387"/>
      <c r="C384" s="259"/>
      <c r="D384" s="259"/>
      <c r="E384" s="259"/>
      <c r="F384" s="259"/>
      <c r="G384" s="259"/>
      <c r="H384" s="259"/>
      <c r="I384" s="259"/>
    </row>
    <row r="385" spans="2:9" x14ac:dyDescent="0.25">
      <c r="B385" s="387"/>
      <c r="C385" s="259"/>
      <c r="D385" s="259"/>
      <c r="E385" s="259"/>
      <c r="F385" s="259"/>
      <c r="G385" s="259"/>
      <c r="H385" s="259"/>
      <c r="I385" s="259"/>
    </row>
    <row r="386" spans="2:9" x14ac:dyDescent="0.25">
      <c r="B386" s="387"/>
      <c r="C386" s="259"/>
      <c r="D386" s="259"/>
      <c r="E386" s="259"/>
      <c r="F386" s="259"/>
      <c r="G386" s="259"/>
      <c r="H386" s="259"/>
      <c r="I386" s="259"/>
    </row>
    <row r="387" spans="2:9" x14ac:dyDescent="0.25">
      <c r="B387" s="387"/>
      <c r="C387" s="259"/>
      <c r="D387" s="259"/>
      <c r="E387" s="259"/>
      <c r="F387" s="259"/>
      <c r="G387" s="259"/>
      <c r="H387" s="259"/>
      <c r="I387" s="259"/>
    </row>
    <row r="388" spans="2:9" x14ac:dyDescent="0.25">
      <c r="B388" s="387"/>
      <c r="C388" s="259"/>
      <c r="D388" s="259"/>
      <c r="E388" s="259"/>
      <c r="F388" s="259"/>
      <c r="G388" s="259"/>
      <c r="H388" s="259"/>
      <c r="I388" s="259"/>
    </row>
    <row r="389" spans="2:9" x14ac:dyDescent="0.25">
      <c r="B389" s="387"/>
      <c r="C389" s="390"/>
      <c r="D389" s="421"/>
      <c r="E389" s="259"/>
      <c r="F389" s="259"/>
      <c r="G389" s="259"/>
      <c r="H389" s="259"/>
      <c r="I389" s="259"/>
    </row>
    <row r="390" spans="2:9" x14ac:dyDescent="0.25">
      <c r="B390" s="387"/>
      <c r="C390" s="390"/>
      <c r="D390" s="422"/>
      <c r="E390" s="284"/>
      <c r="F390" s="259"/>
      <c r="G390" s="259"/>
      <c r="H390" s="259"/>
      <c r="I390" s="259"/>
    </row>
    <row r="391" spans="2:9" x14ac:dyDescent="0.25">
      <c r="B391" s="387"/>
      <c r="C391" s="390"/>
      <c r="D391" s="422"/>
      <c r="E391" s="284"/>
      <c r="F391" s="259"/>
      <c r="G391" s="259"/>
      <c r="H391" s="259"/>
      <c r="I391" s="259"/>
    </row>
    <row r="392" spans="2:9" x14ac:dyDescent="0.25">
      <c r="B392" s="387"/>
      <c r="F392" s="259"/>
      <c r="G392" s="259"/>
      <c r="H392" s="259"/>
      <c r="I392" s="259"/>
    </row>
    <row r="393" spans="2:9" x14ac:dyDescent="0.25">
      <c r="B393" s="387"/>
      <c r="C393" s="284"/>
      <c r="D393" s="284"/>
      <c r="E393" s="284"/>
      <c r="F393" s="284"/>
      <c r="G393" s="284"/>
      <c r="H393" s="284"/>
      <c r="I393" s="259"/>
    </row>
    <row r="394" spans="2:9" x14ac:dyDescent="0.25">
      <c r="B394" s="387"/>
      <c r="C394" s="259"/>
      <c r="D394" s="259"/>
      <c r="E394" s="259"/>
      <c r="F394" s="259"/>
      <c r="G394" s="259"/>
      <c r="H394" s="259"/>
      <c r="I394" s="259"/>
    </row>
    <row r="395" spans="2:9" x14ac:dyDescent="0.25">
      <c r="B395" s="387"/>
      <c r="C395" s="259"/>
      <c r="D395" s="259"/>
      <c r="E395" s="259"/>
      <c r="F395" s="259"/>
      <c r="G395" s="259"/>
      <c r="H395" s="259"/>
      <c r="I395" s="259"/>
    </row>
    <row r="396" spans="2:9" x14ac:dyDescent="0.25">
      <c r="B396" s="387"/>
      <c r="C396" s="259"/>
      <c r="D396" s="259"/>
      <c r="E396" s="259"/>
      <c r="F396" s="259"/>
      <c r="G396" s="259"/>
      <c r="H396" s="259"/>
      <c r="I396" s="259"/>
    </row>
    <row r="397" spans="2:9" x14ac:dyDescent="0.25">
      <c r="B397" s="387"/>
      <c r="C397" s="390"/>
      <c r="D397" s="284"/>
      <c r="E397" s="284"/>
      <c r="F397" s="284"/>
      <c r="G397" s="284"/>
      <c r="H397" s="284"/>
      <c r="I397" s="259"/>
    </row>
    <row r="398" spans="2:9" x14ac:dyDescent="0.25">
      <c r="B398" s="387"/>
      <c r="C398" s="390"/>
      <c r="D398" s="422"/>
      <c r="E398" s="284"/>
      <c r="F398" s="284"/>
      <c r="G398" s="284"/>
      <c r="H398" s="390"/>
      <c r="I398" s="259"/>
    </row>
    <row r="399" spans="2:9" x14ac:dyDescent="0.25">
      <c r="B399" s="387"/>
      <c r="C399" s="390"/>
      <c r="D399" s="422"/>
      <c r="E399" s="284"/>
      <c r="F399" s="284"/>
      <c r="G399" s="284"/>
      <c r="H399" s="390"/>
      <c r="I399" s="259"/>
    </row>
    <row r="400" spans="2:9" x14ac:dyDescent="0.25">
      <c r="B400" s="387"/>
      <c r="F400" s="284"/>
      <c r="G400" s="284"/>
      <c r="H400" s="284"/>
      <c r="I400" s="259"/>
    </row>
    <row r="401" spans="2:9" x14ac:dyDescent="0.25">
      <c r="B401" s="306"/>
      <c r="C401" s="306"/>
      <c r="D401" s="306"/>
      <c r="E401" s="306"/>
      <c r="F401" s="306"/>
      <c r="G401" s="306"/>
      <c r="H401" s="306"/>
      <c r="I401" s="259"/>
    </row>
    <row r="402" spans="2:9" x14ac:dyDescent="0.25">
      <c r="B402" s="306"/>
      <c r="C402" s="306"/>
      <c r="D402" s="306"/>
      <c r="E402" s="306"/>
      <c r="F402" s="306"/>
      <c r="G402" s="306"/>
      <c r="H402" s="306"/>
      <c r="I402" s="259"/>
    </row>
    <row r="403" spans="2:9" x14ac:dyDescent="0.25">
      <c r="B403" s="306"/>
      <c r="C403" s="306"/>
      <c r="D403" s="306"/>
      <c r="E403" s="306"/>
      <c r="F403" s="306"/>
      <c r="G403" s="306"/>
      <c r="H403" s="306"/>
      <c r="I403" s="259"/>
    </row>
    <row r="404" spans="2:9" x14ac:dyDescent="0.25">
      <c r="B404" s="259"/>
      <c r="C404" s="259"/>
      <c r="D404" s="259"/>
      <c r="E404" s="259"/>
      <c r="F404" s="259"/>
      <c r="G404" s="259"/>
      <c r="H404" s="259"/>
      <c r="I404" s="259"/>
    </row>
    <row r="405" spans="2:9" x14ac:dyDescent="0.25">
      <c r="B405" s="259"/>
      <c r="C405" s="259"/>
      <c r="D405" s="259"/>
      <c r="E405" s="259"/>
      <c r="F405" s="259"/>
      <c r="G405" s="259"/>
      <c r="H405" s="259"/>
      <c r="I405" s="259"/>
    </row>
  </sheetData>
  <mergeCells count="21">
    <mergeCell ref="F207:F208"/>
    <mergeCell ref="C230:E230"/>
    <mergeCell ref="I230:J230"/>
    <mergeCell ref="F231:F232"/>
    <mergeCell ref="C185:D185"/>
    <mergeCell ref="C191:D191"/>
    <mergeCell ref="C201:J203"/>
    <mergeCell ref="C204:D204"/>
    <mergeCell ref="C206:E206"/>
    <mergeCell ref="I206:J206"/>
    <mergeCell ref="C52:J52"/>
    <mergeCell ref="C88:J88"/>
    <mergeCell ref="E90:G90"/>
    <mergeCell ref="M91:O91"/>
    <mergeCell ref="C178:D178"/>
    <mergeCell ref="F178:G178"/>
    <mergeCell ref="B14:C14"/>
    <mergeCell ref="B15:C15"/>
    <mergeCell ref="B16:C16"/>
    <mergeCell ref="B17:C17"/>
    <mergeCell ref="B18:C18"/>
  </mergeCells>
  <pageMargins left="0.7" right="0.7" top="0.75" bottom="0.75" header="0.511811023622047" footer="0.511811023622047"/>
  <pageSetup fitToHeight="0"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656"/>
  <sheetViews>
    <sheetView showGridLines="0" topLeftCell="A84" zoomScale="130" zoomScaleNormal="130" workbookViewId="0">
      <selection activeCell="C26" sqref="C26"/>
    </sheetView>
  </sheetViews>
  <sheetFormatPr defaultColWidth="9" defaultRowHeight="12" x14ac:dyDescent="0.3"/>
  <cols>
    <col min="1" max="1" width="9.19921875" style="623" customWidth="1"/>
    <col min="2" max="2" width="10.69921875" style="623" customWidth="1"/>
    <col min="3" max="3" width="12.19921875" style="623" customWidth="1"/>
    <col min="4" max="4" width="10.5" style="623" customWidth="1"/>
    <col min="5" max="5" width="9.19921875" style="623" customWidth="1"/>
    <col min="6" max="6" width="11.3984375" style="623" customWidth="1"/>
    <col min="7" max="7" width="10.5" style="623" customWidth="1"/>
    <col min="8" max="11" width="9.19921875" style="623" customWidth="1"/>
    <col min="12" max="16384" width="9" style="623"/>
  </cols>
  <sheetData>
    <row r="1" spans="1:6" x14ac:dyDescent="0.3">
      <c r="A1" s="624"/>
    </row>
    <row r="2" spans="1:6" x14ac:dyDescent="0.3">
      <c r="A2" s="624">
        <v>1</v>
      </c>
      <c r="B2" s="625" t="s">
        <v>943</v>
      </c>
    </row>
    <row r="3" spans="1:6" x14ac:dyDescent="0.3">
      <c r="A3" s="624"/>
    </row>
    <row r="4" spans="1:6" x14ac:dyDescent="0.3">
      <c r="A4" s="626">
        <v>1.1000000000000001</v>
      </c>
      <c r="B4" s="626" t="s">
        <v>944</v>
      </c>
      <c r="C4" s="627"/>
      <c r="D4" s="627"/>
      <c r="E4" s="627"/>
    </row>
    <row r="5" spans="1:6" x14ac:dyDescent="0.3">
      <c r="A5" s="624"/>
      <c r="B5" s="627" t="s">
        <v>945</v>
      </c>
      <c r="C5" s="623" t="s">
        <v>946</v>
      </c>
    </row>
    <row r="6" spans="1:6" x14ac:dyDescent="0.3">
      <c r="A6" s="624"/>
      <c r="B6" s="623" t="s">
        <v>945</v>
      </c>
      <c r="C6" s="627" t="s">
        <v>947</v>
      </c>
    </row>
    <row r="7" spans="1:6" ht="14.4" x14ac:dyDescent="0.3">
      <c r="A7" s="624"/>
      <c r="B7" s="627" t="s">
        <v>948</v>
      </c>
      <c r="C7" s="623" t="s">
        <v>949</v>
      </c>
      <c r="F7" s="628"/>
    </row>
    <row r="8" spans="1:6" x14ac:dyDescent="0.3">
      <c r="A8" s="624"/>
      <c r="B8" s="623" t="s">
        <v>950</v>
      </c>
      <c r="C8" s="623" t="s">
        <v>951</v>
      </c>
    </row>
    <row r="9" spans="1:6" x14ac:dyDescent="0.3">
      <c r="A9" s="624"/>
      <c r="B9" s="623" t="s">
        <v>952</v>
      </c>
      <c r="C9" s="623" t="s">
        <v>953</v>
      </c>
    </row>
    <row r="10" spans="1:6" x14ac:dyDescent="0.3">
      <c r="A10" s="624"/>
      <c r="B10" s="623" t="s">
        <v>954</v>
      </c>
      <c r="C10" s="623" t="s">
        <v>955</v>
      </c>
    </row>
    <row r="11" spans="1:6" x14ac:dyDescent="0.3">
      <c r="A11" s="624"/>
    </row>
    <row r="12" spans="1:6" x14ac:dyDescent="0.3">
      <c r="A12" s="624" t="s">
        <v>174</v>
      </c>
      <c r="B12" s="626" t="s">
        <v>956</v>
      </c>
    </row>
    <row r="13" spans="1:6" x14ac:dyDescent="0.3">
      <c r="A13" s="624"/>
      <c r="B13" s="627" t="s">
        <v>957</v>
      </c>
      <c r="C13" s="627" t="s">
        <v>958</v>
      </c>
    </row>
    <row r="14" spans="1:6" x14ac:dyDescent="0.3">
      <c r="A14" s="624"/>
      <c r="B14" s="623" t="s">
        <v>959</v>
      </c>
      <c r="C14" s="628" t="s">
        <v>960</v>
      </c>
    </row>
    <row r="15" spans="1:6" x14ac:dyDescent="0.3">
      <c r="A15" s="624"/>
      <c r="B15" s="623" t="s">
        <v>961</v>
      </c>
      <c r="C15" s="623" t="s">
        <v>962</v>
      </c>
    </row>
    <row r="16" spans="1:6" x14ac:dyDescent="0.3">
      <c r="A16" s="624"/>
    </row>
    <row r="17" spans="1:6" x14ac:dyDescent="0.3">
      <c r="A17" s="624"/>
      <c r="B17" s="623" t="s">
        <v>963</v>
      </c>
    </row>
    <row r="18" spans="1:6" x14ac:dyDescent="0.3">
      <c r="A18" s="624"/>
      <c r="C18" s="1300" t="s">
        <v>964</v>
      </c>
      <c r="D18" s="1300"/>
      <c r="E18" s="1300"/>
      <c r="F18" s="629" t="s">
        <v>965</v>
      </c>
    </row>
    <row r="19" spans="1:6" x14ac:dyDescent="0.3">
      <c r="A19" s="624"/>
      <c r="C19" s="1301" t="s">
        <v>966</v>
      </c>
      <c r="D19" s="1301"/>
      <c r="E19" s="1301"/>
      <c r="F19" s="630" t="s">
        <v>967</v>
      </c>
    </row>
    <row r="20" spans="1:6" x14ac:dyDescent="0.3">
      <c r="A20" s="624"/>
      <c r="C20" s="1301" t="s">
        <v>968</v>
      </c>
      <c r="D20" s="1301"/>
      <c r="E20" s="1301"/>
      <c r="F20" s="630" t="s">
        <v>969</v>
      </c>
    </row>
    <row r="21" spans="1:6" x14ac:dyDescent="0.3">
      <c r="A21" s="624"/>
      <c r="C21" s="1301" t="s">
        <v>970</v>
      </c>
      <c r="D21" s="1301"/>
      <c r="E21" s="1301"/>
      <c r="F21" s="630" t="s">
        <v>971</v>
      </c>
    </row>
    <row r="22" spans="1:6" x14ac:dyDescent="0.3">
      <c r="A22" s="624"/>
    </row>
    <row r="23" spans="1:6" x14ac:dyDescent="0.3">
      <c r="A23" s="624"/>
      <c r="B23" s="1302" t="s">
        <v>972</v>
      </c>
      <c r="C23" s="1302"/>
      <c r="D23" s="623">
        <v>1</v>
      </c>
    </row>
    <row r="24" spans="1:6" x14ac:dyDescent="0.3">
      <c r="A24" s="624"/>
      <c r="B24" s="623" t="s">
        <v>973</v>
      </c>
    </row>
    <row r="25" spans="1:6" x14ac:dyDescent="0.3">
      <c r="A25" s="624"/>
      <c r="B25" s="623" t="s">
        <v>305</v>
      </c>
      <c r="C25" s="631">
        <f>'EN &amp; GEAR (2)'!C30</f>
        <v>10073.147518694765</v>
      </c>
      <c r="D25" s="623" t="s">
        <v>262</v>
      </c>
    </row>
    <row r="26" spans="1:6" x14ac:dyDescent="0.3">
      <c r="A26" s="624"/>
      <c r="C26" s="631">
        <f>C25*HARVARLD!F223</f>
        <v>7717.3433460039641</v>
      </c>
      <c r="D26" s="623" t="s">
        <v>260</v>
      </c>
    </row>
    <row r="27" spans="1:6" x14ac:dyDescent="0.3">
      <c r="A27" s="624"/>
      <c r="B27" s="623" t="s">
        <v>974</v>
      </c>
      <c r="C27" s="632">
        <f>D23*C26</f>
        <v>7717.3433460039641</v>
      </c>
      <c r="D27" s="623" t="s">
        <v>260</v>
      </c>
    </row>
    <row r="28" spans="1:6" x14ac:dyDescent="0.3">
      <c r="A28" s="624"/>
    </row>
    <row r="29" spans="1:6" x14ac:dyDescent="0.3">
      <c r="A29" s="624" t="s">
        <v>175</v>
      </c>
      <c r="B29" s="624" t="s">
        <v>975</v>
      </c>
    </row>
    <row r="30" spans="1:6" ht="13.2" x14ac:dyDescent="0.3">
      <c r="A30" s="624"/>
      <c r="B30" s="627" t="s">
        <v>976</v>
      </c>
      <c r="C30" s="627" t="s">
        <v>977</v>
      </c>
      <c r="D30" s="627"/>
    </row>
    <row r="31" spans="1:6" x14ac:dyDescent="0.3">
      <c r="A31" s="624"/>
      <c r="C31" s="623" t="s">
        <v>976</v>
      </c>
      <c r="D31" s="623" t="s">
        <v>955</v>
      </c>
    </row>
    <row r="32" spans="1:6" x14ac:dyDescent="0.3">
      <c r="A32" s="624"/>
      <c r="C32" s="623" t="s">
        <v>778</v>
      </c>
      <c r="D32" s="623" t="s">
        <v>978</v>
      </c>
    </row>
    <row r="33" spans="1:20" x14ac:dyDescent="0.3">
      <c r="A33" s="624"/>
      <c r="C33" s="623" t="s">
        <v>979</v>
      </c>
      <c r="D33" s="627" t="s">
        <v>980</v>
      </c>
    </row>
    <row r="34" spans="1:20" x14ac:dyDescent="0.3">
      <c r="A34" s="624"/>
      <c r="B34" s="623" t="s">
        <v>981</v>
      </c>
    </row>
    <row r="35" spans="1:20" x14ac:dyDescent="0.3">
      <c r="A35" s="624"/>
      <c r="B35" s="623" t="s">
        <v>778</v>
      </c>
      <c r="C35" s="633">
        <f>'EN &amp; GEAR (2)'!C50</f>
        <v>136.05442176870747</v>
      </c>
      <c r="D35" s="623" t="s">
        <v>622</v>
      </c>
    </row>
    <row r="36" spans="1:20" x14ac:dyDescent="0.3">
      <c r="A36" s="624"/>
      <c r="B36" s="623" t="s">
        <v>982</v>
      </c>
      <c r="C36" s="633">
        <f>9.74*10^5*(C27/C35)</f>
        <v>55247689.279707789</v>
      </c>
      <c r="D36" s="623" t="s">
        <v>983</v>
      </c>
    </row>
    <row r="37" spans="1:20" x14ac:dyDescent="0.3">
      <c r="A37" s="624"/>
    </row>
    <row r="38" spans="1:20" ht="14.4" x14ac:dyDescent="0.3">
      <c r="A38" s="624" t="s">
        <v>358</v>
      </c>
      <c r="B38" s="624" t="s">
        <v>984</v>
      </c>
    </row>
    <row r="39" spans="1:20" ht="14.4" x14ac:dyDescent="0.3">
      <c r="A39" s="624"/>
      <c r="B39" s="627" t="s">
        <v>948</v>
      </c>
      <c r="C39" s="627" t="s">
        <v>985</v>
      </c>
    </row>
    <row r="40" spans="1:20" x14ac:dyDescent="0.3">
      <c r="A40" s="624"/>
      <c r="C40" s="1303" t="s">
        <v>986</v>
      </c>
      <c r="D40" s="1303"/>
      <c r="E40" s="627"/>
    </row>
    <row r="41" spans="1:20" ht="13.2" x14ac:dyDescent="0.3">
      <c r="A41" s="624"/>
      <c r="C41" s="627" t="s">
        <v>987</v>
      </c>
      <c r="D41" s="627">
        <f>'PROPELL (0.969)'!L243 * 1000</f>
        <v>246.85525848774554</v>
      </c>
      <c r="E41" s="627" t="s">
        <v>988</v>
      </c>
      <c r="O41" s="635"/>
      <c r="P41" s="635"/>
      <c r="Q41" s="635"/>
      <c r="R41" s="635"/>
      <c r="S41" s="635"/>
      <c r="T41" s="635"/>
    </row>
    <row r="42" spans="1:20" ht="14.4" x14ac:dyDescent="0.3">
      <c r="A42" s="624"/>
      <c r="C42" s="627" t="s">
        <v>989</v>
      </c>
      <c r="D42" s="627"/>
      <c r="F42" s="627">
        <v>6</v>
      </c>
      <c r="O42" s="635"/>
      <c r="P42" s="635"/>
      <c r="Q42" s="635"/>
      <c r="R42" s="635"/>
      <c r="S42" s="635"/>
      <c r="T42" s="635"/>
    </row>
    <row r="43" spans="1:20" ht="14.4" x14ac:dyDescent="0.3">
      <c r="A43" s="624"/>
      <c r="C43" s="1304" t="s">
        <v>990</v>
      </c>
      <c r="D43" s="1304"/>
      <c r="F43" s="627">
        <v>2</v>
      </c>
      <c r="P43" s="635"/>
      <c r="Q43" s="635"/>
      <c r="R43" s="635"/>
      <c r="S43" s="635"/>
      <c r="T43" s="635"/>
    </row>
    <row r="44" spans="1:20" ht="14.4" x14ac:dyDescent="0.3">
      <c r="A44" s="624"/>
      <c r="B44" s="623" t="s">
        <v>991</v>
      </c>
      <c r="C44" s="632">
        <f>D41/(F42*F43)</f>
        <v>20.571271540645462</v>
      </c>
      <c r="D44" s="623" t="s">
        <v>992</v>
      </c>
      <c r="O44" s="635"/>
      <c r="P44" s="635"/>
      <c r="Q44" s="635"/>
      <c r="R44" s="635"/>
      <c r="S44" s="635"/>
      <c r="T44" s="635"/>
    </row>
    <row r="45" spans="1:20" x14ac:dyDescent="0.3">
      <c r="A45" s="624"/>
      <c r="O45" s="635"/>
      <c r="P45" s="635"/>
      <c r="Q45" s="635"/>
      <c r="R45" s="635"/>
      <c r="S45" s="635"/>
      <c r="T45" s="635"/>
    </row>
    <row r="46" spans="1:20" x14ac:dyDescent="0.3">
      <c r="A46" s="624" t="s">
        <v>362</v>
      </c>
      <c r="B46" s="625" t="s">
        <v>993</v>
      </c>
      <c r="C46" s="628"/>
      <c r="D46" s="628"/>
      <c r="E46" s="628"/>
      <c r="F46" s="628"/>
      <c r="G46" s="628"/>
      <c r="O46" s="636"/>
      <c r="P46" s="635"/>
      <c r="Q46" s="635"/>
      <c r="R46" s="635"/>
      <c r="S46" s="635"/>
      <c r="T46" s="635"/>
    </row>
    <row r="47" spans="1:20" x14ac:dyDescent="0.3">
      <c r="A47" s="624"/>
      <c r="B47" s="628" t="s">
        <v>994</v>
      </c>
      <c r="C47" s="637">
        <v>1</v>
      </c>
      <c r="D47" s="628" t="s">
        <v>995</v>
      </c>
      <c r="E47" s="628"/>
      <c r="G47" s="628"/>
      <c r="O47" s="638"/>
      <c r="P47" s="635"/>
      <c r="Q47" s="635"/>
      <c r="R47" s="635"/>
      <c r="S47" s="635"/>
      <c r="T47" s="635"/>
    </row>
    <row r="48" spans="1:20" x14ac:dyDescent="0.3">
      <c r="A48" s="624"/>
      <c r="B48" s="628" t="s">
        <v>994</v>
      </c>
      <c r="C48" s="637" t="s">
        <v>996</v>
      </c>
      <c r="D48" s="628" t="s">
        <v>997</v>
      </c>
      <c r="E48" s="628"/>
      <c r="G48" s="628"/>
      <c r="O48" s="638"/>
      <c r="P48" s="635"/>
      <c r="Q48" s="635"/>
      <c r="R48" s="635"/>
      <c r="S48" s="635"/>
      <c r="T48" s="635"/>
    </row>
    <row r="49" spans="1:25" x14ac:dyDescent="0.3">
      <c r="A49" s="624"/>
      <c r="B49" s="628" t="s">
        <v>994</v>
      </c>
      <c r="C49" s="637" t="s">
        <v>998</v>
      </c>
      <c r="D49" s="628" t="s">
        <v>999</v>
      </c>
      <c r="E49" s="628"/>
      <c r="G49" s="628"/>
      <c r="O49" s="638"/>
      <c r="P49" s="635"/>
      <c r="Q49" s="635"/>
      <c r="R49" s="635"/>
      <c r="S49" s="635"/>
      <c r="T49" s="635"/>
    </row>
    <row r="50" spans="1:25" x14ac:dyDescent="0.3">
      <c r="A50" s="624"/>
      <c r="B50" s="628" t="s">
        <v>1000</v>
      </c>
      <c r="C50" s="639">
        <v>1.5</v>
      </c>
      <c r="D50" s="640"/>
      <c r="E50" s="628"/>
      <c r="F50" s="628"/>
      <c r="G50" s="628"/>
      <c r="O50" s="638"/>
      <c r="P50" s="635"/>
      <c r="Q50" s="635"/>
      <c r="R50" s="635"/>
      <c r="S50" s="635"/>
      <c r="T50" s="635"/>
    </row>
    <row r="51" spans="1:25" x14ac:dyDescent="0.3">
      <c r="A51" s="624"/>
      <c r="B51" s="628"/>
      <c r="C51" s="628"/>
      <c r="D51" s="628"/>
      <c r="E51" s="628"/>
      <c r="F51" s="628"/>
      <c r="G51" s="628"/>
      <c r="O51" s="638"/>
      <c r="P51" s="635"/>
      <c r="Q51" s="635"/>
      <c r="R51" s="635"/>
      <c r="S51" s="635"/>
      <c r="T51" s="635"/>
    </row>
    <row r="52" spans="1:25" x14ac:dyDescent="0.3">
      <c r="A52" s="624" t="s">
        <v>370</v>
      </c>
      <c r="B52" s="625" t="s">
        <v>1001</v>
      </c>
      <c r="C52" s="628"/>
      <c r="D52" s="628"/>
      <c r="E52" s="628"/>
      <c r="F52" s="628"/>
      <c r="G52" s="628"/>
      <c r="O52" s="636"/>
      <c r="P52" s="635"/>
      <c r="Q52" s="635"/>
      <c r="R52" s="635"/>
      <c r="S52" s="635"/>
      <c r="T52" s="635"/>
    </row>
    <row r="53" spans="1:25" x14ac:dyDescent="0.3">
      <c r="A53" s="624"/>
      <c r="B53" s="628" t="s">
        <v>1002</v>
      </c>
      <c r="C53" s="637">
        <v>1</v>
      </c>
      <c r="D53" s="628" t="s">
        <v>1003</v>
      </c>
      <c r="E53" s="628"/>
      <c r="F53" s="628"/>
      <c r="O53" s="636"/>
      <c r="P53" s="635"/>
      <c r="Q53" s="635"/>
      <c r="R53" s="635"/>
      <c r="S53" s="635"/>
      <c r="T53" s="635"/>
    </row>
    <row r="54" spans="1:25" x14ac:dyDescent="0.3">
      <c r="A54" s="624"/>
      <c r="B54" s="628" t="s">
        <v>1002</v>
      </c>
      <c r="C54" s="637" t="s">
        <v>1004</v>
      </c>
      <c r="D54" s="628" t="s">
        <v>1005</v>
      </c>
      <c r="E54" s="628"/>
      <c r="F54" s="628"/>
      <c r="O54" s="635"/>
      <c r="P54" s="635"/>
      <c r="Q54" s="635"/>
      <c r="R54" s="635"/>
      <c r="S54" s="635"/>
      <c r="T54" s="635"/>
    </row>
    <row r="55" spans="1:25" x14ac:dyDescent="0.3">
      <c r="A55" s="624"/>
      <c r="B55" s="628" t="s">
        <v>1006</v>
      </c>
      <c r="C55" s="641">
        <v>2</v>
      </c>
      <c r="E55" s="628"/>
      <c r="F55" s="628"/>
      <c r="G55" s="628"/>
      <c r="O55" s="635"/>
      <c r="P55" s="635"/>
      <c r="Q55" s="635"/>
      <c r="R55" s="635"/>
      <c r="S55" s="635"/>
      <c r="T55" s="635"/>
    </row>
    <row r="56" spans="1:25" x14ac:dyDescent="0.3">
      <c r="A56" s="624"/>
      <c r="O56" s="635"/>
      <c r="P56" s="642"/>
      <c r="Q56" s="635"/>
      <c r="R56" s="635"/>
      <c r="S56" s="635"/>
      <c r="T56" s="635"/>
    </row>
    <row r="57" spans="1:25" x14ac:dyDescent="0.3">
      <c r="A57" s="624" t="s">
        <v>375</v>
      </c>
      <c r="B57" s="626" t="s">
        <v>1007</v>
      </c>
      <c r="O57" s="635"/>
      <c r="P57" s="635"/>
      <c r="R57" s="643"/>
      <c r="S57" s="635"/>
      <c r="T57" s="635"/>
    </row>
    <row r="58" spans="1:25" ht="13.2" x14ac:dyDescent="0.3">
      <c r="A58" s="624"/>
      <c r="B58" s="627" t="s">
        <v>1008</v>
      </c>
      <c r="O58" s="635"/>
      <c r="P58" s="644"/>
      <c r="Q58" s="635"/>
      <c r="R58" s="635"/>
      <c r="S58" s="635"/>
      <c r="T58" s="635"/>
    </row>
    <row r="59" spans="1:25" x14ac:dyDescent="0.3">
      <c r="A59" s="624"/>
      <c r="B59" s="623" t="s">
        <v>10</v>
      </c>
      <c r="C59" s="632">
        <f>((5.1/C44)*C50*C55*C36)^(1/3)</f>
        <v>345.07603887453229</v>
      </c>
      <c r="D59" s="623" t="s">
        <v>28</v>
      </c>
      <c r="E59" s="645"/>
      <c r="O59" s="635"/>
      <c r="P59" s="635"/>
      <c r="R59" s="643"/>
      <c r="S59" s="635"/>
      <c r="T59" s="635"/>
    </row>
    <row r="60" spans="1:25" x14ac:dyDescent="0.3">
      <c r="A60" s="624"/>
      <c r="B60" s="623" t="s">
        <v>1009</v>
      </c>
      <c r="C60" s="646">
        <f>C59</f>
        <v>345.07603887453229</v>
      </c>
      <c r="D60" s="623" t="s">
        <v>28</v>
      </c>
      <c r="O60" s="635"/>
      <c r="P60" s="635"/>
      <c r="Q60" s="635"/>
      <c r="S60" s="635"/>
      <c r="T60" s="635"/>
      <c r="U60" s="635"/>
      <c r="W60" s="635"/>
      <c r="X60" s="635"/>
      <c r="Y60" s="635"/>
    </row>
    <row r="61" spans="1:25" x14ac:dyDescent="0.3">
      <c r="A61" s="624" t="s">
        <v>379</v>
      </c>
      <c r="B61" s="626" t="s">
        <v>1010</v>
      </c>
      <c r="O61" s="635"/>
      <c r="P61" s="635"/>
      <c r="S61" s="635"/>
      <c r="T61" s="635"/>
      <c r="W61" s="635"/>
      <c r="X61" s="635"/>
    </row>
    <row r="62" spans="1:25" x14ac:dyDescent="0.3">
      <c r="A62" s="624"/>
      <c r="B62" s="627" t="s">
        <v>1011</v>
      </c>
      <c r="C62" s="623" t="s">
        <v>1012</v>
      </c>
      <c r="O62" s="635"/>
      <c r="P62" s="635"/>
      <c r="Q62" s="647"/>
      <c r="R62" s="635"/>
      <c r="S62" s="635"/>
      <c r="T62" s="635"/>
    </row>
    <row r="63" spans="1:25" ht="13.2" x14ac:dyDescent="0.3">
      <c r="A63" s="624"/>
      <c r="B63" s="623" t="s">
        <v>10</v>
      </c>
      <c r="C63" s="632">
        <f>5.1*C36/(C60^3)</f>
        <v>6.8570905135485054</v>
      </c>
      <c r="D63" s="623" t="s">
        <v>992</v>
      </c>
      <c r="Q63" s="633"/>
    </row>
    <row r="64" spans="1:25" ht="14.4" x14ac:dyDescent="0.3">
      <c r="A64" s="624"/>
      <c r="B64" s="623" t="s">
        <v>1013</v>
      </c>
      <c r="D64" s="627" t="s">
        <v>1014</v>
      </c>
      <c r="E64" s="623" t="s">
        <v>802</v>
      </c>
      <c r="F64" s="627" t="s">
        <v>1015</v>
      </c>
    </row>
    <row r="65" spans="1:12" x14ac:dyDescent="0.3">
      <c r="A65" s="624"/>
      <c r="D65" s="648">
        <f>C44</f>
        <v>20.571271540645462</v>
      </c>
      <c r="E65" s="649" t="s">
        <v>802</v>
      </c>
      <c r="F65" s="648">
        <f>C63</f>
        <v>6.8570905135485054</v>
      </c>
    </row>
    <row r="66" spans="1:12" x14ac:dyDescent="0.3">
      <c r="A66" s="624"/>
      <c r="B66" s="623" t="s">
        <v>1016</v>
      </c>
      <c r="F66" s="650" t="str">
        <f>IF(D65&gt;F65,"memenuhi","tidak memenuhi")</f>
        <v>memenuhi</v>
      </c>
    </row>
    <row r="67" spans="1:12" x14ac:dyDescent="0.3">
      <c r="A67" s="624"/>
      <c r="B67" s="651" t="s">
        <v>1017</v>
      </c>
      <c r="C67" s="651"/>
      <c r="D67" s="651"/>
      <c r="E67" s="651"/>
      <c r="F67" s="652"/>
      <c r="G67" s="651"/>
    </row>
    <row r="68" spans="1:12" x14ac:dyDescent="0.3">
      <c r="A68" s="624"/>
    </row>
    <row r="69" spans="1:12" x14ac:dyDescent="0.3">
      <c r="A69" s="624" t="s">
        <v>1018</v>
      </c>
      <c r="B69" s="625" t="s">
        <v>1019</v>
      </c>
    </row>
    <row r="70" spans="1:12" x14ac:dyDescent="0.3">
      <c r="A70" s="624"/>
      <c r="B70" s="653" t="s">
        <v>1020</v>
      </c>
    </row>
    <row r="71" spans="1:12" x14ac:dyDescent="0.3">
      <c r="A71" s="624"/>
      <c r="B71" s="653"/>
    </row>
    <row r="72" spans="1:12" x14ac:dyDescent="0.3">
      <c r="A72" s="624"/>
      <c r="B72" s="653"/>
    </row>
    <row r="73" spans="1:12" x14ac:dyDescent="0.3">
      <c r="A73" s="624"/>
      <c r="B73" s="653"/>
    </row>
    <row r="74" spans="1:12" x14ac:dyDescent="0.3">
      <c r="A74" s="624"/>
      <c r="B74" s="653"/>
    </row>
    <row r="75" spans="1:12" x14ac:dyDescent="0.3">
      <c r="A75" s="624"/>
      <c r="B75" s="653"/>
    </row>
    <row r="76" spans="1:12" x14ac:dyDescent="0.3">
      <c r="A76" s="624"/>
      <c r="B76" s="628" t="s">
        <v>107</v>
      </c>
    </row>
    <row r="77" spans="1:12" x14ac:dyDescent="0.3">
      <c r="A77" s="624"/>
      <c r="B77" s="623" t="s">
        <v>1021</v>
      </c>
      <c r="C77" s="623" t="s">
        <v>1022</v>
      </c>
    </row>
    <row r="78" spans="1:12" ht="12" customHeight="1" x14ac:dyDescent="0.3">
      <c r="A78" s="624"/>
      <c r="B78" s="623" t="s">
        <v>1023</v>
      </c>
      <c r="C78" s="1305" t="s">
        <v>1024</v>
      </c>
      <c r="D78" s="1305"/>
      <c r="E78" s="1305"/>
      <c r="F78" s="1305"/>
      <c r="G78" s="1305"/>
      <c r="H78" s="1305"/>
      <c r="I78" s="1305"/>
      <c r="L78" s="623" t="s">
        <v>1025</v>
      </c>
    </row>
    <row r="79" spans="1:12" x14ac:dyDescent="0.3">
      <c r="A79" s="624"/>
      <c r="C79" s="1305"/>
      <c r="D79" s="1305"/>
      <c r="E79" s="1305"/>
      <c r="F79" s="1305"/>
      <c r="G79" s="1305"/>
      <c r="H79" s="1305"/>
      <c r="I79" s="1305"/>
    </row>
    <row r="80" spans="1:12" x14ac:dyDescent="0.3">
      <c r="A80" s="624"/>
      <c r="B80" s="623" t="s">
        <v>10</v>
      </c>
      <c r="C80" s="654">
        <v>1</v>
      </c>
      <c r="D80" s="654"/>
      <c r="E80" s="654"/>
      <c r="F80" s="654"/>
      <c r="G80" s="654"/>
      <c r="H80" s="654"/>
      <c r="I80" s="654"/>
    </row>
    <row r="81" spans="1:4" x14ac:dyDescent="0.3">
      <c r="A81" s="624"/>
      <c r="B81" s="623" t="s">
        <v>1026</v>
      </c>
      <c r="C81" s="623" t="s">
        <v>1027</v>
      </c>
    </row>
    <row r="82" spans="1:4" x14ac:dyDescent="0.3">
      <c r="A82" s="624"/>
      <c r="B82" s="623" t="s">
        <v>1028</v>
      </c>
      <c r="C82" s="631">
        <f>C26</f>
        <v>7717.3433460039641</v>
      </c>
      <c r="D82" s="623" t="s">
        <v>260</v>
      </c>
    </row>
    <row r="83" spans="1:4" x14ac:dyDescent="0.3">
      <c r="A83" s="624"/>
      <c r="B83" s="623" t="s">
        <v>778</v>
      </c>
      <c r="C83" s="623" t="s">
        <v>1029</v>
      </c>
    </row>
    <row r="84" spans="1:4" x14ac:dyDescent="0.3">
      <c r="A84" s="624"/>
      <c r="B84" s="623" t="s">
        <v>10</v>
      </c>
      <c r="C84" s="631">
        <f>C35</f>
        <v>136.05442176870747</v>
      </c>
      <c r="D84" s="623" t="s">
        <v>1030</v>
      </c>
    </row>
    <row r="85" spans="1:4" ht="13.2" x14ac:dyDescent="0.3">
      <c r="A85" s="624"/>
      <c r="B85" s="623" t="s">
        <v>1031</v>
      </c>
      <c r="C85" s="623" t="s">
        <v>1032</v>
      </c>
    </row>
    <row r="86" spans="1:4" x14ac:dyDescent="0.3">
      <c r="A86" s="624"/>
      <c r="B86" s="623" t="s">
        <v>10</v>
      </c>
      <c r="C86" s="623">
        <v>580</v>
      </c>
      <c r="D86" s="623" t="s">
        <v>1033</v>
      </c>
    </row>
    <row r="87" spans="1:4" x14ac:dyDescent="0.3">
      <c r="A87" s="624"/>
      <c r="B87" s="623" t="s">
        <v>1034</v>
      </c>
      <c r="C87" s="623" t="s">
        <v>1035</v>
      </c>
    </row>
    <row r="88" spans="1:4" x14ac:dyDescent="0.3">
      <c r="A88" s="624"/>
      <c r="B88" s="623" t="s">
        <v>10</v>
      </c>
      <c r="C88" s="655">
        <f>(C86)/(C86+160)</f>
        <v>0.78378378378378377</v>
      </c>
    </row>
    <row r="89" spans="1:4" x14ac:dyDescent="0.3">
      <c r="A89" s="624"/>
      <c r="B89" s="623" t="s">
        <v>1036</v>
      </c>
      <c r="C89" s="623" t="s">
        <v>1037</v>
      </c>
    </row>
    <row r="90" spans="1:4" x14ac:dyDescent="0.3">
      <c r="A90" s="624"/>
      <c r="B90" s="623" t="s">
        <v>10</v>
      </c>
      <c r="C90" s="623">
        <v>35</v>
      </c>
    </row>
    <row r="91" spans="1:4" x14ac:dyDescent="0.3">
      <c r="A91" s="624"/>
      <c r="B91" s="623" t="s">
        <v>1038</v>
      </c>
      <c r="C91" s="623" t="s">
        <v>1039</v>
      </c>
    </row>
    <row r="92" spans="1:4" x14ac:dyDescent="0.3">
      <c r="A92" s="624"/>
      <c r="C92" s="623">
        <v>1.1499999999999999</v>
      </c>
    </row>
    <row r="93" spans="1:4" x14ac:dyDescent="0.3">
      <c r="A93" s="624"/>
    </row>
    <row r="94" spans="1:4" x14ac:dyDescent="0.3">
      <c r="A94" s="624"/>
      <c r="B94" s="623" t="s">
        <v>1040</v>
      </c>
      <c r="C94" s="655">
        <f>C90*C92*((C82/(C84*1)*(C88))^(1/3))</f>
        <v>142.58801720121269</v>
      </c>
      <c r="D94" s="623" t="s">
        <v>28</v>
      </c>
    </row>
    <row r="95" spans="1:4" x14ac:dyDescent="0.3">
      <c r="A95" s="624"/>
      <c r="C95" s="633">
        <f>C94</f>
        <v>142.58801720121269</v>
      </c>
      <c r="D95" s="623" t="s">
        <v>28</v>
      </c>
    </row>
    <row r="96" spans="1:4" x14ac:dyDescent="0.3">
      <c r="A96" s="624"/>
    </row>
    <row r="97" spans="1:6" ht="14.4" x14ac:dyDescent="0.3">
      <c r="A97" s="624"/>
      <c r="B97" s="635" t="s">
        <v>1041</v>
      </c>
      <c r="D97" s="623" t="s">
        <v>1042</v>
      </c>
      <c r="E97" s="623" t="s">
        <v>802</v>
      </c>
      <c r="F97" s="635" t="s">
        <v>1043</v>
      </c>
    </row>
    <row r="98" spans="1:6" x14ac:dyDescent="0.3">
      <c r="A98" s="624"/>
      <c r="D98" s="656">
        <f>C60</f>
        <v>345.07603887453229</v>
      </c>
      <c r="E98" s="657" t="s">
        <v>802</v>
      </c>
      <c r="F98" s="656">
        <f>C95</f>
        <v>142.58801720121269</v>
      </c>
    </row>
    <row r="99" spans="1:6" x14ac:dyDescent="0.3">
      <c r="A99" s="624"/>
      <c r="B99" s="651" t="s">
        <v>1044</v>
      </c>
      <c r="C99" s="623" t="s">
        <v>1045</v>
      </c>
      <c r="E99" s="650" t="str">
        <f>IF(D98&gt;F98,"memenuhi","tidak memenuhi")</f>
        <v>memenuhi</v>
      </c>
    </row>
    <row r="102" spans="1:6" x14ac:dyDescent="0.3">
      <c r="A102" s="626">
        <v>2</v>
      </c>
      <c r="B102" s="626" t="s">
        <v>1046</v>
      </c>
      <c r="C102" s="627"/>
      <c r="D102" s="627"/>
      <c r="E102" s="627"/>
    </row>
    <row r="103" spans="1:6" x14ac:dyDescent="0.3">
      <c r="A103" s="626"/>
      <c r="B103" s="626"/>
      <c r="C103" s="627"/>
      <c r="D103" s="627"/>
      <c r="E103" s="627"/>
    </row>
    <row r="104" spans="1:6" x14ac:dyDescent="0.3">
      <c r="A104" s="626"/>
      <c r="B104" s="626"/>
      <c r="C104" s="627"/>
      <c r="D104" s="627"/>
      <c r="E104" s="627"/>
    </row>
    <row r="105" spans="1:6" x14ac:dyDescent="0.3">
      <c r="A105" s="626"/>
      <c r="B105" s="626"/>
      <c r="C105" s="627"/>
      <c r="D105" s="627"/>
      <c r="E105" s="627"/>
    </row>
    <row r="106" spans="1:6" x14ac:dyDescent="0.3">
      <c r="A106" s="626"/>
      <c r="B106" s="626"/>
      <c r="C106" s="627"/>
      <c r="D106" s="627"/>
      <c r="E106" s="627"/>
    </row>
    <row r="107" spans="1:6" x14ac:dyDescent="0.3">
      <c r="A107" s="626"/>
      <c r="B107" s="626"/>
      <c r="C107" s="627"/>
      <c r="D107" s="627"/>
      <c r="E107" s="627"/>
    </row>
    <row r="108" spans="1:6" x14ac:dyDescent="0.3">
      <c r="A108" s="626"/>
      <c r="B108" s="626"/>
      <c r="C108" s="627"/>
      <c r="D108" s="627"/>
      <c r="E108" s="627"/>
      <c r="F108" s="623" t="s">
        <v>1047</v>
      </c>
    </row>
    <row r="109" spans="1:6" x14ac:dyDescent="0.3">
      <c r="A109" s="626"/>
      <c r="B109" s="626"/>
      <c r="C109" s="627"/>
      <c r="D109" s="627"/>
      <c r="E109" s="627"/>
    </row>
    <row r="110" spans="1:6" x14ac:dyDescent="0.3">
      <c r="A110" s="626"/>
      <c r="B110" s="626"/>
      <c r="C110" s="627"/>
      <c r="D110" s="627"/>
      <c r="E110" s="627"/>
    </row>
    <row r="111" spans="1:6" x14ac:dyDescent="0.3">
      <c r="A111" s="626"/>
      <c r="B111" s="626"/>
      <c r="C111" s="627"/>
      <c r="D111" s="627"/>
      <c r="E111" s="627"/>
    </row>
    <row r="112" spans="1:6" x14ac:dyDescent="0.3">
      <c r="A112" s="626"/>
      <c r="B112" s="626"/>
      <c r="C112" s="627"/>
      <c r="D112" s="627"/>
      <c r="E112" s="627"/>
    </row>
    <row r="113" spans="1:9" x14ac:dyDescent="0.3">
      <c r="A113" s="626"/>
      <c r="B113" s="626"/>
      <c r="C113" s="627"/>
      <c r="D113" s="627"/>
      <c r="E113" s="627"/>
    </row>
    <row r="114" spans="1:9" x14ac:dyDescent="0.3">
      <c r="A114" s="626"/>
      <c r="B114" s="626"/>
      <c r="C114" s="627"/>
      <c r="D114" s="627"/>
      <c r="E114" s="627"/>
    </row>
    <row r="115" spans="1:9" x14ac:dyDescent="0.3">
      <c r="A115" s="626"/>
      <c r="B115" s="626"/>
      <c r="C115" s="627"/>
      <c r="D115" s="627"/>
      <c r="E115" s="627"/>
    </row>
    <row r="116" spans="1:9" x14ac:dyDescent="0.3">
      <c r="A116" s="626"/>
      <c r="B116" s="626"/>
      <c r="C116" s="627"/>
      <c r="D116" s="627"/>
      <c r="E116" s="627"/>
    </row>
    <row r="117" spans="1:9" x14ac:dyDescent="0.3">
      <c r="A117" s="626"/>
      <c r="B117" s="626"/>
      <c r="C117" s="627"/>
      <c r="D117" s="627"/>
      <c r="E117" s="627"/>
    </row>
    <row r="118" spans="1:9" x14ac:dyDescent="0.3">
      <c r="A118" s="626"/>
      <c r="B118" s="626"/>
      <c r="C118" s="627"/>
      <c r="D118" s="627"/>
      <c r="E118" s="627"/>
    </row>
    <row r="119" spans="1:9" x14ac:dyDescent="0.3">
      <c r="A119" s="626"/>
      <c r="B119" s="627" t="s">
        <v>1048</v>
      </c>
      <c r="C119" s="627"/>
      <c r="D119" s="627"/>
      <c r="E119" s="627"/>
      <c r="F119" s="658" t="s">
        <v>1049</v>
      </c>
      <c r="G119" s="623">
        <v>1000</v>
      </c>
    </row>
    <row r="120" spans="1:9" x14ac:dyDescent="0.3">
      <c r="A120" s="626"/>
      <c r="B120" s="659" t="s">
        <v>1050</v>
      </c>
      <c r="C120" s="627" t="s">
        <v>1051</v>
      </c>
      <c r="D120" s="627"/>
      <c r="E120" s="627"/>
      <c r="G120" s="647">
        <f>C144/G119</f>
        <v>0.82737497098699531</v>
      </c>
      <c r="I120" s="627"/>
    </row>
    <row r="121" spans="1:9" x14ac:dyDescent="0.3">
      <c r="A121" s="626"/>
      <c r="B121" s="659" t="s">
        <v>1052</v>
      </c>
      <c r="C121" s="627" t="s">
        <v>1053</v>
      </c>
      <c r="D121" s="627"/>
      <c r="E121" s="627"/>
      <c r="G121" s="647">
        <f>C150/G119</f>
        <v>0.96527079948482786</v>
      </c>
      <c r="I121" s="627"/>
    </row>
    <row r="122" spans="1:9" x14ac:dyDescent="0.3">
      <c r="A122" s="626"/>
      <c r="B122" s="627" t="s">
        <v>1054</v>
      </c>
      <c r="C122" s="627" t="s">
        <v>1055</v>
      </c>
      <c r="D122" s="627"/>
      <c r="E122" s="627"/>
      <c r="G122" s="647">
        <f>C136/G119</f>
        <v>0.9193055233188836</v>
      </c>
      <c r="I122" s="627"/>
    </row>
    <row r="123" spans="1:9" x14ac:dyDescent="0.3">
      <c r="A123" s="626"/>
      <c r="B123" s="627" t="s">
        <v>1056</v>
      </c>
      <c r="C123" s="623" t="s">
        <v>1057</v>
      </c>
      <c r="D123" s="627"/>
      <c r="E123" s="627"/>
      <c r="G123" s="647">
        <f>C156/G119</f>
        <v>0.8281824932988775</v>
      </c>
      <c r="I123" s="627"/>
    </row>
    <row r="124" spans="1:9" x14ac:dyDescent="0.3">
      <c r="A124" s="626"/>
      <c r="B124" s="626" t="s">
        <v>1058</v>
      </c>
      <c r="C124" s="627" t="s">
        <v>1059</v>
      </c>
      <c r="D124" s="627"/>
      <c r="E124" s="627"/>
      <c r="G124" s="647">
        <f>C162/G119</f>
        <v>0.24845474798966324</v>
      </c>
      <c r="I124" s="627"/>
    </row>
    <row r="125" spans="1:9" x14ac:dyDescent="0.3">
      <c r="A125" s="626"/>
      <c r="B125" s="627" t="s">
        <v>1060</v>
      </c>
      <c r="C125" s="627" t="s">
        <v>1061</v>
      </c>
      <c r="D125" s="627"/>
      <c r="E125" s="627"/>
      <c r="G125" s="647">
        <f>C166/G119</f>
        <v>0.18578779288630135</v>
      </c>
      <c r="I125" s="626"/>
    </row>
    <row r="126" spans="1:9" x14ac:dyDescent="0.3">
      <c r="A126" s="626"/>
      <c r="B126" s="626" t="s">
        <v>1062</v>
      </c>
      <c r="C126" s="627" t="s">
        <v>1063</v>
      </c>
      <c r="D126" s="627"/>
      <c r="E126" s="627"/>
      <c r="G126" s="647">
        <f>C170/G119</f>
        <v>0.18578779288630135</v>
      </c>
      <c r="I126" s="626"/>
    </row>
    <row r="127" spans="1:9" x14ac:dyDescent="0.3">
      <c r="A127" s="626"/>
      <c r="B127" s="626" t="s">
        <v>1064</v>
      </c>
      <c r="C127" s="627" t="s">
        <v>1065</v>
      </c>
      <c r="D127" s="627"/>
      <c r="E127" s="627"/>
      <c r="G127" s="647">
        <f>C174/G119</f>
        <v>0.24771705718173509</v>
      </c>
      <c r="I127" s="627"/>
    </row>
    <row r="128" spans="1:9" x14ac:dyDescent="0.3">
      <c r="A128" s="626"/>
      <c r="B128" s="627" t="s">
        <v>945</v>
      </c>
      <c r="C128" s="627" t="s">
        <v>1066</v>
      </c>
      <c r="D128" s="627"/>
      <c r="E128" s="627"/>
      <c r="G128" s="647">
        <f>C60/G119</f>
        <v>0.34507603887453231</v>
      </c>
      <c r="I128" s="627"/>
    </row>
    <row r="129" spans="1:9" x14ac:dyDescent="0.3">
      <c r="A129" s="626"/>
      <c r="B129" s="627" t="s">
        <v>1067</v>
      </c>
      <c r="C129" s="627" t="s">
        <v>1068</v>
      </c>
      <c r="D129" s="627"/>
      <c r="E129" s="627"/>
      <c r="G129" s="647">
        <f>C198/G119</f>
        <v>0.25305576184132367</v>
      </c>
      <c r="I129" s="626"/>
    </row>
    <row r="130" spans="1:9" x14ac:dyDescent="0.3">
      <c r="A130" s="626"/>
      <c r="B130" s="626"/>
      <c r="C130" s="627"/>
      <c r="D130" s="627"/>
      <c r="E130" s="627"/>
    </row>
    <row r="131" spans="1:9" x14ac:dyDescent="0.3">
      <c r="A131" s="626"/>
      <c r="B131" s="626"/>
      <c r="C131" s="627"/>
      <c r="D131" s="627"/>
      <c r="E131" s="627"/>
    </row>
    <row r="132" spans="1:9" x14ac:dyDescent="0.3">
      <c r="A132" s="626"/>
      <c r="B132" s="626"/>
      <c r="C132" s="627"/>
      <c r="D132" s="627"/>
      <c r="E132" s="627"/>
    </row>
    <row r="133" spans="1:9" x14ac:dyDescent="0.3">
      <c r="A133" s="626">
        <v>2.1</v>
      </c>
      <c r="B133" s="626" t="s">
        <v>1069</v>
      </c>
      <c r="C133" s="627"/>
      <c r="D133" s="627"/>
      <c r="E133" s="626"/>
    </row>
    <row r="134" spans="1:9" x14ac:dyDescent="0.3">
      <c r="A134" s="626" t="s">
        <v>174</v>
      </c>
      <c r="B134" s="626" t="s">
        <v>1070</v>
      </c>
      <c r="C134" s="626"/>
      <c r="D134" s="626"/>
      <c r="E134" s="627"/>
    </row>
    <row r="135" spans="1:9" x14ac:dyDescent="0.3">
      <c r="A135" s="627"/>
      <c r="B135" s="627" t="s">
        <v>1054</v>
      </c>
      <c r="C135" s="627" t="s">
        <v>1071</v>
      </c>
      <c r="D135" s="627"/>
    </row>
    <row r="136" spans="1:9" x14ac:dyDescent="0.3">
      <c r="A136" s="627"/>
      <c r="B136" s="627" t="s">
        <v>10</v>
      </c>
      <c r="C136" s="660">
        <f>0.167*EPM!D15*1000</f>
        <v>919.30552331888362</v>
      </c>
      <c r="D136" s="627" t="s">
        <v>28</v>
      </c>
      <c r="E136" s="627"/>
    </row>
    <row r="137" spans="1:9" x14ac:dyDescent="0.3">
      <c r="A137" s="627"/>
      <c r="B137" s="627" t="s">
        <v>1072</v>
      </c>
      <c r="C137" s="627" t="s">
        <v>1073</v>
      </c>
      <c r="D137" s="627"/>
    </row>
    <row r="138" spans="1:9" x14ac:dyDescent="0.3">
      <c r="A138" s="627"/>
      <c r="B138" s="627" t="s">
        <v>10</v>
      </c>
      <c r="C138" s="660">
        <f>0.045*EPM!D15*1000</f>
        <v>247.7170571817351</v>
      </c>
      <c r="D138" s="627" t="s">
        <v>28</v>
      </c>
      <c r="E138" s="627"/>
    </row>
    <row r="139" spans="1:9" x14ac:dyDescent="0.3">
      <c r="A139" s="627"/>
      <c r="B139" s="627" t="s">
        <v>1074</v>
      </c>
      <c r="C139" s="660"/>
      <c r="D139" s="627"/>
      <c r="E139" s="627"/>
    </row>
    <row r="140" spans="1:9" x14ac:dyDescent="0.3">
      <c r="A140" s="627"/>
      <c r="B140" s="627"/>
      <c r="C140" s="660"/>
      <c r="D140" s="627"/>
      <c r="E140" s="627"/>
    </row>
    <row r="141" spans="1:9" x14ac:dyDescent="0.3">
      <c r="A141" s="626" t="s">
        <v>175</v>
      </c>
      <c r="B141" s="626" t="s">
        <v>1075</v>
      </c>
      <c r="C141" s="626"/>
      <c r="D141" s="626"/>
      <c r="E141" s="627"/>
    </row>
    <row r="142" spans="1:9" x14ac:dyDescent="0.3">
      <c r="A142" s="627"/>
      <c r="B142" s="627" t="s">
        <v>1076</v>
      </c>
      <c r="C142" s="627" t="s">
        <v>1077</v>
      </c>
      <c r="D142" s="627"/>
      <c r="E142" s="627"/>
    </row>
    <row r="143" spans="1:9" x14ac:dyDescent="0.3">
      <c r="A143" s="627"/>
      <c r="B143" s="627" t="s">
        <v>10</v>
      </c>
      <c r="C143" s="627" t="s">
        <v>1078</v>
      </c>
      <c r="D143" s="627"/>
      <c r="E143" s="627"/>
    </row>
    <row r="144" spans="1:9" x14ac:dyDescent="0.3">
      <c r="A144" s="627"/>
      <c r="B144" s="627" t="s">
        <v>1050</v>
      </c>
      <c r="C144" s="661">
        <f>0.9*C136</f>
        <v>827.37497098699532</v>
      </c>
      <c r="D144" s="627" t="s">
        <v>28</v>
      </c>
      <c r="E144" s="627"/>
    </row>
    <row r="145" spans="1:5" x14ac:dyDescent="0.3">
      <c r="A145" s="627"/>
      <c r="B145" s="627" t="s">
        <v>1079</v>
      </c>
      <c r="C145" s="661"/>
      <c r="D145" s="627"/>
      <c r="E145" s="627"/>
    </row>
    <row r="146" spans="1:5" x14ac:dyDescent="0.3">
      <c r="A146" s="627"/>
      <c r="B146" s="627"/>
      <c r="C146" s="627"/>
      <c r="D146" s="627"/>
      <c r="E146" s="627"/>
    </row>
    <row r="147" spans="1:5" x14ac:dyDescent="0.3">
      <c r="A147" s="626" t="s">
        <v>358</v>
      </c>
      <c r="B147" s="626" t="s">
        <v>1080</v>
      </c>
      <c r="C147" s="626"/>
      <c r="D147" s="626"/>
      <c r="E147" s="627"/>
    </row>
    <row r="148" spans="1:5" x14ac:dyDescent="0.3">
      <c r="A148" s="627"/>
      <c r="B148" s="626" t="s">
        <v>1081</v>
      </c>
      <c r="C148" s="627" t="s">
        <v>1082</v>
      </c>
      <c r="D148" s="627"/>
      <c r="E148" s="626"/>
    </row>
    <row r="149" spans="1:5" x14ac:dyDescent="0.3">
      <c r="A149" s="627"/>
      <c r="B149" s="627" t="s">
        <v>10</v>
      </c>
      <c r="C149" s="627" t="s">
        <v>1083</v>
      </c>
      <c r="D149" s="627"/>
      <c r="E149" s="627"/>
    </row>
    <row r="150" spans="1:5" x14ac:dyDescent="0.3">
      <c r="A150" s="627"/>
      <c r="B150" s="626" t="s">
        <v>1052</v>
      </c>
      <c r="C150" s="661">
        <f>1.05*C136</f>
        <v>965.27079948482788</v>
      </c>
      <c r="D150" s="627" t="s">
        <v>28</v>
      </c>
      <c r="E150" s="627"/>
    </row>
    <row r="151" spans="1:5" x14ac:dyDescent="0.3">
      <c r="A151" s="627"/>
      <c r="B151" s="627" t="s">
        <v>1079</v>
      </c>
      <c r="C151" s="661"/>
      <c r="D151" s="627"/>
      <c r="E151" s="627"/>
    </row>
    <row r="152" spans="1:5" x14ac:dyDescent="0.3">
      <c r="A152" s="627"/>
      <c r="B152" s="626"/>
      <c r="C152" s="661"/>
      <c r="D152" s="627"/>
      <c r="E152" s="627"/>
    </row>
    <row r="153" spans="1:5" x14ac:dyDescent="0.3">
      <c r="A153" s="626" t="s">
        <v>362</v>
      </c>
      <c r="B153" s="626" t="s">
        <v>1084</v>
      </c>
      <c r="C153" s="626"/>
      <c r="D153" s="626"/>
      <c r="E153" s="627"/>
    </row>
    <row r="154" spans="1:5" x14ac:dyDescent="0.3">
      <c r="A154" s="627"/>
      <c r="B154" s="626" t="s">
        <v>1085</v>
      </c>
      <c r="C154" s="627" t="s">
        <v>1086</v>
      </c>
      <c r="D154" s="627"/>
      <c r="E154" s="627"/>
    </row>
    <row r="155" spans="1:5" x14ac:dyDescent="0.3">
      <c r="A155" s="627"/>
      <c r="B155" s="627" t="s">
        <v>10</v>
      </c>
      <c r="C155" s="627" t="s">
        <v>1087</v>
      </c>
      <c r="D155" s="627"/>
      <c r="E155" s="627"/>
    </row>
    <row r="156" spans="1:5" x14ac:dyDescent="0.3">
      <c r="A156" s="627"/>
      <c r="B156" s="626" t="s">
        <v>1056</v>
      </c>
      <c r="C156" s="661">
        <f>2.4*C59</f>
        <v>828.18249329887749</v>
      </c>
      <c r="D156" s="627" t="s">
        <v>28</v>
      </c>
      <c r="E156" s="627"/>
    </row>
    <row r="157" spans="1:5" x14ac:dyDescent="0.3">
      <c r="A157" s="627"/>
      <c r="B157" s="627" t="s">
        <v>1079</v>
      </c>
      <c r="C157" s="661"/>
      <c r="D157" s="627"/>
      <c r="E157" s="627"/>
    </row>
    <row r="158" spans="1:5" x14ac:dyDescent="0.3">
      <c r="A158" s="627"/>
      <c r="B158" s="626"/>
      <c r="C158" s="661"/>
      <c r="D158" s="627"/>
      <c r="E158" s="627"/>
    </row>
    <row r="159" spans="1:5" x14ac:dyDescent="0.3">
      <c r="A159" s="626" t="s">
        <v>370</v>
      </c>
      <c r="B159" s="626" t="s">
        <v>1088</v>
      </c>
      <c r="C159" s="626"/>
      <c r="D159" s="626"/>
      <c r="E159" s="627"/>
    </row>
    <row r="160" spans="1:5" x14ac:dyDescent="0.3">
      <c r="A160" s="626"/>
      <c r="B160" s="626" t="s">
        <v>1089</v>
      </c>
      <c r="C160" s="627">
        <v>0.3</v>
      </c>
      <c r="D160" s="627"/>
      <c r="E160" s="627"/>
    </row>
    <row r="161" spans="1:11" x14ac:dyDescent="0.3">
      <c r="A161" s="626"/>
      <c r="B161" s="626" t="s">
        <v>10</v>
      </c>
      <c r="C161" s="627" t="s">
        <v>1090</v>
      </c>
      <c r="D161" s="627"/>
      <c r="E161" s="627"/>
    </row>
    <row r="162" spans="1:11" x14ac:dyDescent="0.3">
      <c r="A162" s="626"/>
      <c r="B162" s="626" t="s">
        <v>1058</v>
      </c>
      <c r="C162" s="661">
        <f>0.3*C156</f>
        <v>248.45474798966325</v>
      </c>
      <c r="D162" s="627" t="s">
        <v>28</v>
      </c>
      <c r="E162" s="627"/>
    </row>
    <row r="163" spans="1:11" x14ac:dyDescent="0.3">
      <c r="A163" s="626"/>
      <c r="B163" s="626"/>
      <c r="C163" s="661"/>
      <c r="D163" s="627"/>
      <c r="E163" s="627"/>
    </row>
    <row r="164" spans="1:11" x14ac:dyDescent="0.3">
      <c r="A164" s="626"/>
      <c r="B164" s="626" t="s">
        <v>1091</v>
      </c>
      <c r="C164" s="627">
        <v>0.75</v>
      </c>
      <c r="D164" s="627"/>
      <c r="E164" s="627"/>
    </row>
    <row r="165" spans="1:11" x14ac:dyDescent="0.3">
      <c r="A165" s="626"/>
      <c r="B165" s="626" t="s">
        <v>10</v>
      </c>
      <c r="C165" s="627" t="s">
        <v>1092</v>
      </c>
      <c r="D165" s="627"/>
      <c r="E165" s="627"/>
    </row>
    <row r="166" spans="1:11" x14ac:dyDescent="0.3">
      <c r="A166" s="626"/>
      <c r="B166" s="626" t="s">
        <v>1060</v>
      </c>
      <c r="C166" s="661">
        <f>0.75*C138</f>
        <v>185.78779288630133</v>
      </c>
      <c r="D166" s="627" t="s">
        <v>28</v>
      </c>
      <c r="E166" s="627"/>
    </row>
    <row r="167" spans="1:11" x14ac:dyDescent="0.3">
      <c r="A167" s="626"/>
      <c r="B167" s="626"/>
      <c r="C167" s="661"/>
      <c r="D167" s="627"/>
      <c r="E167" s="627"/>
    </row>
    <row r="168" spans="1:11" x14ac:dyDescent="0.3">
      <c r="A168" s="626"/>
      <c r="B168" s="626" t="s">
        <v>1093</v>
      </c>
      <c r="C168" s="627">
        <v>0.75</v>
      </c>
      <c r="D168" s="627"/>
      <c r="E168" s="627"/>
      <c r="J168" s="623">
        <v>9.7578999999999994</v>
      </c>
      <c r="K168" s="623">
        <v>6.0873753574027203E-2</v>
      </c>
    </row>
    <row r="169" spans="1:11" x14ac:dyDescent="0.3">
      <c r="A169" s="626"/>
      <c r="B169" s="626" t="s">
        <v>10</v>
      </c>
      <c r="C169" s="627" t="s">
        <v>1092</v>
      </c>
      <c r="D169" s="627"/>
      <c r="E169" s="627"/>
      <c r="K169" s="623">
        <f>J168*K168</f>
        <v>0.59399999999999997</v>
      </c>
    </row>
    <row r="170" spans="1:11" x14ac:dyDescent="0.3">
      <c r="A170" s="626"/>
      <c r="B170" s="626" t="s">
        <v>1062</v>
      </c>
      <c r="C170" s="661">
        <f>0.75*C138</f>
        <v>185.78779288630133</v>
      </c>
      <c r="D170" s="627" t="s">
        <v>28</v>
      </c>
      <c r="E170" s="627"/>
    </row>
    <row r="171" spans="1:11" x14ac:dyDescent="0.3">
      <c r="A171" s="626"/>
      <c r="B171" s="626"/>
      <c r="C171" s="662"/>
      <c r="D171" s="627"/>
      <c r="E171" s="627"/>
    </row>
    <row r="172" spans="1:11" x14ac:dyDescent="0.3">
      <c r="A172" s="626"/>
      <c r="B172" s="626" t="s">
        <v>1094</v>
      </c>
      <c r="C172" s="627">
        <v>1</v>
      </c>
      <c r="D172" s="627"/>
      <c r="E172" s="627"/>
    </row>
    <row r="173" spans="1:11" x14ac:dyDescent="0.3">
      <c r="A173" s="627"/>
      <c r="B173" s="627" t="s">
        <v>10</v>
      </c>
      <c r="C173" s="627" t="s">
        <v>1095</v>
      </c>
      <c r="D173" s="627"/>
      <c r="E173" s="626"/>
      <c r="F173" s="623" t="s">
        <v>1096</v>
      </c>
    </row>
    <row r="174" spans="1:11" x14ac:dyDescent="0.3">
      <c r="A174" s="627"/>
      <c r="B174" s="626" t="s">
        <v>1064</v>
      </c>
      <c r="C174" s="663">
        <f>1*C138</f>
        <v>247.7170571817351</v>
      </c>
      <c r="D174" s="627" t="s">
        <v>28</v>
      </c>
      <c r="E174" s="627"/>
    </row>
    <row r="175" spans="1:11" x14ac:dyDescent="0.3">
      <c r="A175" s="627"/>
      <c r="B175" s="627" t="s">
        <v>1079</v>
      </c>
      <c r="C175" s="663"/>
      <c r="D175" s="627"/>
      <c r="E175" s="627"/>
    </row>
    <row r="176" spans="1:11" x14ac:dyDescent="0.3">
      <c r="A176" s="627"/>
      <c r="B176" s="627"/>
      <c r="C176" s="627"/>
      <c r="D176" s="627"/>
    </row>
    <row r="177" spans="1:8" x14ac:dyDescent="0.3">
      <c r="A177" s="626">
        <v>2.2000000000000002</v>
      </c>
      <c r="B177" s="626" t="s">
        <v>1097</v>
      </c>
      <c r="C177" s="627"/>
      <c r="D177" s="627"/>
    </row>
    <row r="178" spans="1:8" x14ac:dyDescent="0.3">
      <c r="A178" s="627"/>
      <c r="B178" s="653" t="s">
        <v>1098</v>
      </c>
      <c r="C178" s="626"/>
      <c r="D178" s="626"/>
    </row>
    <row r="179" spans="1:8" x14ac:dyDescent="0.3">
      <c r="A179" s="627"/>
      <c r="B179" s="627" t="s">
        <v>1099</v>
      </c>
      <c r="C179" s="627"/>
      <c r="D179" s="627"/>
    </row>
    <row r="180" spans="1:8" x14ac:dyDescent="0.3">
      <c r="A180" s="627"/>
      <c r="B180" s="627" t="s">
        <v>1100</v>
      </c>
      <c r="C180" s="664">
        <f>(0.03*C60)+0.75</f>
        <v>11.102281166235969</v>
      </c>
      <c r="D180" s="627" t="s">
        <v>28</v>
      </c>
    </row>
    <row r="181" spans="1:8" x14ac:dyDescent="0.3">
      <c r="A181" s="627"/>
      <c r="B181" s="627" t="s">
        <v>1101</v>
      </c>
      <c r="C181" s="664">
        <v>18</v>
      </c>
      <c r="D181" s="627" t="s">
        <v>28</v>
      </c>
    </row>
    <row r="183" spans="1:8" x14ac:dyDescent="0.3">
      <c r="A183" s="626">
        <v>2.2999999999999998</v>
      </c>
      <c r="B183" s="626" t="s">
        <v>1102</v>
      </c>
      <c r="C183" s="626"/>
      <c r="D183" s="626"/>
      <c r="E183" s="626" t="s">
        <v>1096</v>
      </c>
      <c r="F183" s="627"/>
    </row>
    <row r="184" spans="1:8" x14ac:dyDescent="0.3">
      <c r="A184" s="626" t="s">
        <v>174</v>
      </c>
      <c r="B184" s="626" t="s">
        <v>1103</v>
      </c>
      <c r="C184" s="626"/>
      <c r="D184" s="627"/>
      <c r="E184" s="627"/>
      <c r="F184" s="627"/>
    </row>
    <row r="185" spans="1:8" x14ac:dyDescent="0.3">
      <c r="A185" s="627"/>
      <c r="B185" s="627" t="s">
        <v>1104</v>
      </c>
      <c r="C185" s="627"/>
      <c r="D185" s="627"/>
      <c r="E185" s="627"/>
      <c r="F185" s="627"/>
    </row>
    <row r="186" spans="1:8" x14ac:dyDescent="0.3">
      <c r="A186" s="627"/>
      <c r="B186" s="627" t="s">
        <v>1105</v>
      </c>
      <c r="C186" s="627" t="s">
        <v>1056</v>
      </c>
      <c r="D186" s="627" t="s">
        <v>1087</v>
      </c>
      <c r="E186" s="627"/>
      <c r="F186" s="627"/>
    </row>
    <row r="187" spans="1:8" x14ac:dyDescent="0.3">
      <c r="A187" s="627"/>
      <c r="B187" s="627"/>
      <c r="C187" s="627" t="s">
        <v>10</v>
      </c>
      <c r="D187" s="661">
        <f>2*C60</f>
        <v>690.15207774906457</v>
      </c>
      <c r="E187" s="627" t="s">
        <v>28</v>
      </c>
      <c r="F187" s="627"/>
    </row>
    <row r="188" spans="1:8" x14ac:dyDescent="0.3">
      <c r="A188" s="626" t="s">
        <v>175</v>
      </c>
      <c r="B188" s="626" t="s">
        <v>1106</v>
      </c>
      <c r="C188" s="626"/>
      <c r="D188" s="627"/>
      <c r="E188" s="627"/>
      <c r="F188" s="627"/>
    </row>
    <row r="189" spans="1:8" ht="12" customHeight="1" x14ac:dyDescent="0.3">
      <c r="A189" s="627"/>
      <c r="B189" s="1306" t="s">
        <v>1107</v>
      </c>
      <c r="C189" s="1306"/>
      <c r="D189" s="1306"/>
      <c r="E189" s="1306"/>
      <c r="F189" s="1306"/>
      <c r="G189" s="1306"/>
      <c r="H189" s="1306"/>
    </row>
    <row r="190" spans="1:8" x14ac:dyDescent="0.3">
      <c r="A190" s="627"/>
      <c r="B190" s="1306"/>
      <c r="C190" s="1306"/>
      <c r="D190" s="1306"/>
      <c r="E190" s="1306"/>
      <c r="F190" s="1306"/>
      <c r="G190" s="1306"/>
      <c r="H190" s="1306"/>
    </row>
    <row r="191" spans="1:8" x14ac:dyDescent="0.3">
      <c r="A191" s="627"/>
      <c r="B191" s="627" t="s">
        <v>1108</v>
      </c>
      <c r="C191" s="627" t="s">
        <v>1109</v>
      </c>
      <c r="D191" s="627"/>
      <c r="E191" s="627"/>
      <c r="F191" s="627"/>
    </row>
    <row r="192" spans="1:8" x14ac:dyDescent="0.3">
      <c r="A192" s="627"/>
      <c r="B192" s="627" t="s">
        <v>10</v>
      </c>
      <c r="C192" s="661">
        <f>(1/15)*D187</f>
        <v>46.010138516604307</v>
      </c>
      <c r="D192" s="627" t="s">
        <v>28</v>
      </c>
      <c r="E192" s="627"/>
      <c r="F192" s="627"/>
    </row>
    <row r="193" spans="1:8" x14ac:dyDescent="0.3">
      <c r="A193" s="627"/>
      <c r="B193" s="653" t="s">
        <v>1098</v>
      </c>
      <c r="C193" s="661"/>
      <c r="D193" s="627"/>
      <c r="E193" s="627"/>
      <c r="F193" s="627"/>
    </row>
    <row r="194" spans="1:8" x14ac:dyDescent="0.3">
      <c r="A194" s="627"/>
      <c r="B194" s="627"/>
      <c r="C194" s="627"/>
      <c r="D194" s="627"/>
      <c r="E194" s="627"/>
      <c r="F194" s="627"/>
    </row>
    <row r="195" spans="1:8" x14ac:dyDescent="0.3">
      <c r="A195" s="626" t="s">
        <v>358</v>
      </c>
      <c r="B195" s="626" t="s">
        <v>1110</v>
      </c>
      <c r="C195" s="626"/>
      <c r="D195" s="626"/>
      <c r="E195" s="627"/>
      <c r="F195" s="627"/>
    </row>
    <row r="196" spans="1:8" x14ac:dyDescent="0.3">
      <c r="A196" s="627"/>
      <c r="B196" s="627" t="s">
        <v>1067</v>
      </c>
      <c r="C196" s="627" t="s">
        <v>1111</v>
      </c>
      <c r="D196" s="627"/>
      <c r="E196" s="627"/>
      <c r="F196" s="627"/>
    </row>
    <row r="197" spans="1:8" x14ac:dyDescent="0.3">
      <c r="A197" s="627"/>
      <c r="B197" s="627" t="s">
        <v>10</v>
      </c>
      <c r="C197" s="664">
        <f>(C60)-2*C192</f>
        <v>253.05576184132366</v>
      </c>
      <c r="D197" s="627" t="s">
        <v>28</v>
      </c>
      <c r="E197" s="627"/>
      <c r="F197" s="627"/>
    </row>
    <row r="198" spans="1:8" x14ac:dyDescent="0.3">
      <c r="A198" s="627"/>
      <c r="B198" s="623" t="s">
        <v>10</v>
      </c>
      <c r="C198" s="661">
        <f>C197</f>
        <v>253.05576184132366</v>
      </c>
      <c r="D198" s="627" t="s">
        <v>28</v>
      </c>
      <c r="E198" s="627">
        <f>C198/2</f>
        <v>126.52788092066183</v>
      </c>
      <c r="F198" s="627"/>
    </row>
    <row r="199" spans="1:8" x14ac:dyDescent="0.3">
      <c r="A199" s="627"/>
      <c r="B199" s="627" t="s">
        <v>1079</v>
      </c>
      <c r="C199" s="661"/>
      <c r="D199" s="627"/>
      <c r="E199" s="627"/>
      <c r="F199" s="627"/>
    </row>
    <row r="200" spans="1:8" x14ac:dyDescent="0.3">
      <c r="A200" s="627"/>
      <c r="C200" s="661"/>
      <c r="D200" s="627"/>
      <c r="E200" s="627"/>
      <c r="F200" s="627"/>
    </row>
    <row r="201" spans="1:8" x14ac:dyDescent="0.3">
      <c r="A201" s="626" t="s">
        <v>362</v>
      </c>
      <c r="B201" s="626" t="s">
        <v>1112</v>
      </c>
      <c r="C201" s="626"/>
      <c r="D201" s="627"/>
      <c r="E201" s="627"/>
      <c r="F201" s="627"/>
    </row>
    <row r="202" spans="1:8" ht="12" customHeight="1" x14ac:dyDescent="0.3">
      <c r="A202" s="627"/>
      <c r="B202" s="1306" t="s">
        <v>1113</v>
      </c>
      <c r="C202" s="1306"/>
      <c r="D202" s="1306"/>
      <c r="E202" s="1306"/>
      <c r="F202" s="1306"/>
      <c r="G202" s="1306"/>
      <c r="H202" s="1306"/>
    </row>
    <row r="203" spans="1:8" x14ac:dyDescent="0.3">
      <c r="A203" s="627"/>
      <c r="B203" s="1306"/>
      <c r="C203" s="1306"/>
      <c r="D203" s="1306"/>
      <c r="E203" s="1306"/>
      <c r="F203" s="1306"/>
      <c r="G203" s="1306"/>
      <c r="H203" s="1306"/>
    </row>
    <row r="204" spans="1:8" ht="14.4" x14ac:dyDescent="0.3">
      <c r="A204" s="627"/>
      <c r="B204" s="623" t="s">
        <v>1114</v>
      </c>
      <c r="C204" s="666" t="s">
        <v>1115</v>
      </c>
      <c r="D204" s="627"/>
      <c r="E204" s="627"/>
      <c r="F204" s="627"/>
    </row>
    <row r="205" spans="1:8" x14ac:dyDescent="0.3">
      <c r="A205" s="627"/>
      <c r="B205" s="623" t="s">
        <v>10</v>
      </c>
      <c r="C205" s="661">
        <f>0.6*C60</f>
        <v>207.04562332471937</v>
      </c>
      <c r="D205" s="627"/>
      <c r="E205" s="627"/>
      <c r="F205" s="627"/>
    </row>
    <row r="206" spans="1:8" x14ac:dyDescent="0.3">
      <c r="A206" s="627"/>
      <c r="B206" s="653" t="s">
        <v>1098</v>
      </c>
      <c r="C206" s="661"/>
      <c r="D206" s="627"/>
      <c r="E206" s="627"/>
      <c r="F206" s="627"/>
    </row>
    <row r="207" spans="1:8" x14ac:dyDescent="0.3">
      <c r="A207" s="627"/>
      <c r="C207" s="661"/>
      <c r="D207" s="627"/>
      <c r="E207" s="627"/>
      <c r="F207" s="627"/>
    </row>
    <row r="208" spans="1:8" x14ac:dyDescent="0.3">
      <c r="A208" s="626">
        <v>2.4</v>
      </c>
      <c r="B208" s="626" t="s">
        <v>1116</v>
      </c>
      <c r="C208" s="626"/>
      <c r="D208" s="626"/>
      <c r="E208" s="627"/>
      <c r="F208" s="627"/>
    </row>
    <row r="209" spans="1:10" x14ac:dyDescent="0.3">
      <c r="A209" s="627"/>
      <c r="B209" s="653" t="s">
        <v>1098</v>
      </c>
      <c r="C209" s="627"/>
      <c r="D209" s="627"/>
      <c r="E209" s="627"/>
      <c r="F209" s="627"/>
    </row>
    <row r="210" spans="1:10" x14ac:dyDescent="0.3">
      <c r="A210" s="626" t="s">
        <v>174</v>
      </c>
      <c r="B210" s="626" t="s">
        <v>1117</v>
      </c>
      <c r="C210" s="626"/>
      <c r="D210" s="627"/>
      <c r="E210" s="627"/>
      <c r="F210" s="627"/>
    </row>
    <row r="211" spans="1:10" x14ac:dyDescent="0.3">
      <c r="A211" s="626"/>
      <c r="B211" s="627" t="s">
        <v>1118</v>
      </c>
      <c r="C211" s="627"/>
      <c r="D211" s="627"/>
      <c r="E211" s="627"/>
      <c r="F211" s="627"/>
    </row>
    <row r="212" spans="1:10" x14ac:dyDescent="0.3">
      <c r="A212" s="626"/>
      <c r="B212" s="627" t="s">
        <v>1119</v>
      </c>
      <c r="C212" s="627" t="s">
        <v>1120</v>
      </c>
      <c r="D212" s="627"/>
      <c r="E212" s="627"/>
      <c r="F212" s="627"/>
    </row>
    <row r="213" spans="1:10" x14ac:dyDescent="0.3">
      <c r="A213" s="626"/>
      <c r="B213" s="627" t="s">
        <v>1119</v>
      </c>
      <c r="C213" s="661">
        <f>0.6*C60</f>
        <v>207.04562332471937</v>
      </c>
      <c r="D213" s="627" t="s">
        <v>28</v>
      </c>
      <c r="E213" s="627"/>
      <c r="F213" s="627"/>
    </row>
    <row r="214" spans="1:10" x14ac:dyDescent="0.3">
      <c r="A214" s="626"/>
      <c r="B214" s="667" t="s">
        <v>1121</v>
      </c>
      <c r="C214" s="663">
        <f>ROUND(C213,1)</f>
        <v>207</v>
      </c>
      <c r="D214" s="627" t="s">
        <v>28</v>
      </c>
      <c r="F214" s="627"/>
    </row>
    <row r="215" spans="1:10" x14ac:dyDescent="0.3">
      <c r="A215" s="626"/>
      <c r="F215" s="627"/>
      <c r="I215" s="667" t="s">
        <v>488</v>
      </c>
      <c r="J215" s="647">
        <f>C214/G119</f>
        <v>0.20699999999999999</v>
      </c>
    </row>
    <row r="216" spans="1:10" x14ac:dyDescent="0.3">
      <c r="A216" s="626" t="s">
        <v>175</v>
      </c>
      <c r="B216" s="626" t="s">
        <v>1122</v>
      </c>
      <c r="C216" s="626"/>
      <c r="D216" s="627"/>
      <c r="E216" s="627"/>
      <c r="F216" s="627"/>
      <c r="I216" s="627" t="s">
        <v>1023</v>
      </c>
      <c r="J216" s="647">
        <f>C219/G119</f>
        <v>0.16560000000000002</v>
      </c>
    </row>
    <row r="217" spans="1:10" x14ac:dyDescent="0.3">
      <c r="A217" s="626"/>
      <c r="B217" s="627" t="s">
        <v>1123</v>
      </c>
      <c r="C217" s="627"/>
      <c r="D217" s="627"/>
      <c r="E217" s="627"/>
      <c r="F217" s="627"/>
      <c r="I217" s="627" t="s">
        <v>1124</v>
      </c>
      <c r="J217" s="647">
        <f>C223/G119</f>
        <v>0.41399999999999998</v>
      </c>
    </row>
    <row r="218" spans="1:10" x14ac:dyDescent="0.3">
      <c r="A218" s="626"/>
      <c r="B218" s="627" t="s">
        <v>1125</v>
      </c>
      <c r="C218" s="627" t="s">
        <v>1126</v>
      </c>
      <c r="D218" s="627"/>
      <c r="E218" s="627"/>
      <c r="F218" s="627"/>
      <c r="I218" s="627" t="s">
        <v>1127</v>
      </c>
      <c r="J218" s="647">
        <f>D228/G119</f>
        <v>0.18630000000000002</v>
      </c>
    </row>
    <row r="219" spans="1:10" x14ac:dyDescent="0.3">
      <c r="A219" s="626"/>
      <c r="B219" s="627" t="s">
        <v>10</v>
      </c>
      <c r="C219" s="661">
        <f>0.8*C214</f>
        <v>165.60000000000002</v>
      </c>
      <c r="D219" s="627" t="s">
        <v>28</v>
      </c>
      <c r="E219" s="627"/>
      <c r="F219" s="627"/>
    </row>
    <row r="220" spans="1:10" x14ac:dyDescent="0.3">
      <c r="A220" s="626"/>
      <c r="B220" s="627"/>
      <c r="C220" s="668"/>
      <c r="D220" s="627"/>
      <c r="E220" s="627"/>
      <c r="F220" s="627"/>
    </row>
    <row r="221" spans="1:10" x14ac:dyDescent="0.3">
      <c r="A221" s="626" t="s">
        <v>358</v>
      </c>
      <c r="B221" s="626" t="s">
        <v>1128</v>
      </c>
      <c r="C221" s="626"/>
      <c r="D221" s="626"/>
      <c r="E221" s="627"/>
      <c r="F221" s="627"/>
    </row>
    <row r="222" spans="1:10" x14ac:dyDescent="0.3">
      <c r="A222" s="626"/>
      <c r="B222" s="627" t="s">
        <v>1124</v>
      </c>
      <c r="C222" s="627" t="s">
        <v>1129</v>
      </c>
      <c r="D222" s="627"/>
      <c r="E222" s="627"/>
      <c r="F222" s="627"/>
    </row>
    <row r="223" spans="1:10" x14ac:dyDescent="0.3">
      <c r="A223" s="626"/>
      <c r="B223" s="627" t="s">
        <v>10</v>
      </c>
      <c r="C223" s="661">
        <f>2*C214</f>
        <v>414</v>
      </c>
      <c r="D223" s="627" t="s">
        <v>28</v>
      </c>
      <c r="E223" s="627"/>
      <c r="F223" s="627"/>
    </row>
    <row r="224" spans="1:10" x14ac:dyDescent="0.3">
      <c r="A224" s="626"/>
      <c r="B224" s="627"/>
      <c r="C224" s="661"/>
      <c r="D224" s="627"/>
      <c r="E224" s="627"/>
      <c r="F224" s="627"/>
    </row>
    <row r="225" spans="1:8" x14ac:dyDescent="0.3">
      <c r="A225" s="626" t="s">
        <v>362</v>
      </c>
      <c r="B225" s="626" t="s">
        <v>1130</v>
      </c>
      <c r="C225" s="626"/>
      <c r="D225" s="627"/>
      <c r="E225" s="627"/>
      <c r="F225" s="627"/>
    </row>
    <row r="226" spans="1:8" x14ac:dyDescent="0.3">
      <c r="A226" s="627"/>
      <c r="B226" s="627" t="s">
        <v>1131</v>
      </c>
      <c r="C226" s="627"/>
      <c r="D226" s="627"/>
      <c r="E226" s="627"/>
      <c r="F226" s="627"/>
    </row>
    <row r="227" spans="1:8" x14ac:dyDescent="0.3">
      <c r="A227" s="627"/>
      <c r="B227" s="669" t="s">
        <v>1132</v>
      </c>
      <c r="C227" s="627" t="s">
        <v>1127</v>
      </c>
      <c r="D227" s="627" t="s">
        <v>1133</v>
      </c>
      <c r="E227" s="627"/>
      <c r="F227" s="627"/>
    </row>
    <row r="228" spans="1:8" x14ac:dyDescent="0.3">
      <c r="A228" s="627"/>
      <c r="B228" s="627"/>
      <c r="C228" s="627" t="s">
        <v>10</v>
      </c>
      <c r="D228" s="661">
        <f>0.9*C214</f>
        <v>186.3</v>
      </c>
      <c r="E228" s="627" t="s">
        <v>28</v>
      </c>
      <c r="F228" s="627"/>
    </row>
    <row r="229" spans="1:8" x14ac:dyDescent="0.3">
      <c r="A229" s="627"/>
      <c r="B229" s="627"/>
      <c r="C229" s="627"/>
      <c r="D229" s="627"/>
      <c r="E229" s="627"/>
      <c r="F229" s="627"/>
      <c r="G229" s="627"/>
    </row>
    <row r="230" spans="1:8" x14ac:dyDescent="0.3">
      <c r="A230" s="626">
        <v>2.5</v>
      </c>
      <c r="B230" s="626" t="s">
        <v>1134</v>
      </c>
      <c r="C230" s="626"/>
      <c r="D230" s="626"/>
      <c r="E230" s="626"/>
      <c r="F230" s="627"/>
      <c r="G230" s="627"/>
    </row>
    <row r="231" spans="1:8" ht="12" customHeight="1" x14ac:dyDescent="0.3">
      <c r="A231" s="627"/>
      <c r="B231" s="1306" t="s">
        <v>1135</v>
      </c>
      <c r="C231" s="1306"/>
      <c r="D231" s="1306"/>
      <c r="E231" s="1306"/>
      <c r="F231" s="1306"/>
      <c r="G231" s="1306"/>
      <c r="H231" s="1306"/>
    </row>
    <row r="232" spans="1:8" ht="12" customHeight="1" x14ac:dyDescent="0.3">
      <c r="A232" s="627"/>
      <c r="B232" s="1306"/>
      <c r="C232" s="1306"/>
      <c r="D232" s="1306"/>
      <c r="E232" s="1306"/>
      <c r="F232" s="1306"/>
      <c r="G232" s="1306"/>
      <c r="H232" s="1306"/>
    </row>
    <row r="233" spans="1:8" ht="12" customHeight="1" x14ac:dyDescent="0.3">
      <c r="A233" s="627"/>
      <c r="B233" s="1306" t="s">
        <v>1136</v>
      </c>
      <c r="C233" s="1306"/>
      <c r="D233" s="1306"/>
      <c r="E233" s="1306"/>
      <c r="F233" s="1306"/>
      <c r="G233" s="1306"/>
      <c r="H233" s="1306"/>
    </row>
    <row r="234" spans="1:8" x14ac:dyDescent="0.3">
      <c r="A234" s="627"/>
      <c r="B234" s="1306"/>
      <c r="C234" s="1306"/>
      <c r="D234" s="1306"/>
      <c r="E234" s="1306"/>
      <c r="F234" s="1306"/>
      <c r="G234" s="1306"/>
      <c r="H234" s="1306"/>
    </row>
    <row r="235" spans="1:8" x14ac:dyDescent="0.3">
      <c r="A235" s="627"/>
      <c r="B235" s="665"/>
      <c r="C235" s="665"/>
      <c r="D235" s="665"/>
      <c r="E235" s="665"/>
      <c r="F235" s="665"/>
      <c r="G235" s="665"/>
      <c r="H235" s="665"/>
    </row>
    <row r="236" spans="1:8" x14ac:dyDescent="0.3">
      <c r="A236" s="626" t="s">
        <v>174</v>
      </c>
      <c r="B236" s="626" t="s">
        <v>1137</v>
      </c>
      <c r="C236" s="626"/>
      <c r="D236" s="626"/>
      <c r="E236" s="627"/>
      <c r="F236" s="627"/>
      <c r="G236" s="627"/>
    </row>
    <row r="237" spans="1:8" x14ac:dyDescent="0.3">
      <c r="A237" s="627"/>
      <c r="B237" s="627"/>
      <c r="C237" s="627"/>
      <c r="D237" s="627"/>
      <c r="E237" s="627"/>
      <c r="F237" s="627"/>
      <c r="G237" s="627"/>
    </row>
    <row r="238" spans="1:8" x14ac:dyDescent="0.3">
      <c r="A238" s="627"/>
      <c r="B238" s="627"/>
      <c r="C238" s="627"/>
      <c r="D238" s="627"/>
      <c r="E238" s="627"/>
      <c r="F238" s="627"/>
      <c r="G238" s="627"/>
    </row>
    <row r="239" spans="1:8" x14ac:dyDescent="0.3">
      <c r="A239" s="627"/>
      <c r="B239" s="627"/>
      <c r="C239" s="627"/>
      <c r="D239" s="627"/>
      <c r="E239" s="627"/>
      <c r="F239" s="627"/>
      <c r="G239" s="627"/>
    </row>
    <row r="240" spans="1:8" x14ac:dyDescent="0.3">
      <c r="A240" s="627"/>
      <c r="B240" s="627"/>
      <c r="C240" s="627"/>
      <c r="D240" s="627"/>
      <c r="E240" s="627"/>
      <c r="F240" s="627"/>
      <c r="G240" s="627"/>
    </row>
    <row r="241" spans="1:7" x14ac:dyDescent="0.3">
      <c r="A241" s="627"/>
      <c r="B241" s="627"/>
      <c r="C241" s="627"/>
      <c r="D241" s="627"/>
      <c r="E241" s="627"/>
      <c r="F241" s="627"/>
      <c r="G241" s="627"/>
    </row>
    <row r="242" spans="1:7" x14ac:dyDescent="0.3">
      <c r="A242" s="627"/>
      <c r="B242" s="627" t="s">
        <v>526</v>
      </c>
    </row>
    <row r="243" spans="1:7" x14ac:dyDescent="0.3">
      <c r="A243" s="627"/>
      <c r="B243" s="627" t="s">
        <v>1138</v>
      </c>
      <c r="C243" s="627" t="s">
        <v>1139</v>
      </c>
      <c r="D243" s="627"/>
      <c r="E243" s="627"/>
      <c r="F243" s="627"/>
    </row>
    <row r="244" spans="1:7" x14ac:dyDescent="0.3">
      <c r="A244" s="627"/>
      <c r="B244" s="627" t="s">
        <v>1140</v>
      </c>
      <c r="C244" s="627" t="s">
        <v>1141</v>
      </c>
      <c r="D244" s="627"/>
      <c r="E244" s="627"/>
      <c r="F244" s="662" t="e">
        <f>'PROPELL (0.969)'!D345</f>
        <v>#REF!</v>
      </c>
      <c r="G244" s="623" t="s">
        <v>262</v>
      </c>
    </row>
    <row r="245" spans="1:7" x14ac:dyDescent="0.3">
      <c r="A245" s="627"/>
      <c r="B245" s="627" t="s">
        <v>778</v>
      </c>
      <c r="C245" s="627" t="s">
        <v>1142</v>
      </c>
      <c r="D245" s="627"/>
      <c r="E245" s="627"/>
      <c r="F245" s="670">
        <f>EPM!D18</f>
        <v>136.05442176870747</v>
      </c>
      <c r="G245" s="627"/>
    </row>
    <row r="246" spans="1:7" x14ac:dyDescent="0.3">
      <c r="A246" s="627"/>
      <c r="B246" s="627"/>
      <c r="C246" s="627"/>
      <c r="D246" s="627"/>
      <c r="E246" s="627"/>
      <c r="F246" s="627"/>
      <c r="G246" s="627"/>
    </row>
    <row r="247" spans="1:7" x14ac:dyDescent="0.3">
      <c r="A247" s="627"/>
      <c r="B247" s="626" t="s">
        <v>1143</v>
      </c>
      <c r="C247" s="627"/>
      <c r="D247" s="627"/>
      <c r="E247" s="627"/>
      <c r="F247" s="627"/>
      <c r="G247" s="627"/>
    </row>
    <row r="248" spans="1:7" x14ac:dyDescent="0.3">
      <c r="A248" s="627"/>
      <c r="B248" s="627" t="s">
        <v>1144</v>
      </c>
      <c r="C248" s="661" t="e">
        <f>(F244*75*60)/(2*3.14*F245)</f>
        <v>#REF!</v>
      </c>
      <c r="D248" s="627" t="s">
        <v>1145</v>
      </c>
      <c r="E248" s="627"/>
      <c r="F248" s="627"/>
      <c r="G248" s="627"/>
    </row>
    <row r="249" spans="1:7" x14ac:dyDescent="0.3">
      <c r="A249" s="627"/>
      <c r="B249" s="627"/>
      <c r="C249" s="627"/>
      <c r="D249" s="627"/>
      <c r="E249" s="627"/>
      <c r="F249" s="627"/>
      <c r="G249" s="627"/>
    </row>
    <row r="250" spans="1:7" x14ac:dyDescent="0.3">
      <c r="A250" s="626" t="s">
        <v>175</v>
      </c>
      <c r="B250" s="626" t="s">
        <v>1146</v>
      </c>
      <c r="C250" s="627"/>
      <c r="D250" s="627"/>
      <c r="E250" s="627"/>
      <c r="F250" s="627"/>
      <c r="G250" s="627"/>
    </row>
    <row r="251" spans="1:7" x14ac:dyDescent="0.3">
      <c r="A251" s="626" t="s">
        <v>1147</v>
      </c>
      <c r="B251" s="626" t="s">
        <v>1148</v>
      </c>
      <c r="C251" s="627"/>
      <c r="D251" s="627"/>
      <c r="F251" s="627"/>
      <c r="G251" s="627"/>
    </row>
    <row r="252" spans="1:7" x14ac:dyDescent="0.3">
      <c r="A252" s="626"/>
      <c r="B252" s="1304" t="s">
        <v>1149</v>
      </c>
      <c r="C252" s="1304"/>
      <c r="D252" s="1304"/>
      <c r="E252" s="633">
        <f>C60</f>
        <v>345.07603887453229</v>
      </c>
      <c r="F252" s="627" t="s">
        <v>28</v>
      </c>
      <c r="G252" s="627"/>
    </row>
    <row r="253" spans="1:7" x14ac:dyDescent="0.3">
      <c r="A253" s="626" t="s">
        <v>1147</v>
      </c>
      <c r="B253" s="626" t="s">
        <v>1150</v>
      </c>
      <c r="C253" s="627"/>
      <c r="D253" s="627"/>
      <c r="F253" s="627"/>
      <c r="G253" s="627"/>
    </row>
    <row r="254" spans="1:7" x14ac:dyDescent="0.3">
      <c r="A254" s="626"/>
      <c r="B254" s="627" t="s">
        <v>1151</v>
      </c>
      <c r="C254" s="627"/>
      <c r="D254" s="627"/>
      <c r="E254" s="627"/>
      <c r="F254" s="627"/>
      <c r="G254" s="627"/>
    </row>
    <row r="255" spans="1:7" x14ac:dyDescent="0.3">
      <c r="A255" s="626"/>
      <c r="B255" s="626" t="s">
        <v>1152</v>
      </c>
      <c r="C255" s="627" t="s">
        <v>1153</v>
      </c>
      <c r="D255" s="627"/>
      <c r="E255" s="627"/>
      <c r="F255" s="627"/>
      <c r="G255" s="627"/>
    </row>
    <row r="256" spans="1:7" x14ac:dyDescent="0.3">
      <c r="A256" s="626"/>
      <c r="B256" s="626" t="s">
        <v>10</v>
      </c>
      <c r="C256" s="660">
        <f>1.5*C60</f>
        <v>517.61405831179843</v>
      </c>
      <c r="D256" s="627" t="s">
        <v>28</v>
      </c>
      <c r="E256" s="627"/>
      <c r="F256" s="627"/>
      <c r="G256" s="627"/>
    </row>
    <row r="257" spans="1:7" x14ac:dyDescent="0.3">
      <c r="A257" s="626"/>
      <c r="B257" s="627" t="s">
        <v>1154</v>
      </c>
      <c r="C257" s="661">
        <f>C256</f>
        <v>517.61405831179843</v>
      </c>
      <c r="D257" s="627" t="s">
        <v>28</v>
      </c>
      <c r="E257" s="627"/>
      <c r="F257" s="627"/>
      <c r="G257" s="627"/>
    </row>
    <row r="258" spans="1:7" x14ac:dyDescent="0.3">
      <c r="A258" s="626"/>
      <c r="B258" s="627"/>
      <c r="C258" s="661"/>
      <c r="D258" s="627"/>
      <c r="E258" s="627"/>
      <c r="F258" s="627"/>
      <c r="G258" s="627"/>
    </row>
    <row r="259" spans="1:7" x14ac:dyDescent="0.3">
      <c r="A259" s="626" t="s">
        <v>1147</v>
      </c>
      <c r="B259" s="626" t="s">
        <v>1155</v>
      </c>
      <c r="D259" s="627"/>
      <c r="E259" s="627"/>
      <c r="F259" s="627"/>
      <c r="G259" s="627"/>
    </row>
    <row r="260" spans="1:7" x14ac:dyDescent="0.3">
      <c r="A260" s="626"/>
      <c r="B260" s="627" t="s">
        <v>1156</v>
      </c>
      <c r="C260" s="627"/>
      <c r="D260" s="627"/>
      <c r="E260" s="627"/>
      <c r="F260" s="627"/>
      <c r="G260" s="627"/>
    </row>
    <row r="261" spans="1:7" x14ac:dyDescent="0.3">
      <c r="A261" s="626"/>
      <c r="B261" s="626"/>
      <c r="C261" s="627" t="s">
        <v>1157</v>
      </c>
      <c r="D261" s="627"/>
      <c r="E261" s="627"/>
      <c r="F261" s="627"/>
      <c r="G261" s="627"/>
    </row>
    <row r="262" spans="1:7" x14ac:dyDescent="0.3">
      <c r="A262" s="626"/>
      <c r="B262" s="626" t="s">
        <v>1158</v>
      </c>
      <c r="C262" s="627" t="s">
        <v>1159</v>
      </c>
      <c r="D262" s="627"/>
      <c r="E262" s="671"/>
      <c r="F262" s="627"/>
      <c r="G262" s="627"/>
    </row>
    <row r="263" spans="1:7" x14ac:dyDescent="0.3">
      <c r="A263" s="626"/>
      <c r="B263" s="626" t="s">
        <v>10</v>
      </c>
      <c r="C263" s="663">
        <f>30%*C60</f>
        <v>103.52281166235969</v>
      </c>
      <c r="D263" s="627" t="s">
        <v>28</v>
      </c>
      <c r="F263" s="627"/>
      <c r="G263" s="627"/>
    </row>
    <row r="264" spans="1:7" x14ac:dyDescent="0.3">
      <c r="A264" s="626"/>
      <c r="B264" s="626"/>
      <c r="C264" s="668"/>
      <c r="D264" s="627"/>
      <c r="F264" s="627"/>
      <c r="G264" s="627"/>
    </row>
    <row r="265" spans="1:7" x14ac:dyDescent="0.3">
      <c r="A265" s="626" t="s">
        <v>1147</v>
      </c>
      <c r="B265" s="626" t="s">
        <v>1160</v>
      </c>
      <c r="D265" s="627"/>
      <c r="F265" s="627"/>
      <c r="G265" s="627"/>
    </row>
    <row r="266" spans="1:7" x14ac:dyDescent="0.3">
      <c r="A266" s="626"/>
      <c r="B266" s="626" t="s">
        <v>1161</v>
      </c>
      <c r="C266" s="627" t="s">
        <v>1162</v>
      </c>
      <c r="D266" s="627"/>
      <c r="E266" s="627"/>
      <c r="F266" s="627"/>
      <c r="G266" s="627"/>
    </row>
    <row r="267" spans="1:7" x14ac:dyDescent="0.3">
      <c r="A267" s="626"/>
      <c r="B267" s="626" t="s">
        <v>10</v>
      </c>
      <c r="C267" s="661">
        <f>1/6*C60</f>
        <v>57.512673145755379</v>
      </c>
      <c r="D267" s="627" t="s">
        <v>28</v>
      </c>
      <c r="E267" s="627"/>
      <c r="F267" s="627"/>
      <c r="G267" s="627"/>
    </row>
    <row r="268" spans="1:7" x14ac:dyDescent="0.3">
      <c r="A268" s="626"/>
      <c r="B268" s="626"/>
      <c r="C268" s="672"/>
      <c r="D268" s="627"/>
      <c r="E268" s="627"/>
      <c r="F268" s="627"/>
      <c r="G268" s="627"/>
    </row>
    <row r="269" spans="1:7" x14ac:dyDescent="0.3">
      <c r="A269" s="626" t="s">
        <v>1147</v>
      </c>
      <c r="B269" s="626" t="s">
        <v>1163</v>
      </c>
      <c r="C269" s="626"/>
      <c r="F269" s="627"/>
      <c r="G269" s="627"/>
    </row>
    <row r="270" spans="1:7" x14ac:dyDescent="0.3">
      <c r="A270" s="626"/>
      <c r="B270" s="626" t="s">
        <v>1164</v>
      </c>
      <c r="C270" s="627" t="s">
        <v>1165</v>
      </c>
      <c r="D270" s="627"/>
      <c r="F270" s="627"/>
      <c r="G270" s="627"/>
    </row>
    <row r="271" spans="1:7" x14ac:dyDescent="0.3">
      <c r="A271" s="626"/>
      <c r="B271" s="626" t="s">
        <v>10</v>
      </c>
      <c r="C271" s="663">
        <f>12.5%*C60</f>
        <v>43.134504859316536</v>
      </c>
      <c r="D271" s="627" t="s">
        <v>28</v>
      </c>
      <c r="E271" s="627"/>
      <c r="F271" s="627"/>
      <c r="G271" s="627"/>
    </row>
    <row r="272" spans="1:7" x14ac:dyDescent="0.3">
      <c r="A272" s="626"/>
      <c r="B272" s="626"/>
      <c r="C272" s="668"/>
      <c r="D272" s="627"/>
      <c r="E272" s="627">
        <f>C271/1000</f>
        <v>4.3134504859316539E-2</v>
      </c>
      <c r="F272" s="627"/>
      <c r="G272" s="627"/>
    </row>
    <row r="273" spans="1:8" x14ac:dyDescent="0.3">
      <c r="A273" s="626"/>
      <c r="B273" s="626"/>
      <c r="C273" s="668"/>
      <c r="D273" s="627"/>
      <c r="E273" s="627"/>
      <c r="F273" s="627"/>
      <c r="G273" s="627"/>
    </row>
    <row r="274" spans="1:8" x14ac:dyDescent="0.3">
      <c r="A274" s="626" t="s">
        <v>1147</v>
      </c>
      <c r="B274" s="626" t="s">
        <v>1166</v>
      </c>
      <c r="C274" s="627"/>
      <c r="E274" s="627"/>
      <c r="F274" s="627"/>
      <c r="G274" s="627"/>
    </row>
    <row r="275" spans="1:8" x14ac:dyDescent="0.3">
      <c r="A275" s="626"/>
      <c r="B275" s="626" t="s">
        <v>1167</v>
      </c>
      <c r="C275" s="627" t="s">
        <v>1168</v>
      </c>
      <c r="D275" s="627" t="s">
        <v>28</v>
      </c>
      <c r="F275" s="627"/>
      <c r="G275" s="627"/>
    </row>
    <row r="276" spans="1:8" x14ac:dyDescent="0.3">
      <c r="A276" s="626"/>
      <c r="B276" s="626" t="s">
        <v>10</v>
      </c>
      <c r="C276" s="660">
        <f>0.25*(C60^2)/1000</f>
        <v>29.769368151334429</v>
      </c>
      <c r="D276" s="627" t="s">
        <v>28</v>
      </c>
      <c r="F276" s="627"/>
      <c r="G276" s="627"/>
    </row>
    <row r="277" spans="1:8" x14ac:dyDescent="0.3">
      <c r="A277" s="626"/>
      <c r="B277" s="626"/>
      <c r="C277" s="673"/>
      <c r="D277" s="627"/>
      <c r="F277" s="627"/>
      <c r="G277" s="627"/>
    </row>
    <row r="278" spans="1:8" ht="12" customHeight="1" x14ac:dyDescent="0.3">
      <c r="A278" s="627"/>
      <c r="B278" s="1306" t="s">
        <v>1169</v>
      </c>
      <c r="C278" s="1306"/>
      <c r="D278" s="1306"/>
      <c r="E278" s="1306"/>
      <c r="F278" s="1306"/>
      <c r="G278" s="1306"/>
      <c r="H278" s="1306"/>
    </row>
    <row r="279" spans="1:8" x14ac:dyDescent="0.3">
      <c r="A279" s="627"/>
      <c r="B279" s="1306"/>
      <c r="C279" s="1306"/>
      <c r="D279" s="1306"/>
      <c r="E279" s="1306"/>
      <c r="F279" s="1306"/>
      <c r="G279" s="1306"/>
      <c r="H279" s="1306"/>
    </row>
    <row r="280" spans="1:8" x14ac:dyDescent="0.3">
      <c r="A280" s="627"/>
      <c r="B280" s="627"/>
      <c r="C280" s="627"/>
      <c r="D280" s="627"/>
      <c r="E280" s="627"/>
      <c r="F280" s="627"/>
      <c r="G280" s="627"/>
    </row>
    <row r="281" spans="1:8" x14ac:dyDescent="0.3">
      <c r="A281" s="627"/>
      <c r="B281" s="627"/>
      <c r="C281" s="627"/>
      <c r="D281" s="627"/>
      <c r="E281" s="627"/>
      <c r="F281" s="627"/>
      <c r="G281" s="627"/>
    </row>
    <row r="282" spans="1:8" x14ac:dyDescent="0.3">
      <c r="A282" s="627"/>
      <c r="B282" s="627"/>
      <c r="C282" s="627"/>
      <c r="D282" s="627"/>
      <c r="E282" s="627"/>
      <c r="F282" s="627"/>
      <c r="G282" s="627"/>
    </row>
    <row r="283" spans="1:8" x14ac:dyDescent="0.3">
      <c r="A283" s="627"/>
      <c r="B283" s="627" t="s">
        <v>10</v>
      </c>
      <c r="C283" s="674">
        <f>C36</f>
        <v>55247689.279707789</v>
      </c>
      <c r="D283" s="627" t="s">
        <v>1170</v>
      </c>
      <c r="E283" s="627">
        <f>C283*10^-7</f>
        <v>5.5247689279707783</v>
      </c>
      <c r="F283" s="627" t="s">
        <v>1171</v>
      </c>
      <c r="G283" s="627"/>
    </row>
    <row r="284" spans="1:8" x14ac:dyDescent="0.3">
      <c r="A284" s="627"/>
      <c r="B284" s="627"/>
      <c r="C284" s="627"/>
      <c r="D284" s="627"/>
      <c r="E284" s="627"/>
      <c r="F284" s="627"/>
      <c r="G284" s="627"/>
    </row>
    <row r="285" spans="1:8" x14ac:dyDescent="0.3">
      <c r="A285" s="627"/>
      <c r="B285" s="627" t="s">
        <v>1036</v>
      </c>
      <c r="C285" s="627"/>
      <c r="F285" s="627"/>
      <c r="G285" s="627"/>
    </row>
    <row r="286" spans="1:8" x14ac:dyDescent="0.3">
      <c r="A286" s="627"/>
      <c r="B286" s="627"/>
      <c r="C286" s="627"/>
      <c r="F286" s="627"/>
      <c r="G286" s="627"/>
    </row>
    <row r="287" spans="1:8" ht="13.2" x14ac:dyDescent="0.3">
      <c r="A287" s="627"/>
      <c r="B287" s="627" t="s">
        <v>10</v>
      </c>
      <c r="C287" s="675">
        <f>(C283)/(0.5*C60)</f>
        <v>320205.8854036837</v>
      </c>
      <c r="D287" s="627" t="s">
        <v>1172</v>
      </c>
      <c r="E287" s="627"/>
      <c r="F287" s="627"/>
      <c r="G287" s="627"/>
    </row>
    <row r="288" spans="1:8" x14ac:dyDescent="0.3">
      <c r="A288" s="627"/>
      <c r="B288" s="627"/>
      <c r="C288" s="676"/>
      <c r="D288" s="627"/>
      <c r="E288" s="627"/>
      <c r="F288" s="627"/>
      <c r="G288" s="627"/>
    </row>
    <row r="289" spans="1:10" ht="12" customHeight="1" x14ac:dyDescent="0.3">
      <c r="A289" s="627"/>
      <c r="B289" s="1306" t="s">
        <v>1173</v>
      </c>
      <c r="C289" s="1306"/>
      <c r="D289" s="1306"/>
      <c r="E289" s="1306"/>
      <c r="F289" s="1306"/>
      <c r="G289" s="1306"/>
      <c r="H289" s="1306"/>
      <c r="I289" s="665"/>
    </row>
    <row r="290" spans="1:10" x14ac:dyDescent="0.3">
      <c r="A290" s="627"/>
      <c r="B290" s="1306"/>
      <c r="C290" s="1306"/>
      <c r="D290" s="1306"/>
      <c r="E290" s="1306"/>
      <c r="F290" s="1306"/>
      <c r="G290" s="1306"/>
      <c r="H290" s="1306"/>
      <c r="I290" s="665"/>
    </row>
    <row r="291" spans="1:10" x14ac:dyDescent="0.3">
      <c r="A291" s="627"/>
      <c r="B291" s="1306"/>
      <c r="C291" s="1306"/>
      <c r="D291" s="1306"/>
      <c r="E291" s="1306"/>
      <c r="F291" s="1306"/>
      <c r="G291" s="1306"/>
      <c r="H291" s="1306"/>
      <c r="I291" s="665"/>
    </row>
    <row r="292" spans="1:10" ht="14.4" x14ac:dyDescent="0.3">
      <c r="A292" s="627"/>
      <c r="B292" s="627" t="s">
        <v>1174</v>
      </c>
      <c r="C292" s="627" t="s">
        <v>1175</v>
      </c>
      <c r="D292" s="627"/>
      <c r="E292" s="627"/>
      <c r="F292" s="627">
        <v>6</v>
      </c>
    </row>
    <row r="293" spans="1:10" ht="14.4" x14ac:dyDescent="0.3">
      <c r="A293" s="627"/>
      <c r="B293" s="627" t="s">
        <v>1176</v>
      </c>
      <c r="C293" s="627" t="s">
        <v>1177</v>
      </c>
      <c r="D293" s="627"/>
      <c r="E293" s="627"/>
      <c r="F293" s="627"/>
      <c r="G293" s="627"/>
    </row>
    <row r="294" spans="1:10" x14ac:dyDescent="0.3">
      <c r="A294" s="627"/>
      <c r="B294" s="627"/>
      <c r="C294" s="627" t="s">
        <v>1178</v>
      </c>
      <c r="D294" s="627"/>
      <c r="E294" s="627"/>
      <c r="F294" s="627"/>
      <c r="G294" s="627"/>
    </row>
    <row r="295" spans="1:10" x14ac:dyDescent="0.3">
      <c r="A295" s="627"/>
      <c r="B295" s="627"/>
      <c r="C295" s="627" t="s">
        <v>1179</v>
      </c>
      <c r="D295" s="627"/>
      <c r="E295" s="627"/>
      <c r="F295" s="627"/>
      <c r="G295" s="627"/>
    </row>
    <row r="296" spans="1:10" ht="14.4" x14ac:dyDescent="0.3">
      <c r="A296" s="627"/>
      <c r="B296" s="627" t="s">
        <v>1180</v>
      </c>
      <c r="C296" s="627"/>
      <c r="D296" s="627"/>
      <c r="E296" s="627"/>
      <c r="F296" s="627"/>
      <c r="G296" s="627"/>
      <c r="I296" s="627">
        <v>1.5</v>
      </c>
    </row>
    <row r="297" spans="1:10" x14ac:dyDescent="0.3">
      <c r="A297" s="627"/>
      <c r="B297" s="627" t="s">
        <v>1181</v>
      </c>
      <c r="C297" s="627"/>
      <c r="D297" s="627"/>
      <c r="E297" s="627"/>
      <c r="F297" s="627">
        <f>D41</f>
        <v>246.85525848774554</v>
      </c>
      <c r="G297" s="627" t="s">
        <v>1182</v>
      </c>
      <c r="I297" s="627"/>
    </row>
    <row r="298" spans="1:10" x14ac:dyDescent="0.3">
      <c r="A298" s="627"/>
      <c r="B298" s="628" t="s">
        <v>1183</v>
      </c>
      <c r="C298" s="628"/>
      <c r="D298" s="628"/>
      <c r="E298" s="665"/>
      <c r="F298" s="665"/>
      <c r="G298" s="627"/>
      <c r="H298" s="627"/>
      <c r="I298" s="627"/>
    </row>
    <row r="299" spans="1:10" x14ac:dyDescent="0.3">
      <c r="A299" s="627"/>
      <c r="B299" s="628"/>
      <c r="C299" s="677"/>
      <c r="D299" s="628"/>
      <c r="E299" s="627"/>
      <c r="F299" s="627"/>
      <c r="G299" s="627"/>
      <c r="H299" s="627"/>
      <c r="I299" s="627"/>
    </row>
    <row r="300" spans="1:10" ht="13.2" x14ac:dyDescent="0.3">
      <c r="A300" s="627"/>
      <c r="B300" s="628" t="s">
        <v>1183</v>
      </c>
      <c r="C300" s="678">
        <f>F297/(F292*I296)</f>
        <v>27.428362054193951</v>
      </c>
      <c r="D300" s="628" t="s">
        <v>1184</v>
      </c>
      <c r="E300" s="627"/>
      <c r="F300" s="627"/>
      <c r="G300" s="627"/>
    </row>
    <row r="301" spans="1:10" x14ac:dyDescent="0.3">
      <c r="A301" s="627"/>
      <c r="B301" s="628" t="s">
        <v>1185</v>
      </c>
      <c r="C301" s="677"/>
      <c r="D301" s="628"/>
      <c r="E301" s="628"/>
      <c r="F301" s="628"/>
      <c r="G301" s="627"/>
    </row>
    <row r="302" spans="1:10" x14ac:dyDescent="0.3">
      <c r="A302" s="627"/>
      <c r="B302" s="628" t="s">
        <v>1186</v>
      </c>
      <c r="C302" s="628"/>
      <c r="D302" s="628"/>
      <c r="E302" s="628"/>
      <c r="F302" s="628"/>
      <c r="G302" s="627"/>
    </row>
    <row r="303" spans="1:10" x14ac:dyDescent="0.3">
      <c r="A303" s="627"/>
      <c r="B303" s="628"/>
      <c r="C303" s="677"/>
      <c r="D303" s="628"/>
      <c r="E303" s="628"/>
      <c r="F303" s="628"/>
      <c r="G303" s="627"/>
    </row>
    <row r="304" spans="1:10" ht="13.2" x14ac:dyDescent="0.3">
      <c r="A304" s="627"/>
      <c r="B304" s="628" t="s">
        <v>1186</v>
      </c>
      <c r="C304" s="678">
        <f>C287/(C263*C257)</f>
        <v>5.9756780074496794</v>
      </c>
      <c r="D304" s="628" t="s">
        <v>1184</v>
      </c>
      <c r="E304" s="628"/>
      <c r="F304" s="628"/>
      <c r="G304" s="627"/>
      <c r="J304" s="628"/>
    </row>
    <row r="305" spans="1:9" x14ac:dyDescent="0.3">
      <c r="A305" s="627"/>
      <c r="C305" s="628"/>
      <c r="D305" s="628"/>
      <c r="E305" s="628"/>
      <c r="F305" s="628"/>
      <c r="G305" s="628"/>
      <c r="H305" s="628"/>
      <c r="I305" s="628"/>
    </row>
    <row r="306" spans="1:9" x14ac:dyDescent="0.3">
      <c r="A306" s="627"/>
      <c r="B306" s="628" t="s">
        <v>1187</v>
      </c>
      <c r="C306" s="628" t="s">
        <v>1188</v>
      </c>
      <c r="D306" s="628" t="s">
        <v>1189</v>
      </c>
      <c r="E306" s="628" t="s">
        <v>1190</v>
      </c>
      <c r="F306" s="628"/>
      <c r="G306" s="628"/>
      <c r="H306" s="628"/>
      <c r="I306" s="628"/>
    </row>
    <row r="307" spans="1:9" x14ac:dyDescent="0.3">
      <c r="A307" s="627"/>
      <c r="B307" s="627"/>
      <c r="C307" s="642">
        <f>C300</f>
        <v>27.428362054193951</v>
      </c>
      <c r="D307" s="628" t="s">
        <v>1189</v>
      </c>
      <c r="E307" s="662">
        <f>C304</f>
        <v>5.9756780074496794</v>
      </c>
      <c r="F307" s="627"/>
      <c r="G307" s="627"/>
    </row>
    <row r="308" spans="1:9" x14ac:dyDescent="0.3">
      <c r="A308" s="627"/>
      <c r="B308" s="627" t="s">
        <v>1191</v>
      </c>
      <c r="C308" s="627"/>
      <c r="D308" s="627"/>
      <c r="F308" s="671" t="str">
        <f>IF(C307&gt;=E307,"memenuhi","tidak memenuhi")</f>
        <v>memenuhi</v>
      </c>
      <c r="G308" s="627"/>
    </row>
    <row r="309" spans="1:9" x14ac:dyDescent="0.3">
      <c r="A309" s="626" t="s">
        <v>1147</v>
      </c>
      <c r="B309" s="626" t="s">
        <v>1192</v>
      </c>
      <c r="C309" s="626"/>
      <c r="E309" s="627"/>
      <c r="F309" s="627"/>
      <c r="G309" s="627"/>
    </row>
    <row r="310" spans="1:9" x14ac:dyDescent="0.3">
      <c r="A310" s="627"/>
      <c r="B310" s="627" t="s">
        <v>10</v>
      </c>
      <c r="C310" s="627" t="s">
        <v>1193</v>
      </c>
      <c r="D310" s="627"/>
      <c r="E310" s="627"/>
      <c r="F310" s="627"/>
      <c r="G310" s="627"/>
    </row>
    <row r="311" spans="1:9" ht="13.2" x14ac:dyDescent="0.3">
      <c r="A311" s="627"/>
      <c r="B311" s="627" t="s">
        <v>10</v>
      </c>
      <c r="C311" s="674">
        <f>C267*C263</f>
        <v>5953.8736302668858</v>
      </c>
      <c r="D311" s="627" t="s">
        <v>1194</v>
      </c>
      <c r="E311" s="627"/>
      <c r="F311" s="627"/>
      <c r="G311" s="627"/>
    </row>
    <row r="312" spans="1:9" x14ac:dyDescent="0.3">
      <c r="A312" s="626" t="s">
        <v>1147</v>
      </c>
      <c r="B312" s="626" t="s">
        <v>1195</v>
      </c>
      <c r="C312" s="626"/>
      <c r="D312" s="627"/>
      <c r="F312" s="627"/>
      <c r="G312" s="627"/>
    </row>
    <row r="313" spans="1:9" x14ac:dyDescent="0.3">
      <c r="A313" s="627"/>
      <c r="B313" s="627" t="s">
        <v>1196</v>
      </c>
      <c r="C313" s="627" t="s">
        <v>1197</v>
      </c>
      <c r="D313" s="627"/>
      <c r="F313" s="627"/>
      <c r="G313" s="627"/>
    </row>
    <row r="314" spans="1:9" x14ac:dyDescent="0.3">
      <c r="A314" s="627"/>
      <c r="B314" s="627" t="s">
        <v>10</v>
      </c>
      <c r="C314" s="674">
        <f>0.5*C267</f>
        <v>28.756336572877689</v>
      </c>
      <c r="D314" s="627" t="s">
        <v>28</v>
      </c>
      <c r="F314" s="627"/>
      <c r="G314" s="627"/>
    </row>
    <row r="315" spans="1:9" x14ac:dyDescent="0.3">
      <c r="A315" s="626" t="s">
        <v>1147</v>
      </c>
      <c r="B315" s="679" t="s">
        <v>1198</v>
      </c>
      <c r="C315" s="635"/>
      <c r="D315" s="635"/>
      <c r="E315" s="627"/>
      <c r="F315" s="627"/>
      <c r="G315" s="627"/>
    </row>
    <row r="316" spans="1:9" x14ac:dyDescent="0.3">
      <c r="A316" s="626"/>
      <c r="B316" s="628" t="s">
        <v>1199</v>
      </c>
      <c r="C316" s="628">
        <v>4</v>
      </c>
      <c r="D316" s="628" t="s">
        <v>28</v>
      </c>
      <c r="E316" s="627"/>
      <c r="F316" s="627"/>
      <c r="G316" s="627"/>
    </row>
    <row r="317" spans="1:9" x14ac:dyDescent="0.3">
      <c r="A317" s="624"/>
      <c r="B317" s="628"/>
      <c r="C317" s="628" t="s">
        <v>1200</v>
      </c>
      <c r="D317" s="628"/>
      <c r="E317" s="627"/>
      <c r="F317" s="627"/>
      <c r="G317" s="627"/>
      <c r="H317" s="627"/>
    </row>
    <row r="318" spans="1:9" x14ac:dyDescent="0.3">
      <c r="A318" s="624"/>
      <c r="B318" s="628"/>
      <c r="C318" s="628" t="s">
        <v>1201</v>
      </c>
      <c r="D318" s="628">
        <v>8</v>
      </c>
      <c r="E318" s="627" t="s">
        <v>28</v>
      </c>
      <c r="F318" s="627"/>
      <c r="G318" s="627"/>
      <c r="H318" s="627"/>
    </row>
    <row r="319" spans="1:9" x14ac:dyDescent="0.3">
      <c r="A319" s="624"/>
      <c r="B319" s="628"/>
      <c r="C319" s="628" t="s">
        <v>1202</v>
      </c>
      <c r="D319" s="628">
        <v>7</v>
      </c>
      <c r="E319" s="627" t="s">
        <v>28</v>
      </c>
      <c r="F319" s="627"/>
      <c r="G319" s="627"/>
      <c r="H319" s="627"/>
    </row>
    <row r="320" spans="1:9" x14ac:dyDescent="0.3">
      <c r="A320" s="624"/>
      <c r="B320" s="628"/>
      <c r="C320" s="628" t="s">
        <v>1203</v>
      </c>
      <c r="D320" s="628">
        <v>6</v>
      </c>
      <c r="E320" s="627" t="s">
        <v>28</v>
      </c>
      <c r="F320" s="627"/>
      <c r="G320" s="627"/>
      <c r="H320" s="627"/>
    </row>
    <row r="321" spans="1:7" x14ac:dyDescent="0.3">
      <c r="A321" s="627"/>
      <c r="B321" s="628"/>
      <c r="C321" s="628" t="s">
        <v>1204</v>
      </c>
      <c r="D321" s="628">
        <v>5</v>
      </c>
      <c r="E321" s="627" t="s">
        <v>28</v>
      </c>
      <c r="F321" s="627"/>
      <c r="G321" s="627"/>
    </row>
    <row r="322" spans="1:7" x14ac:dyDescent="0.3">
      <c r="A322" s="627"/>
      <c r="B322" s="628" t="s">
        <v>1205</v>
      </c>
      <c r="C322" s="640" t="s">
        <v>1206</v>
      </c>
      <c r="D322" s="628"/>
      <c r="E322" s="627"/>
      <c r="F322" s="627"/>
      <c r="G322" s="627"/>
    </row>
    <row r="323" spans="1:7" x14ac:dyDescent="0.3">
      <c r="A323" s="627"/>
      <c r="B323" s="628" t="s">
        <v>1205</v>
      </c>
      <c r="C323" s="678">
        <f>0.5*C263</f>
        <v>51.761405831179843</v>
      </c>
      <c r="D323" s="628" t="s">
        <v>28</v>
      </c>
      <c r="E323" s="627"/>
      <c r="F323" s="627"/>
      <c r="G323" s="627"/>
    </row>
    <row r="325" spans="1:7" x14ac:dyDescent="0.3">
      <c r="A325" s="626">
        <v>2.6</v>
      </c>
      <c r="B325" s="626" t="s">
        <v>1207</v>
      </c>
      <c r="C325" s="626"/>
      <c r="D325" s="626"/>
      <c r="E325" s="626"/>
      <c r="F325" s="627"/>
      <c r="G325" s="627"/>
    </row>
    <row r="326" spans="1:7" x14ac:dyDescent="0.3">
      <c r="A326" s="627"/>
      <c r="B326" s="627" t="s">
        <v>1208</v>
      </c>
      <c r="C326" s="627"/>
      <c r="D326" s="627"/>
      <c r="E326" s="627"/>
      <c r="F326" s="627"/>
      <c r="G326" s="627"/>
    </row>
    <row r="327" spans="1:7" x14ac:dyDescent="0.3">
      <c r="A327" s="627"/>
      <c r="B327" s="669" t="s">
        <v>1209</v>
      </c>
      <c r="C327" s="627"/>
      <c r="D327" s="627"/>
      <c r="E327" s="627"/>
      <c r="F327" s="627"/>
      <c r="G327" s="627"/>
    </row>
    <row r="328" spans="1:7" x14ac:dyDescent="0.3">
      <c r="A328" s="627"/>
      <c r="B328" s="627" t="s">
        <v>1210</v>
      </c>
      <c r="C328" s="627"/>
      <c r="D328" s="627">
        <v>8</v>
      </c>
      <c r="E328" s="627" t="s">
        <v>1211</v>
      </c>
      <c r="G328" s="627"/>
    </row>
    <row r="329" spans="1:7" x14ac:dyDescent="0.3">
      <c r="A329" s="627"/>
      <c r="B329" s="627"/>
      <c r="C329" s="627"/>
      <c r="D329" s="627"/>
      <c r="E329" s="627"/>
      <c r="G329" s="627"/>
    </row>
    <row r="330" spans="1:7" x14ac:dyDescent="0.3">
      <c r="A330" s="626" t="s">
        <v>174</v>
      </c>
      <c r="B330" s="626" t="s">
        <v>1212</v>
      </c>
      <c r="C330" s="626"/>
      <c r="D330" s="627"/>
      <c r="E330" s="627"/>
      <c r="F330" s="627"/>
      <c r="G330" s="627"/>
    </row>
    <row r="331" spans="1:7" x14ac:dyDescent="0.3">
      <c r="A331" s="626" t="s">
        <v>1213</v>
      </c>
      <c r="B331" s="626" t="s">
        <v>1214</v>
      </c>
      <c r="C331" s="626"/>
      <c r="D331" s="626"/>
      <c r="E331" s="627"/>
      <c r="F331" s="627"/>
      <c r="G331" s="627"/>
    </row>
    <row r="332" spans="1:7" x14ac:dyDescent="0.3">
      <c r="A332" s="627"/>
      <c r="B332" s="627" t="s">
        <v>1215</v>
      </c>
      <c r="C332" s="627"/>
      <c r="D332" s="627"/>
      <c r="E332" s="627"/>
      <c r="F332" s="627"/>
      <c r="G332" s="627"/>
    </row>
    <row r="333" spans="1:7" x14ac:dyDescent="0.3">
      <c r="A333" s="627"/>
      <c r="B333" s="627" t="s">
        <v>1216</v>
      </c>
      <c r="C333" s="627"/>
      <c r="D333" s="627"/>
      <c r="E333" s="627"/>
      <c r="F333" s="627"/>
      <c r="G333" s="627"/>
    </row>
    <row r="334" spans="1:7" x14ac:dyDescent="0.3">
      <c r="A334" s="627"/>
      <c r="B334" s="627" t="s">
        <v>1217</v>
      </c>
      <c r="C334" s="680">
        <f>1.5*C60</f>
        <v>517.61405831179843</v>
      </c>
      <c r="D334" s="627" t="s">
        <v>10</v>
      </c>
      <c r="E334" s="674">
        <f>C334</f>
        <v>517.61405831179843</v>
      </c>
      <c r="F334" s="627" t="s">
        <v>28</v>
      </c>
      <c r="G334" s="627"/>
    </row>
    <row r="335" spans="1:7" x14ac:dyDescent="0.3">
      <c r="A335" s="626" t="s">
        <v>1213</v>
      </c>
      <c r="B335" s="626" t="s">
        <v>1218</v>
      </c>
      <c r="C335" s="627"/>
      <c r="D335" s="627"/>
      <c r="E335" s="627"/>
      <c r="F335" s="627"/>
      <c r="G335" s="627"/>
    </row>
    <row r="336" spans="1:7" x14ac:dyDescent="0.3">
      <c r="A336" s="627"/>
      <c r="B336" s="627" t="s">
        <v>1219</v>
      </c>
      <c r="C336" s="627"/>
      <c r="D336" s="627"/>
      <c r="E336" s="627"/>
      <c r="F336" s="627"/>
      <c r="G336" s="627"/>
    </row>
    <row r="337" spans="1:9" x14ac:dyDescent="0.3">
      <c r="A337" s="627"/>
      <c r="B337" s="627" t="s">
        <v>1220</v>
      </c>
      <c r="C337" s="627"/>
      <c r="D337" s="627"/>
      <c r="E337" s="627"/>
      <c r="F337" s="627"/>
      <c r="G337" s="627"/>
    </row>
    <row r="338" spans="1:9" x14ac:dyDescent="0.3">
      <c r="A338" s="627"/>
      <c r="B338" s="627" t="s">
        <v>1221</v>
      </c>
      <c r="C338" s="627"/>
      <c r="D338" s="680">
        <f>0.1*E334</f>
        <v>51.761405831179843</v>
      </c>
      <c r="E338" s="627" t="s">
        <v>28</v>
      </c>
    </row>
    <row r="339" spans="1:9" x14ac:dyDescent="0.3">
      <c r="A339" s="626"/>
      <c r="B339" s="626" t="s">
        <v>1222</v>
      </c>
      <c r="C339" s="627"/>
      <c r="D339" s="627"/>
      <c r="E339" s="627"/>
      <c r="F339" s="627"/>
    </row>
    <row r="340" spans="1:9" x14ac:dyDescent="0.3">
      <c r="A340" s="627"/>
      <c r="B340" s="627" t="s">
        <v>1223</v>
      </c>
      <c r="C340" s="627"/>
      <c r="D340" s="674">
        <f>C60-(2*D338)</f>
        <v>241.5532272121726</v>
      </c>
      <c r="E340" s="627" t="s">
        <v>28</v>
      </c>
    </row>
    <row r="341" spans="1:9" x14ac:dyDescent="0.3">
      <c r="A341" s="627"/>
      <c r="B341" s="627"/>
      <c r="C341" s="627"/>
      <c r="D341" s="672"/>
      <c r="E341" s="627"/>
    </row>
    <row r="342" spans="1:9" x14ac:dyDescent="0.3">
      <c r="A342" s="626" t="s">
        <v>1213</v>
      </c>
      <c r="B342" s="626" t="s">
        <v>1224</v>
      </c>
      <c r="C342" s="627"/>
      <c r="D342" s="627"/>
      <c r="E342" s="627"/>
      <c r="F342" s="627"/>
    </row>
    <row r="343" spans="1:9" ht="14.4" x14ac:dyDescent="0.3">
      <c r="A343" s="627"/>
      <c r="B343" s="627" t="s">
        <v>1225</v>
      </c>
      <c r="C343" s="627"/>
      <c r="D343" s="627"/>
      <c r="E343" s="627"/>
      <c r="F343" s="627"/>
    </row>
    <row r="344" spans="1:9" ht="14.4" x14ac:dyDescent="0.3">
      <c r="A344" s="627"/>
      <c r="B344" s="627" t="s">
        <v>1226</v>
      </c>
      <c r="C344" s="627"/>
      <c r="D344" s="627"/>
      <c r="E344" s="627"/>
      <c r="F344" s="627"/>
    </row>
    <row r="345" spans="1:9" x14ac:dyDescent="0.3">
      <c r="A345" s="627"/>
      <c r="B345" s="627"/>
      <c r="C345" s="627" t="s">
        <v>1227</v>
      </c>
      <c r="D345" s="671">
        <f>3*C60</f>
        <v>1035.2281166235969</v>
      </c>
      <c r="E345" s="627" t="s">
        <v>28</v>
      </c>
      <c r="F345" s="670">
        <f>D345</f>
        <v>1035.2281166235969</v>
      </c>
    </row>
    <row r="346" spans="1:9" x14ac:dyDescent="0.3">
      <c r="A346" s="626" t="s">
        <v>1213</v>
      </c>
      <c r="B346" s="626" t="s">
        <v>1228</v>
      </c>
      <c r="C346" s="627"/>
      <c r="D346" s="627"/>
      <c r="E346" s="627"/>
      <c r="F346" s="627"/>
    </row>
    <row r="347" spans="1:9" x14ac:dyDescent="0.3">
      <c r="A347" s="627"/>
      <c r="B347" s="627" t="s">
        <v>1229</v>
      </c>
      <c r="C347" s="627"/>
      <c r="D347" s="627"/>
      <c r="E347" s="627"/>
      <c r="F347" s="681" t="s">
        <v>1230</v>
      </c>
      <c r="H347" s="636"/>
      <c r="I347" s="681"/>
    </row>
    <row r="348" spans="1:9" x14ac:dyDescent="0.3">
      <c r="A348" s="627"/>
      <c r="D348" s="627"/>
      <c r="E348" s="627"/>
      <c r="F348" s="635"/>
      <c r="G348" s="636" t="s">
        <v>1231</v>
      </c>
      <c r="H348" s="1307" t="s">
        <v>1232</v>
      </c>
      <c r="I348" s="1307"/>
    </row>
    <row r="349" spans="1:9" ht="14.4" x14ac:dyDescent="0.3">
      <c r="A349" s="627"/>
      <c r="B349" s="627" t="s">
        <v>1233</v>
      </c>
      <c r="C349" s="627"/>
      <c r="D349" s="627"/>
      <c r="E349" s="627"/>
      <c r="F349" s="635"/>
      <c r="G349" s="682" t="s">
        <v>1234</v>
      </c>
      <c r="H349" s="636" t="s">
        <v>1235</v>
      </c>
      <c r="I349" s="636"/>
    </row>
    <row r="350" spans="1:9" x14ac:dyDescent="0.3">
      <c r="A350" s="627"/>
      <c r="D350" s="627"/>
      <c r="E350" s="627"/>
      <c r="G350" s="636" t="s">
        <v>10</v>
      </c>
      <c r="H350" s="635">
        <f>D41*9.8</f>
        <v>2419.1815331799066</v>
      </c>
    </row>
    <row r="351" spans="1:9" x14ac:dyDescent="0.3">
      <c r="A351" s="627"/>
      <c r="B351" s="627" t="s">
        <v>1236</v>
      </c>
      <c r="C351" s="623" t="s">
        <v>1237</v>
      </c>
      <c r="D351" s="627"/>
      <c r="E351" s="627"/>
      <c r="F351" s="636" t="s">
        <v>1238</v>
      </c>
      <c r="G351" s="623" t="s">
        <v>1239</v>
      </c>
      <c r="I351" s="636"/>
    </row>
    <row r="352" spans="1:9" x14ac:dyDescent="0.3">
      <c r="A352" s="627"/>
      <c r="B352" s="627" t="s">
        <v>1034</v>
      </c>
      <c r="C352" s="623" t="s">
        <v>1240</v>
      </c>
      <c r="D352" s="627"/>
      <c r="E352" s="627"/>
      <c r="F352" s="623" t="s">
        <v>131</v>
      </c>
      <c r="G352" s="623" t="s">
        <v>1241</v>
      </c>
    </row>
    <row r="353" spans="1:9" x14ac:dyDescent="0.3">
      <c r="A353" s="627"/>
      <c r="B353" s="627" t="s">
        <v>913</v>
      </c>
      <c r="C353" s="623" t="s">
        <v>1242</v>
      </c>
      <c r="D353" s="627"/>
      <c r="E353" s="627"/>
      <c r="F353" s="635"/>
      <c r="G353" s="636" t="s">
        <v>1243</v>
      </c>
      <c r="H353" s="636" t="s">
        <v>1244</v>
      </c>
      <c r="I353" s="636"/>
    </row>
    <row r="354" spans="1:9" x14ac:dyDescent="0.3">
      <c r="A354" s="627"/>
      <c r="B354" s="627" t="s">
        <v>780</v>
      </c>
      <c r="C354" s="623" t="s">
        <v>1245</v>
      </c>
      <c r="D354" s="627"/>
      <c r="E354" s="627"/>
      <c r="F354" s="635"/>
      <c r="G354" s="636" t="s">
        <v>10</v>
      </c>
      <c r="H354" s="642">
        <f>(560)/(160+H350)</f>
        <v>0.21712314266982544</v>
      </c>
      <c r="I354" s="636"/>
    </row>
    <row r="355" spans="1:9" ht="14.4" x14ac:dyDescent="0.3">
      <c r="A355" s="627"/>
      <c r="B355" s="627"/>
      <c r="C355" s="627" t="s">
        <v>1233</v>
      </c>
      <c r="D355" s="675">
        <f>370*(((C27*H354)/(C35*D345))^(1/2))</f>
        <v>40.356578012049475</v>
      </c>
      <c r="E355" s="627"/>
      <c r="F355" s="635"/>
    </row>
    <row r="356" spans="1:9" x14ac:dyDescent="0.3">
      <c r="A356" s="627"/>
      <c r="B356" s="627"/>
      <c r="C356" s="627" t="s">
        <v>10</v>
      </c>
      <c r="D356" s="674">
        <f>D355</f>
        <v>40.356578012049475</v>
      </c>
      <c r="E356" s="627" t="s">
        <v>28</v>
      </c>
      <c r="F356" s="627"/>
      <c r="G356" s="627"/>
    </row>
    <row r="357" spans="1:9" x14ac:dyDescent="0.3">
      <c r="A357" s="627"/>
      <c r="B357" s="627"/>
      <c r="C357" s="627"/>
      <c r="D357" s="674"/>
      <c r="E357" s="627"/>
      <c r="F357" s="627"/>
      <c r="G357" s="627"/>
    </row>
    <row r="358" spans="1:9" x14ac:dyDescent="0.3">
      <c r="A358" s="626" t="s">
        <v>1213</v>
      </c>
      <c r="B358" s="626" t="s">
        <v>1246</v>
      </c>
      <c r="C358" s="627"/>
      <c r="D358" s="627"/>
      <c r="E358" s="627"/>
      <c r="F358" s="627"/>
      <c r="G358" s="627"/>
    </row>
    <row r="359" spans="1:9" x14ac:dyDescent="0.3">
      <c r="A359" s="627"/>
      <c r="B359" s="627" t="s">
        <v>1247</v>
      </c>
      <c r="C359" s="627" t="s">
        <v>1248</v>
      </c>
      <c r="D359" s="627"/>
      <c r="E359" s="627"/>
      <c r="F359" s="627"/>
      <c r="G359" s="627"/>
    </row>
    <row r="360" spans="1:9" x14ac:dyDescent="0.3">
      <c r="A360" s="627"/>
      <c r="B360" s="627" t="s">
        <v>10</v>
      </c>
      <c r="C360" s="674">
        <f>2.5*C60</f>
        <v>862.69009718633072</v>
      </c>
      <c r="D360" s="627" t="s">
        <v>28</v>
      </c>
      <c r="E360" s="627"/>
      <c r="F360" s="627"/>
      <c r="G360" s="627"/>
    </row>
    <row r="361" spans="1:9" x14ac:dyDescent="0.3">
      <c r="A361" s="626" t="s">
        <v>1213</v>
      </c>
      <c r="B361" s="626" t="s">
        <v>1249</v>
      </c>
      <c r="C361" s="627"/>
      <c r="D361" s="627"/>
      <c r="E361" s="627"/>
      <c r="F361" s="627"/>
      <c r="G361" s="627"/>
    </row>
    <row r="362" spans="1:9" x14ac:dyDescent="0.3">
      <c r="A362" s="627"/>
      <c r="B362" s="627" t="s">
        <v>1250</v>
      </c>
      <c r="C362" s="627" t="s">
        <v>1251</v>
      </c>
      <c r="D362" s="627"/>
      <c r="E362" s="627" t="s">
        <v>1252</v>
      </c>
      <c r="F362" s="627">
        <v>5</v>
      </c>
      <c r="G362" s="627"/>
    </row>
    <row r="363" spans="1:9" x14ac:dyDescent="0.3">
      <c r="A363" s="627"/>
      <c r="B363" s="627" t="s">
        <v>10</v>
      </c>
      <c r="C363" s="674">
        <f>F362*C60*0.5</f>
        <v>862.69009718633072</v>
      </c>
      <c r="D363" s="627" t="s">
        <v>28</v>
      </c>
      <c r="E363" s="627"/>
      <c r="F363" s="627"/>
      <c r="G363" s="627"/>
    </row>
    <row r="364" spans="1:9" x14ac:dyDescent="0.3">
      <c r="A364" s="627"/>
      <c r="B364" s="627"/>
      <c r="C364" s="672"/>
      <c r="D364" s="627"/>
      <c r="E364" s="627"/>
      <c r="F364" s="627"/>
      <c r="G364" s="627"/>
    </row>
    <row r="365" spans="1:9" x14ac:dyDescent="0.3">
      <c r="A365" s="626" t="s">
        <v>175</v>
      </c>
      <c r="B365" s="626" t="s">
        <v>1253</v>
      </c>
      <c r="C365" s="626"/>
      <c r="D365" s="627"/>
      <c r="E365" s="627"/>
      <c r="F365" s="627"/>
      <c r="G365" s="627"/>
    </row>
    <row r="366" spans="1:9" x14ac:dyDescent="0.3">
      <c r="A366" s="626" t="s">
        <v>1213</v>
      </c>
      <c r="B366" s="626" t="s">
        <v>1254</v>
      </c>
      <c r="C366" s="626"/>
      <c r="D366" s="627"/>
      <c r="E366" s="627"/>
      <c r="F366" s="627"/>
      <c r="G366" s="627"/>
    </row>
    <row r="367" spans="1:9" x14ac:dyDescent="0.3">
      <c r="A367" s="627"/>
      <c r="B367" s="627" t="s">
        <v>1255</v>
      </c>
      <c r="C367" s="627"/>
      <c r="D367" s="627"/>
      <c r="E367" s="627"/>
      <c r="F367" s="627"/>
      <c r="G367" s="671"/>
    </row>
    <row r="368" spans="1:9" x14ac:dyDescent="0.3">
      <c r="A368" s="627"/>
      <c r="C368" s="627"/>
      <c r="D368" s="627"/>
      <c r="E368" s="627"/>
      <c r="F368" s="627"/>
      <c r="G368" s="671"/>
    </row>
    <row r="369" spans="1:7" x14ac:dyDescent="0.3">
      <c r="A369" s="627"/>
      <c r="B369" s="627" t="s">
        <v>1256</v>
      </c>
      <c r="C369" s="627"/>
      <c r="D369" s="627"/>
      <c r="E369" s="627"/>
      <c r="F369" s="627"/>
      <c r="G369" s="671"/>
    </row>
    <row r="370" spans="1:7" x14ac:dyDescent="0.3">
      <c r="A370" s="627"/>
      <c r="B370" s="627"/>
      <c r="C370" s="627"/>
      <c r="D370" s="627"/>
      <c r="E370" s="627"/>
      <c r="F370" s="627"/>
      <c r="G370" s="671"/>
    </row>
    <row r="371" spans="1:7" x14ac:dyDescent="0.3">
      <c r="A371" s="627"/>
      <c r="B371" s="627" t="s">
        <v>107</v>
      </c>
      <c r="C371" s="627" t="s">
        <v>1257</v>
      </c>
      <c r="D371" s="680" t="s">
        <v>1258</v>
      </c>
      <c r="E371" s="662">
        <f>C82</f>
        <v>7717.3433460039641</v>
      </c>
      <c r="F371" s="627"/>
      <c r="G371" s="671"/>
    </row>
    <row r="372" spans="1:7" ht="13.2" x14ac:dyDescent="0.3">
      <c r="A372" s="627"/>
      <c r="B372" s="627"/>
      <c r="C372" s="627" t="s">
        <v>1259</v>
      </c>
      <c r="D372" s="671" t="s">
        <v>1260</v>
      </c>
      <c r="E372" s="627"/>
      <c r="F372" s="627"/>
      <c r="G372" s="671"/>
    </row>
    <row r="373" spans="1:7" x14ac:dyDescent="0.3">
      <c r="A373" s="627"/>
      <c r="B373" s="627"/>
      <c r="C373" s="627" t="s">
        <v>1261</v>
      </c>
      <c r="D373" s="662" t="s">
        <v>1262</v>
      </c>
      <c r="E373" s="627"/>
      <c r="F373" s="671"/>
      <c r="G373" s="671"/>
    </row>
    <row r="374" spans="1:7" x14ac:dyDescent="0.3">
      <c r="A374" s="627"/>
      <c r="B374" s="627"/>
      <c r="C374" s="627" t="s">
        <v>1263</v>
      </c>
      <c r="D374" s="627" t="s">
        <v>1264</v>
      </c>
      <c r="E374" s="627"/>
      <c r="F374" s="627"/>
      <c r="G374" s="671"/>
    </row>
    <row r="375" spans="1:7" x14ac:dyDescent="0.3">
      <c r="A375" s="627"/>
      <c r="B375" s="627"/>
      <c r="E375" s="627"/>
      <c r="F375" s="671"/>
      <c r="G375" s="627"/>
    </row>
    <row r="376" spans="1:7" x14ac:dyDescent="0.3">
      <c r="A376" s="627"/>
      <c r="B376" s="627" t="s">
        <v>1265</v>
      </c>
      <c r="C376" s="627"/>
      <c r="D376" s="627"/>
      <c r="E376" s="627"/>
      <c r="F376" s="627"/>
      <c r="G376" s="627"/>
    </row>
    <row r="377" spans="1:7" x14ac:dyDescent="0.3">
      <c r="A377" s="627"/>
      <c r="B377" s="627" t="s">
        <v>1256</v>
      </c>
      <c r="C377" s="675">
        <f>16*(((C26*10^6)/(C35*C360*D328*H350))^(1/2))</f>
        <v>29.491097451109162</v>
      </c>
      <c r="D377" s="627"/>
      <c r="E377" s="627"/>
      <c r="F377" s="627"/>
      <c r="G377" s="627"/>
    </row>
    <row r="378" spans="1:7" x14ac:dyDescent="0.3">
      <c r="A378" s="627"/>
      <c r="B378" s="627" t="s">
        <v>10</v>
      </c>
      <c r="C378" s="674">
        <f>C377</f>
        <v>29.491097451109162</v>
      </c>
      <c r="D378" s="627" t="s">
        <v>28</v>
      </c>
      <c r="E378" s="627"/>
      <c r="F378" s="627"/>
      <c r="G378" s="627"/>
    </row>
    <row r="379" spans="1:7" x14ac:dyDescent="0.3">
      <c r="A379" s="627"/>
      <c r="B379" s="627"/>
      <c r="C379" s="627"/>
      <c r="D379" s="627"/>
      <c r="E379" s="627"/>
      <c r="F379" s="627"/>
      <c r="G379" s="627"/>
    </row>
    <row r="380" spans="1:7" x14ac:dyDescent="0.3">
      <c r="A380" s="627"/>
      <c r="B380" s="627"/>
      <c r="C380" s="627"/>
      <c r="D380" s="627"/>
      <c r="E380" s="671"/>
      <c r="F380" s="671"/>
      <c r="G380" s="627"/>
    </row>
    <row r="381" spans="1:7" x14ac:dyDescent="0.3">
      <c r="A381" s="627"/>
      <c r="B381" s="627" t="s">
        <v>1266</v>
      </c>
      <c r="C381" s="627"/>
      <c r="D381" s="627"/>
      <c r="E381" s="671"/>
      <c r="F381" s="671"/>
      <c r="G381" s="627"/>
    </row>
    <row r="382" spans="1:7" x14ac:dyDescent="0.3">
      <c r="A382" s="627"/>
      <c r="B382" s="627"/>
      <c r="C382" s="627"/>
      <c r="D382" s="627"/>
      <c r="E382" s="671"/>
      <c r="F382" s="671"/>
      <c r="G382" s="627"/>
    </row>
    <row r="383" spans="1:7" x14ac:dyDescent="0.3">
      <c r="A383" s="627"/>
      <c r="B383" s="627" t="s">
        <v>10</v>
      </c>
      <c r="C383" s="675">
        <f>12*(((C26*10^6)/(C35*C360*D328*H350))^(1/2))</f>
        <v>22.11832308833187</v>
      </c>
      <c r="D383" s="627"/>
      <c r="E383" s="671"/>
      <c r="F383" s="671"/>
      <c r="G383" s="627"/>
    </row>
    <row r="384" spans="1:7" x14ac:dyDescent="0.3">
      <c r="A384" s="627"/>
      <c r="B384" s="627" t="s">
        <v>10</v>
      </c>
      <c r="C384" s="674">
        <f>C383</f>
        <v>22.11832308833187</v>
      </c>
      <c r="D384" s="627" t="s">
        <v>28</v>
      </c>
      <c r="E384" s="627"/>
      <c r="F384" s="627"/>
      <c r="G384" s="627"/>
    </row>
    <row r="385" spans="1:7" x14ac:dyDescent="0.3">
      <c r="A385" s="627"/>
      <c r="B385" s="627"/>
      <c r="C385" s="670"/>
      <c r="D385" s="627"/>
      <c r="E385" s="627"/>
      <c r="F385" s="627"/>
      <c r="G385" s="627"/>
    </row>
    <row r="386" spans="1:7" x14ac:dyDescent="0.3">
      <c r="A386" s="627"/>
      <c r="B386" s="627" t="s">
        <v>1267</v>
      </c>
      <c r="C386" s="627"/>
      <c r="D386" s="627"/>
      <c r="E386" s="627"/>
      <c r="F386" s="627"/>
      <c r="G386" s="627"/>
    </row>
    <row r="387" spans="1:7" x14ac:dyDescent="0.3">
      <c r="A387" s="627"/>
      <c r="B387" s="627" t="s">
        <v>1268</v>
      </c>
      <c r="C387" s="627" t="s">
        <v>1269</v>
      </c>
      <c r="D387" s="627"/>
      <c r="E387" s="627"/>
      <c r="F387" s="627"/>
      <c r="G387" s="627"/>
    </row>
    <row r="388" spans="1:7" x14ac:dyDescent="0.3">
      <c r="A388" s="627"/>
      <c r="B388" s="627" t="s">
        <v>1268</v>
      </c>
      <c r="C388" s="680">
        <f>2*C378</f>
        <v>58.982194902218325</v>
      </c>
      <c r="D388" s="627"/>
      <c r="E388" s="627"/>
      <c r="F388" s="627"/>
      <c r="G388" s="627"/>
    </row>
    <row r="389" spans="1:7" x14ac:dyDescent="0.3">
      <c r="A389" s="627"/>
      <c r="B389" s="627" t="s">
        <v>1270</v>
      </c>
      <c r="C389" s="627"/>
      <c r="D389" s="627"/>
      <c r="E389" s="627"/>
      <c r="F389" s="627"/>
      <c r="G389" s="627"/>
    </row>
    <row r="390" spans="1:7" x14ac:dyDescent="0.3">
      <c r="A390" s="627"/>
      <c r="B390" s="627" t="s">
        <v>1271</v>
      </c>
      <c r="C390" s="627" t="s">
        <v>1272</v>
      </c>
      <c r="D390" s="627"/>
      <c r="E390" s="627"/>
      <c r="F390" s="627"/>
      <c r="G390" s="627"/>
    </row>
    <row r="391" spans="1:7" x14ac:dyDescent="0.3">
      <c r="A391" s="627"/>
      <c r="B391" s="627" t="s">
        <v>1271</v>
      </c>
      <c r="C391" s="680">
        <f>1*C378</f>
        <v>29.491097451109162</v>
      </c>
      <c r="D391" s="627"/>
      <c r="E391" s="627"/>
      <c r="F391" s="627"/>
      <c r="G391" s="627"/>
    </row>
    <row r="392" spans="1:7" x14ac:dyDescent="0.3">
      <c r="A392" s="627"/>
      <c r="B392" s="627"/>
      <c r="C392" s="627"/>
      <c r="D392" s="627"/>
      <c r="E392" s="627"/>
      <c r="F392" s="627"/>
      <c r="G392" s="627"/>
    </row>
    <row r="393" spans="1:7" x14ac:dyDescent="0.3">
      <c r="A393" s="626">
        <v>2.7</v>
      </c>
      <c r="B393" s="626" t="s">
        <v>1273</v>
      </c>
      <c r="C393" s="626"/>
      <c r="D393" s="627"/>
      <c r="E393" s="627"/>
      <c r="F393" s="627"/>
      <c r="G393" s="627"/>
    </row>
    <row r="394" spans="1:7" ht="12" customHeight="1" x14ac:dyDescent="0.3">
      <c r="A394" s="626" t="s">
        <v>1213</v>
      </c>
      <c r="B394" s="626" t="s">
        <v>1117</v>
      </c>
      <c r="C394" s="626"/>
      <c r="D394" s="627"/>
      <c r="E394" s="627"/>
      <c r="F394" s="627"/>
      <c r="G394" s="671"/>
    </row>
    <row r="395" spans="1:7" x14ac:dyDescent="0.3">
      <c r="A395" s="626"/>
      <c r="B395" s="627" t="s">
        <v>1274</v>
      </c>
      <c r="C395" s="627"/>
      <c r="D395" s="627"/>
      <c r="E395" s="627"/>
      <c r="F395" s="627"/>
      <c r="G395" s="671"/>
    </row>
    <row r="396" spans="1:7" x14ac:dyDescent="0.3">
      <c r="A396" s="626"/>
      <c r="B396" s="627" t="s">
        <v>1119</v>
      </c>
      <c r="C396" s="627" t="s">
        <v>1120</v>
      </c>
      <c r="D396" s="627"/>
      <c r="E396" s="627"/>
      <c r="F396" s="627"/>
      <c r="G396" s="671"/>
    </row>
    <row r="397" spans="1:7" x14ac:dyDescent="0.3">
      <c r="A397" s="626"/>
      <c r="B397" s="627" t="s">
        <v>1119</v>
      </c>
      <c r="C397" s="680">
        <f>0.6*C60</f>
        <v>207.04562332471937</v>
      </c>
      <c r="D397" s="627" t="s">
        <v>28</v>
      </c>
      <c r="E397" s="627"/>
      <c r="F397" s="627"/>
      <c r="G397" s="671"/>
    </row>
    <row r="398" spans="1:7" x14ac:dyDescent="0.3">
      <c r="A398" s="626"/>
      <c r="B398" s="627"/>
      <c r="C398" s="667" t="s">
        <v>1121</v>
      </c>
      <c r="D398" s="674">
        <f>C397</f>
        <v>207.04562332471937</v>
      </c>
      <c r="E398" s="627" t="s">
        <v>28</v>
      </c>
      <c r="F398" s="627"/>
      <c r="G398" s="671"/>
    </row>
    <row r="399" spans="1:7" x14ac:dyDescent="0.3">
      <c r="A399" s="626"/>
      <c r="B399" s="627"/>
      <c r="C399" s="667"/>
      <c r="D399" s="672"/>
      <c r="E399" s="627"/>
      <c r="F399" s="627"/>
      <c r="G399" s="671"/>
    </row>
    <row r="400" spans="1:7" x14ac:dyDescent="0.3">
      <c r="A400" s="626" t="s">
        <v>1213</v>
      </c>
      <c r="B400" s="626" t="s">
        <v>1122</v>
      </c>
      <c r="C400" s="626"/>
      <c r="D400" s="627"/>
      <c r="E400" s="627"/>
      <c r="F400" s="627"/>
      <c r="G400" s="671"/>
    </row>
    <row r="401" spans="1:7" x14ac:dyDescent="0.3">
      <c r="A401" s="626"/>
      <c r="B401" s="627" t="s">
        <v>1123</v>
      </c>
      <c r="C401" s="627"/>
      <c r="D401" s="627"/>
      <c r="E401" s="627"/>
      <c r="F401" s="627"/>
      <c r="G401" s="627"/>
    </row>
    <row r="402" spans="1:7" x14ac:dyDescent="0.3">
      <c r="A402" s="626"/>
      <c r="B402" s="627" t="s">
        <v>1125</v>
      </c>
      <c r="C402" s="627" t="s">
        <v>1126</v>
      </c>
      <c r="D402" s="627"/>
      <c r="E402" s="627"/>
      <c r="F402" s="627"/>
      <c r="G402" s="627"/>
    </row>
    <row r="403" spans="1:7" x14ac:dyDescent="0.3">
      <c r="A403" s="626"/>
      <c r="B403" s="627" t="s">
        <v>10</v>
      </c>
      <c r="C403" s="680">
        <f>0.8*D398</f>
        <v>165.6364986597755</v>
      </c>
      <c r="D403" s="627" t="s">
        <v>28</v>
      </c>
      <c r="E403" s="627"/>
      <c r="F403" s="627"/>
      <c r="G403" s="627"/>
    </row>
    <row r="404" spans="1:7" x14ac:dyDescent="0.3">
      <c r="A404" s="626"/>
      <c r="B404" s="627"/>
      <c r="C404" s="673"/>
      <c r="D404" s="627"/>
      <c r="E404" s="627"/>
      <c r="F404" s="627"/>
      <c r="G404" s="627"/>
    </row>
    <row r="405" spans="1:7" ht="12" customHeight="1" x14ac:dyDescent="0.3">
      <c r="A405" s="626" t="s">
        <v>1213</v>
      </c>
      <c r="B405" s="626" t="s">
        <v>1275</v>
      </c>
      <c r="C405" s="627"/>
      <c r="D405" s="627"/>
      <c r="E405" s="627"/>
      <c r="F405" s="627"/>
      <c r="G405" s="627"/>
    </row>
    <row r="406" spans="1:7" x14ac:dyDescent="0.3">
      <c r="A406" s="627"/>
      <c r="B406" s="627" t="s">
        <v>1276</v>
      </c>
      <c r="C406" s="627" t="s">
        <v>1129</v>
      </c>
      <c r="D406" s="627"/>
      <c r="E406" s="627"/>
      <c r="F406" s="627"/>
      <c r="G406" s="627"/>
    </row>
    <row r="407" spans="1:7" x14ac:dyDescent="0.3">
      <c r="A407" s="627"/>
      <c r="B407" s="627" t="s">
        <v>1276</v>
      </c>
      <c r="C407" s="680">
        <f>2*D398</f>
        <v>414.09124664943874</v>
      </c>
      <c r="D407" s="627" t="s">
        <v>28</v>
      </c>
      <c r="E407" s="627"/>
      <c r="F407" s="627"/>
      <c r="G407" s="627"/>
    </row>
    <row r="408" spans="1:7" x14ac:dyDescent="0.3">
      <c r="A408" s="627"/>
      <c r="E408" s="627"/>
      <c r="F408" s="627"/>
      <c r="G408" s="627"/>
    </row>
    <row r="409" spans="1:7" x14ac:dyDescent="0.3">
      <c r="A409" s="626" t="s">
        <v>1213</v>
      </c>
      <c r="B409" s="626" t="s">
        <v>1277</v>
      </c>
      <c r="C409" s="627"/>
      <c r="D409" s="627"/>
      <c r="E409" s="627"/>
      <c r="F409" s="627"/>
      <c r="G409" s="627"/>
    </row>
    <row r="410" spans="1:7" x14ac:dyDescent="0.3">
      <c r="A410" s="627"/>
      <c r="B410" s="627" t="s">
        <v>1278</v>
      </c>
      <c r="C410" s="627" t="s">
        <v>1279</v>
      </c>
      <c r="D410" s="627"/>
      <c r="E410" s="627"/>
      <c r="F410" s="627"/>
      <c r="G410" s="627"/>
    </row>
    <row r="411" spans="1:7" x14ac:dyDescent="0.3">
      <c r="A411" s="627"/>
      <c r="B411" s="627" t="s">
        <v>1278</v>
      </c>
      <c r="C411" s="680">
        <f>1*D398</f>
        <v>207.04562332471937</v>
      </c>
      <c r="D411" s="627" t="s">
        <v>28</v>
      </c>
      <c r="E411" s="627"/>
      <c r="F411" s="627"/>
      <c r="G411" s="627"/>
    </row>
    <row r="412" spans="1:7" x14ac:dyDescent="0.3">
      <c r="A412" s="627"/>
      <c r="E412" s="627"/>
      <c r="F412" s="627"/>
      <c r="G412" s="627"/>
    </row>
    <row r="413" spans="1:7" x14ac:dyDescent="0.3">
      <c r="A413" s="626">
        <v>2.8</v>
      </c>
      <c r="B413" s="624" t="s">
        <v>1253</v>
      </c>
      <c r="E413" s="627"/>
      <c r="F413" s="627"/>
      <c r="G413" s="627"/>
    </row>
    <row r="414" spans="1:7" x14ac:dyDescent="0.3">
      <c r="A414" s="627"/>
      <c r="B414" s="627" t="s">
        <v>1280</v>
      </c>
      <c r="C414" s="627"/>
      <c r="D414" s="627"/>
      <c r="E414" s="627"/>
      <c r="F414" s="627"/>
      <c r="G414" s="671"/>
    </row>
    <row r="415" spans="1:7" x14ac:dyDescent="0.3">
      <c r="A415" s="627"/>
      <c r="C415" s="627"/>
      <c r="D415" s="627"/>
      <c r="E415" s="627"/>
      <c r="F415" s="627"/>
      <c r="G415" s="671"/>
    </row>
    <row r="416" spans="1:7" x14ac:dyDescent="0.3">
      <c r="A416" s="627"/>
      <c r="B416" s="627" t="s">
        <v>1256</v>
      </c>
      <c r="C416" s="627"/>
      <c r="D416" s="627"/>
      <c r="E416" s="627"/>
      <c r="F416" s="627"/>
      <c r="G416" s="671"/>
    </row>
    <row r="417" spans="1:7" x14ac:dyDescent="0.3">
      <c r="A417" s="627"/>
      <c r="B417" s="627"/>
      <c r="C417" s="627"/>
      <c r="D417" s="627"/>
      <c r="E417" s="627"/>
      <c r="F417" s="627"/>
      <c r="G417" s="671"/>
    </row>
    <row r="418" spans="1:7" x14ac:dyDescent="0.3">
      <c r="A418" s="627"/>
      <c r="B418" s="627" t="s">
        <v>107</v>
      </c>
      <c r="C418" s="627" t="s">
        <v>1257</v>
      </c>
      <c r="D418" s="680" t="s">
        <v>1258</v>
      </c>
      <c r="E418" s="662" t="str">
        <f>C129</f>
        <v>diameter terkecil ujung konis</v>
      </c>
      <c r="F418" s="627"/>
      <c r="G418" s="671"/>
    </row>
    <row r="419" spans="1:7" ht="13.2" x14ac:dyDescent="0.3">
      <c r="A419" s="627"/>
      <c r="B419" s="627"/>
      <c r="C419" s="627" t="s">
        <v>1259</v>
      </c>
      <c r="D419" s="671" t="s">
        <v>1260</v>
      </c>
      <c r="E419" s="627"/>
      <c r="F419" s="627"/>
      <c r="G419" s="671"/>
    </row>
    <row r="420" spans="1:7" x14ac:dyDescent="0.3">
      <c r="A420" s="627"/>
      <c r="B420" s="627"/>
      <c r="C420" s="627" t="s">
        <v>1261</v>
      </c>
      <c r="D420" s="662" t="s">
        <v>1262</v>
      </c>
      <c r="E420" s="627"/>
      <c r="F420" s="671"/>
      <c r="G420" s="671"/>
    </row>
    <row r="421" spans="1:7" x14ac:dyDescent="0.3">
      <c r="A421" s="627"/>
      <c r="B421" s="627"/>
      <c r="C421" s="627" t="s">
        <v>1263</v>
      </c>
      <c r="D421" s="627" t="s">
        <v>1281</v>
      </c>
      <c r="E421" s="627"/>
      <c r="F421" s="627"/>
      <c r="G421" s="671"/>
    </row>
    <row r="422" spans="1:7" x14ac:dyDescent="0.3">
      <c r="A422" s="627"/>
      <c r="B422" s="627"/>
      <c r="E422" s="627"/>
      <c r="F422" s="671"/>
      <c r="G422" s="627"/>
    </row>
    <row r="423" spans="1:7" x14ac:dyDescent="0.3">
      <c r="A423" s="627"/>
      <c r="B423" s="627" t="s">
        <v>1265</v>
      </c>
      <c r="C423" s="627"/>
      <c r="D423" s="627"/>
      <c r="E423" s="627"/>
      <c r="F423" s="627"/>
      <c r="G423" s="627"/>
    </row>
    <row r="424" spans="1:7" x14ac:dyDescent="0.3">
      <c r="A424" s="627"/>
      <c r="B424" s="627" t="s">
        <v>1256</v>
      </c>
      <c r="C424" s="675">
        <f>16*(((C26*10^6)/(C35*C360*8*H350))^(1/2))</f>
        <v>29.491097451109162</v>
      </c>
      <c r="D424" s="627"/>
      <c r="E424" s="627"/>
      <c r="F424" s="627"/>
      <c r="G424" s="627"/>
    </row>
    <row r="425" spans="1:7" x14ac:dyDescent="0.3">
      <c r="A425" s="627"/>
      <c r="B425" s="627" t="s">
        <v>10</v>
      </c>
      <c r="C425" s="675">
        <f>ROUND(C424,0)</f>
        <v>29</v>
      </c>
      <c r="D425" s="627" t="s">
        <v>28</v>
      </c>
      <c r="E425" s="627"/>
      <c r="F425" s="627"/>
      <c r="G425" s="627"/>
    </row>
    <row r="426" spans="1:7" x14ac:dyDescent="0.3">
      <c r="A426" s="627"/>
      <c r="C426" s="655"/>
      <c r="E426" s="627"/>
      <c r="F426" s="627"/>
      <c r="G426" s="627"/>
    </row>
    <row r="427" spans="1:7" x14ac:dyDescent="0.3">
      <c r="A427" s="627">
        <v>2.9</v>
      </c>
      <c r="B427" s="623" t="s">
        <v>1273</v>
      </c>
      <c r="E427" s="627"/>
      <c r="F427" s="627"/>
      <c r="G427" s="627"/>
    </row>
    <row r="428" spans="1:7" x14ac:dyDescent="0.3">
      <c r="A428" s="627"/>
      <c r="B428" s="623" t="s">
        <v>1282</v>
      </c>
      <c r="E428" s="627"/>
      <c r="F428" s="627"/>
      <c r="G428" s="627"/>
    </row>
    <row r="429" spans="1:7" x14ac:dyDescent="0.3">
      <c r="A429" s="627"/>
      <c r="B429" s="623" t="s">
        <v>1283</v>
      </c>
      <c r="C429" s="623" t="s">
        <v>1269</v>
      </c>
      <c r="E429" s="627"/>
      <c r="F429" s="627"/>
      <c r="G429" s="627"/>
    </row>
    <row r="430" spans="1:7" x14ac:dyDescent="0.3">
      <c r="A430" s="627"/>
      <c r="B430" s="623" t="s">
        <v>10</v>
      </c>
      <c r="C430" s="655">
        <f>2*C424</f>
        <v>58.982194902218325</v>
      </c>
      <c r="D430" s="623" t="s">
        <v>28</v>
      </c>
      <c r="E430" s="627"/>
      <c r="F430" s="627"/>
      <c r="G430" s="627"/>
    </row>
    <row r="431" spans="1:7" x14ac:dyDescent="0.3">
      <c r="A431" s="627"/>
      <c r="E431" s="627"/>
      <c r="F431" s="627"/>
      <c r="G431" s="627"/>
    </row>
    <row r="432" spans="1:7" x14ac:dyDescent="0.3">
      <c r="A432" s="627"/>
      <c r="B432" s="623" t="s">
        <v>1284</v>
      </c>
      <c r="E432" s="627"/>
      <c r="F432" s="627"/>
      <c r="G432" s="627"/>
    </row>
    <row r="433" spans="1:7" x14ac:dyDescent="0.3">
      <c r="A433" s="627"/>
      <c r="B433" s="623" t="s">
        <v>1127</v>
      </c>
      <c r="C433" s="623" t="s">
        <v>1285</v>
      </c>
      <c r="E433" s="627"/>
      <c r="F433" s="627"/>
      <c r="G433" s="627"/>
    </row>
    <row r="434" spans="1:7" x14ac:dyDescent="0.3">
      <c r="A434" s="627"/>
      <c r="B434" s="623" t="s">
        <v>10</v>
      </c>
      <c r="C434" s="655">
        <f>1*C424</f>
        <v>29.491097451109162</v>
      </c>
      <c r="E434" s="627"/>
      <c r="F434" s="627"/>
      <c r="G434" s="627"/>
    </row>
    <row r="435" spans="1:7" x14ac:dyDescent="0.3">
      <c r="A435" s="627"/>
      <c r="E435" s="627"/>
      <c r="F435" s="627"/>
      <c r="G435" s="627"/>
    </row>
    <row r="436" spans="1:7" x14ac:dyDescent="0.3">
      <c r="A436" s="627"/>
      <c r="E436" s="627"/>
      <c r="F436" s="627"/>
      <c r="G436" s="627"/>
    </row>
    <row r="437" spans="1:7" x14ac:dyDescent="0.3">
      <c r="A437" s="626" t="s">
        <v>1286</v>
      </c>
      <c r="B437" s="626" t="s">
        <v>1287</v>
      </c>
      <c r="C437" s="627"/>
      <c r="D437" s="627"/>
      <c r="E437" s="627"/>
      <c r="F437" s="627"/>
      <c r="G437" s="627"/>
    </row>
    <row r="438" spans="1:7" ht="14.25" customHeight="1" x14ac:dyDescent="0.3">
      <c r="A438" s="626" t="s">
        <v>157</v>
      </c>
      <c r="B438" s="1308" t="s">
        <v>1288</v>
      </c>
      <c r="C438" s="1308"/>
      <c r="D438" s="1308"/>
      <c r="E438" s="1308"/>
      <c r="F438" s="1308"/>
      <c r="G438" s="627"/>
    </row>
    <row r="439" spans="1:7" x14ac:dyDescent="0.3">
      <c r="A439" s="627"/>
      <c r="B439" s="1308"/>
      <c r="C439" s="1308"/>
      <c r="D439" s="1308"/>
      <c r="E439" s="1308"/>
      <c r="F439" s="1308"/>
      <c r="G439" s="626"/>
    </row>
    <row r="440" spans="1:7" ht="13.2" x14ac:dyDescent="0.3">
      <c r="A440" s="627"/>
      <c r="B440" s="627" t="s">
        <v>1238</v>
      </c>
      <c r="C440" s="627">
        <v>58</v>
      </c>
      <c r="D440" s="627" t="s">
        <v>1289</v>
      </c>
      <c r="F440" s="627"/>
      <c r="G440" s="627"/>
    </row>
    <row r="441" spans="1:7" x14ac:dyDescent="0.3">
      <c r="A441" s="627"/>
      <c r="B441" s="627" t="s">
        <v>1290</v>
      </c>
      <c r="C441" s="627">
        <v>6</v>
      </c>
      <c r="D441" s="627"/>
      <c r="F441" s="627"/>
      <c r="G441" s="627"/>
    </row>
    <row r="442" spans="1:7" x14ac:dyDescent="0.3">
      <c r="A442" s="627"/>
      <c r="B442" s="627" t="s">
        <v>1291</v>
      </c>
      <c r="C442" s="627">
        <v>1.5</v>
      </c>
      <c r="D442" s="627"/>
      <c r="F442" s="627"/>
      <c r="G442" s="627"/>
    </row>
    <row r="443" spans="1:7" x14ac:dyDescent="0.3">
      <c r="A443" s="626" t="s">
        <v>162</v>
      </c>
      <c r="B443" s="626" t="s">
        <v>1292</v>
      </c>
      <c r="C443" s="626"/>
      <c r="D443" s="626"/>
      <c r="E443" s="626"/>
      <c r="F443" s="626"/>
      <c r="G443" s="626"/>
    </row>
    <row r="444" spans="1:7" ht="14.4" x14ac:dyDescent="0.3">
      <c r="A444" s="627"/>
      <c r="B444" s="627" t="s">
        <v>1293</v>
      </c>
      <c r="C444" s="627" t="s">
        <v>1294</v>
      </c>
      <c r="D444" s="627"/>
      <c r="E444" s="627"/>
      <c r="F444" s="627"/>
      <c r="G444" s="627"/>
    </row>
    <row r="445" spans="1:7" x14ac:dyDescent="0.3">
      <c r="A445" s="627"/>
      <c r="B445" s="627" t="s">
        <v>10</v>
      </c>
      <c r="C445" s="675">
        <f>C440/(C441*C442)</f>
        <v>6.4444444444444446</v>
      </c>
      <c r="D445" s="627"/>
      <c r="E445" s="627"/>
      <c r="F445" s="627"/>
      <c r="G445" s="627"/>
    </row>
    <row r="446" spans="1:7" x14ac:dyDescent="0.3">
      <c r="A446" s="627"/>
      <c r="B446" s="627"/>
      <c r="C446" s="627"/>
      <c r="D446" s="627"/>
      <c r="E446" s="627"/>
      <c r="F446" s="627"/>
      <c r="G446" s="627"/>
    </row>
    <row r="447" spans="1:7" x14ac:dyDescent="0.3">
      <c r="A447" s="626" t="s">
        <v>182</v>
      </c>
      <c r="B447" s="626" t="s">
        <v>1295</v>
      </c>
      <c r="C447" s="626"/>
      <c r="D447" s="626"/>
      <c r="E447" s="626"/>
      <c r="F447" s="626"/>
      <c r="G447" s="626"/>
    </row>
    <row r="448" spans="1:7" x14ac:dyDescent="0.3">
      <c r="A448" s="627"/>
      <c r="B448" s="627"/>
      <c r="C448" s="627"/>
      <c r="D448" s="627"/>
      <c r="E448" s="627"/>
      <c r="F448" s="627"/>
      <c r="G448" s="627"/>
    </row>
    <row r="449" spans="1:7" x14ac:dyDescent="0.3">
      <c r="A449" s="627"/>
      <c r="B449" s="627"/>
      <c r="C449" s="627"/>
      <c r="D449" s="627"/>
      <c r="E449" s="627"/>
      <c r="F449" s="627"/>
      <c r="G449" s="627"/>
    </row>
    <row r="450" spans="1:7" x14ac:dyDescent="0.3">
      <c r="A450" s="627"/>
      <c r="B450" s="627"/>
      <c r="C450" s="627"/>
      <c r="D450" s="627"/>
      <c r="E450" s="627"/>
      <c r="F450" s="627"/>
      <c r="G450" s="627"/>
    </row>
    <row r="451" spans="1:7" x14ac:dyDescent="0.3">
      <c r="A451" s="627"/>
      <c r="B451" s="627"/>
      <c r="C451" s="627"/>
      <c r="D451" s="627"/>
      <c r="E451" s="627"/>
      <c r="F451" s="627"/>
      <c r="G451" s="627"/>
    </row>
    <row r="452" spans="1:7" x14ac:dyDescent="0.3">
      <c r="A452" s="627"/>
      <c r="B452" s="627" t="s">
        <v>10</v>
      </c>
      <c r="C452" s="674">
        <f>C36</f>
        <v>55247689.279707789</v>
      </c>
      <c r="D452" s="627" t="s">
        <v>10</v>
      </c>
      <c r="E452" s="675">
        <f>C452*10^-7</f>
        <v>5.5247689279707783</v>
      </c>
      <c r="F452" s="627" t="s">
        <v>1296</v>
      </c>
      <c r="G452" s="627"/>
    </row>
    <row r="453" spans="1:7" x14ac:dyDescent="0.3">
      <c r="A453" s="627"/>
      <c r="B453" s="627"/>
      <c r="C453" s="668"/>
      <c r="D453" s="627"/>
      <c r="E453" s="668"/>
      <c r="F453" s="627"/>
      <c r="G453" s="627"/>
    </row>
    <row r="454" spans="1:7" x14ac:dyDescent="0.3">
      <c r="A454" s="627"/>
      <c r="B454" s="627" t="s">
        <v>1297</v>
      </c>
      <c r="C454" s="627"/>
      <c r="D454" s="627"/>
      <c r="E454" s="627"/>
      <c r="F454" s="627"/>
      <c r="G454" s="627"/>
    </row>
    <row r="455" spans="1:7" x14ac:dyDescent="0.3">
      <c r="A455" s="627"/>
      <c r="B455" s="627" t="s">
        <v>1036</v>
      </c>
      <c r="C455" s="627"/>
      <c r="D455" s="627"/>
      <c r="E455" s="627"/>
      <c r="F455" s="627"/>
      <c r="G455" s="627"/>
    </row>
    <row r="456" spans="1:7" x14ac:dyDescent="0.3">
      <c r="A456" s="627"/>
      <c r="E456" s="627"/>
      <c r="F456" s="627"/>
      <c r="G456" s="627"/>
    </row>
    <row r="457" spans="1:7" x14ac:dyDescent="0.3">
      <c r="A457" s="627"/>
      <c r="B457" s="627"/>
      <c r="C457" s="627"/>
      <c r="D457" s="627"/>
      <c r="E457" s="627"/>
      <c r="F457" s="627"/>
      <c r="G457" s="627"/>
    </row>
    <row r="458" spans="1:7" x14ac:dyDescent="0.3">
      <c r="A458" s="627"/>
      <c r="B458" s="627" t="s">
        <v>10</v>
      </c>
      <c r="C458" s="675">
        <f>C452/(0.5*C60)</f>
        <v>320205.8854036837</v>
      </c>
      <c r="D458" s="627" t="s">
        <v>1298</v>
      </c>
      <c r="E458" s="627"/>
      <c r="F458" s="627"/>
      <c r="G458" s="627"/>
    </row>
    <row r="459" spans="1:7" x14ac:dyDescent="0.3">
      <c r="A459" s="627"/>
      <c r="B459" s="627"/>
      <c r="C459" s="627"/>
      <c r="D459" s="627"/>
      <c r="E459" s="627"/>
      <c r="F459" s="627"/>
      <c r="G459" s="627"/>
    </row>
    <row r="460" spans="1:7" x14ac:dyDescent="0.3">
      <c r="A460" s="626" t="s">
        <v>207</v>
      </c>
      <c r="B460" s="626" t="s">
        <v>1299</v>
      </c>
      <c r="C460" s="626"/>
      <c r="D460" s="626"/>
      <c r="E460" s="626"/>
      <c r="F460" s="626"/>
      <c r="G460" s="626"/>
    </row>
    <row r="461" spans="1:7" x14ac:dyDescent="0.3">
      <c r="A461" s="627"/>
      <c r="B461" s="627" t="s">
        <v>1300</v>
      </c>
      <c r="C461" s="627" t="s">
        <v>1301</v>
      </c>
      <c r="D461" s="627"/>
      <c r="E461" s="627"/>
      <c r="F461" s="627"/>
      <c r="G461" s="627"/>
    </row>
    <row r="462" spans="1:7" x14ac:dyDescent="0.3">
      <c r="A462" s="627"/>
      <c r="B462" s="627" t="s">
        <v>10</v>
      </c>
      <c r="C462" s="680">
        <f>0.3*C60</f>
        <v>103.52281166235969</v>
      </c>
      <c r="D462" s="627" t="s">
        <v>28</v>
      </c>
      <c r="E462" s="627"/>
      <c r="F462" s="627"/>
    </row>
    <row r="463" spans="1:7" x14ac:dyDescent="0.3">
      <c r="A463" s="627"/>
      <c r="B463" s="627" t="s">
        <v>10</v>
      </c>
      <c r="C463" s="674">
        <f>C462</f>
        <v>103.52281166235969</v>
      </c>
      <c r="D463" s="627" t="s">
        <v>28</v>
      </c>
      <c r="E463" s="627"/>
      <c r="F463" s="627"/>
    </row>
    <row r="464" spans="1:7" x14ac:dyDescent="0.3">
      <c r="A464" s="627"/>
      <c r="B464" s="627"/>
      <c r="C464" s="674"/>
      <c r="D464" s="627"/>
      <c r="E464" s="627"/>
      <c r="F464" s="627"/>
    </row>
    <row r="465" spans="1:7" x14ac:dyDescent="0.3">
      <c r="A465" s="626" t="s">
        <v>217</v>
      </c>
      <c r="B465" s="626" t="s">
        <v>1302</v>
      </c>
      <c r="C465" s="626"/>
      <c r="D465" s="626"/>
      <c r="E465" s="626"/>
      <c r="F465" s="626"/>
      <c r="G465" s="626"/>
    </row>
    <row r="466" spans="1:7" x14ac:dyDescent="0.3">
      <c r="A466" s="627"/>
      <c r="B466" s="627" t="s">
        <v>1303</v>
      </c>
      <c r="C466" s="627"/>
      <c r="D466" s="627"/>
      <c r="E466" s="627"/>
      <c r="F466" s="627"/>
      <c r="G466" s="627"/>
    </row>
    <row r="467" spans="1:7" ht="12" customHeight="1" x14ac:dyDescent="0.3">
      <c r="A467" s="627"/>
      <c r="B467" s="627"/>
      <c r="C467" s="628" t="s">
        <v>1186</v>
      </c>
      <c r="D467" s="628" t="s">
        <v>1304</v>
      </c>
      <c r="E467" s="627"/>
      <c r="F467" s="627"/>
      <c r="G467" s="627"/>
    </row>
    <row r="468" spans="1:7" x14ac:dyDescent="0.3">
      <c r="A468" s="627"/>
      <c r="C468" s="628" t="s">
        <v>1305</v>
      </c>
      <c r="D468" s="628" t="s">
        <v>1190</v>
      </c>
      <c r="E468" s="627"/>
      <c r="F468" s="627"/>
      <c r="G468" s="627"/>
    </row>
    <row r="469" spans="1:7" ht="12" customHeight="1" x14ac:dyDescent="0.3">
      <c r="A469" s="627"/>
      <c r="C469" s="628" t="s">
        <v>1305</v>
      </c>
      <c r="D469" s="628" t="s">
        <v>1304</v>
      </c>
      <c r="E469" s="627"/>
      <c r="F469" s="627"/>
      <c r="G469" s="627"/>
    </row>
    <row r="470" spans="1:7" ht="12" customHeight="1" x14ac:dyDescent="0.3">
      <c r="A470" s="627"/>
      <c r="C470" s="628" t="s">
        <v>1306</v>
      </c>
      <c r="D470" s="628" t="s">
        <v>1307</v>
      </c>
      <c r="E470" s="627"/>
      <c r="F470" s="627"/>
      <c r="G470" s="627"/>
    </row>
    <row r="471" spans="1:7" x14ac:dyDescent="0.3">
      <c r="A471" s="627"/>
      <c r="B471" s="627"/>
      <c r="C471" s="627" t="s">
        <v>1306</v>
      </c>
      <c r="D471" s="675">
        <f>(C458)/(C463*C445)</f>
        <v>479.96300864491906</v>
      </c>
      <c r="E471" s="627"/>
      <c r="F471" s="627"/>
      <c r="G471" s="627"/>
    </row>
    <row r="472" spans="1:7" x14ac:dyDescent="0.3">
      <c r="A472" s="627"/>
      <c r="B472" s="627" t="s">
        <v>1308</v>
      </c>
      <c r="C472" s="627"/>
      <c r="D472" s="627"/>
      <c r="E472" s="627"/>
      <c r="F472" s="627"/>
      <c r="G472" s="627"/>
    </row>
    <row r="473" spans="1:7" x14ac:dyDescent="0.3">
      <c r="A473" s="627"/>
      <c r="B473" s="627"/>
      <c r="C473" s="627" t="s">
        <v>1250</v>
      </c>
      <c r="D473" s="680">
        <f>(0.75)*C60</f>
        <v>258.80702915589922</v>
      </c>
      <c r="E473" s="627" t="s">
        <v>28</v>
      </c>
      <c r="F473" s="627"/>
      <c r="G473" s="627"/>
    </row>
    <row r="474" spans="1:7" x14ac:dyDescent="0.3">
      <c r="A474" s="627"/>
      <c r="B474" s="627" t="s">
        <v>1309</v>
      </c>
      <c r="C474" s="627"/>
      <c r="D474" s="627"/>
      <c r="E474" s="674">
        <f>D473</f>
        <v>258.80702915589922</v>
      </c>
      <c r="F474" s="627" t="s">
        <v>28</v>
      </c>
      <c r="G474" s="683">
        <f>E474/5</f>
        <v>51.761405831179843</v>
      </c>
    </row>
    <row r="475" spans="1:7" x14ac:dyDescent="0.3">
      <c r="A475" s="627"/>
      <c r="B475" s="627"/>
      <c r="C475" s="627"/>
      <c r="D475" s="627"/>
      <c r="E475" s="672"/>
      <c r="F475" s="627"/>
      <c r="G475" s="627"/>
    </row>
    <row r="476" spans="1:7" x14ac:dyDescent="0.3">
      <c r="A476" s="626" t="s">
        <v>287</v>
      </c>
      <c r="B476" s="626" t="s">
        <v>1310</v>
      </c>
      <c r="C476" s="626"/>
      <c r="D476" s="626"/>
      <c r="E476" s="626"/>
      <c r="F476" s="626"/>
      <c r="G476" s="626"/>
    </row>
    <row r="477" spans="1:7" x14ac:dyDescent="0.3">
      <c r="A477" s="627"/>
      <c r="B477" s="627" t="s">
        <v>574</v>
      </c>
      <c r="C477" s="627" t="s">
        <v>1162</v>
      </c>
      <c r="D477" s="627"/>
      <c r="E477" s="627"/>
      <c r="F477" s="627"/>
      <c r="G477" s="627"/>
    </row>
    <row r="478" spans="1:7" x14ac:dyDescent="0.3">
      <c r="A478" s="627"/>
      <c r="B478" s="627" t="s">
        <v>10</v>
      </c>
      <c r="C478" s="684">
        <f>(1/6)*C60</f>
        <v>57.512673145755379</v>
      </c>
      <c r="D478" s="627" t="s">
        <v>28</v>
      </c>
      <c r="E478" s="627"/>
      <c r="F478" s="627"/>
      <c r="G478" s="627"/>
    </row>
    <row r="479" spans="1:7" x14ac:dyDescent="0.3">
      <c r="A479" s="627"/>
      <c r="B479" s="627"/>
      <c r="C479" s="674"/>
      <c r="D479" s="627"/>
      <c r="E479" s="627"/>
      <c r="F479" s="627"/>
      <c r="G479" s="627"/>
    </row>
    <row r="480" spans="1:7" x14ac:dyDescent="0.3">
      <c r="A480" s="626" t="s">
        <v>233</v>
      </c>
      <c r="B480" s="626" t="s">
        <v>1311</v>
      </c>
      <c r="C480" s="626"/>
      <c r="D480" s="626"/>
      <c r="E480" s="626"/>
      <c r="F480" s="626"/>
      <c r="G480" s="626"/>
    </row>
    <row r="481" spans="1:7" x14ac:dyDescent="0.3">
      <c r="A481" s="627"/>
      <c r="B481" s="627" t="s">
        <v>769</v>
      </c>
      <c r="C481" s="627" t="s">
        <v>1312</v>
      </c>
      <c r="D481" s="627"/>
      <c r="E481" s="627"/>
      <c r="F481" s="627"/>
      <c r="G481" s="627"/>
    </row>
    <row r="482" spans="1:7" x14ac:dyDescent="0.3">
      <c r="A482" s="627"/>
      <c r="B482" s="627" t="s">
        <v>10</v>
      </c>
      <c r="C482" s="674">
        <f>12.5%*C60</f>
        <v>43.134504859316536</v>
      </c>
      <c r="D482" s="627" t="s">
        <v>28</v>
      </c>
      <c r="E482" s="627"/>
      <c r="F482" s="627"/>
      <c r="G482" s="627"/>
    </row>
    <row r="483" spans="1:7" x14ac:dyDescent="0.3">
      <c r="A483" s="627"/>
      <c r="B483" s="627"/>
      <c r="C483" s="674"/>
      <c r="D483" s="627"/>
      <c r="E483" s="627"/>
      <c r="F483" s="627"/>
      <c r="G483" s="627"/>
    </row>
    <row r="484" spans="1:7" x14ac:dyDescent="0.3">
      <c r="A484" s="626" t="s">
        <v>237</v>
      </c>
      <c r="B484" s="626" t="s">
        <v>1166</v>
      </c>
      <c r="C484" s="626"/>
      <c r="D484" s="626"/>
      <c r="E484" s="626"/>
      <c r="F484" s="626"/>
      <c r="G484" s="626"/>
    </row>
    <row r="485" spans="1:7" x14ac:dyDescent="0.3">
      <c r="A485" s="627"/>
      <c r="B485" s="627" t="s">
        <v>1313</v>
      </c>
      <c r="C485" s="627" t="s">
        <v>1168</v>
      </c>
      <c r="D485" s="627"/>
      <c r="E485" s="627"/>
      <c r="F485" s="627"/>
      <c r="G485" s="627"/>
    </row>
    <row r="486" spans="1:7" x14ac:dyDescent="0.3">
      <c r="A486" s="627"/>
      <c r="B486" s="627" t="s">
        <v>10</v>
      </c>
      <c r="C486" s="680">
        <f>0.25*(C60^2)</f>
        <v>29769.368151334431</v>
      </c>
      <c r="D486" s="627" t="s">
        <v>28</v>
      </c>
      <c r="E486" s="627"/>
      <c r="F486" s="627"/>
      <c r="G486" s="627"/>
    </row>
    <row r="487" spans="1:7" x14ac:dyDescent="0.3">
      <c r="A487" s="627"/>
      <c r="B487" s="627"/>
      <c r="C487" s="627"/>
      <c r="D487" s="627"/>
      <c r="E487" s="627"/>
      <c r="F487" s="627"/>
      <c r="G487" s="627"/>
    </row>
    <row r="488" spans="1:7" ht="14.4" x14ac:dyDescent="0.3">
      <c r="A488" s="626" t="s">
        <v>244</v>
      </c>
      <c r="B488" s="626" t="s">
        <v>1314</v>
      </c>
      <c r="C488" s="626"/>
      <c r="D488" s="626"/>
      <c r="E488" s="626"/>
      <c r="F488" s="626"/>
      <c r="G488" s="626"/>
    </row>
    <row r="489" spans="1:7" ht="14.4" x14ac:dyDescent="0.3">
      <c r="A489" s="627"/>
      <c r="B489" s="627" t="s">
        <v>1315</v>
      </c>
      <c r="C489" s="627" t="s">
        <v>1316</v>
      </c>
      <c r="D489" s="627"/>
      <c r="E489" s="627"/>
      <c r="F489" s="627"/>
      <c r="G489" s="627"/>
    </row>
    <row r="490" spans="1:7" x14ac:dyDescent="0.3">
      <c r="A490" s="627"/>
      <c r="B490" s="627" t="s">
        <v>10</v>
      </c>
      <c r="C490" s="680">
        <f>0.5*C478</f>
        <v>28.756336572877689</v>
      </c>
      <c r="D490" s="627" t="s">
        <v>28</v>
      </c>
      <c r="E490" s="627"/>
      <c r="F490" s="627"/>
      <c r="G490" s="627"/>
    </row>
    <row r="491" spans="1:7" x14ac:dyDescent="0.3">
      <c r="A491" s="627"/>
      <c r="B491" s="627"/>
      <c r="C491" s="673"/>
      <c r="D491" s="627"/>
      <c r="E491" s="627"/>
      <c r="F491" s="627"/>
      <c r="G491" s="627"/>
    </row>
    <row r="492" spans="1:7" ht="14.4" x14ac:dyDescent="0.3">
      <c r="A492" s="626" t="s">
        <v>1317</v>
      </c>
      <c r="B492" s="626" t="s">
        <v>1318</v>
      </c>
      <c r="C492" s="627"/>
      <c r="D492" s="627"/>
      <c r="E492" s="627"/>
      <c r="F492" s="627"/>
      <c r="G492" s="627"/>
    </row>
    <row r="493" spans="1:7" ht="14.4" x14ac:dyDescent="0.3">
      <c r="A493" s="627"/>
      <c r="B493" s="627" t="s">
        <v>1319</v>
      </c>
      <c r="C493" s="627" t="s">
        <v>1320</v>
      </c>
      <c r="D493" s="627"/>
      <c r="E493" s="627"/>
      <c r="F493" s="627"/>
      <c r="G493" s="627"/>
    </row>
    <row r="494" spans="1:7" ht="14.4" x14ac:dyDescent="0.3">
      <c r="A494" s="627"/>
      <c r="B494" s="627" t="s">
        <v>1319</v>
      </c>
      <c r="C494" s="680">
        <f>C478-C490</f>
        <v>28.756336572877689</v>
      </c>
      <c r="D494" s="627"/>
      <c r="E494" s="627"/>
      <c r="F494" s="627"/>
      <c r="G494" s="627"/>
    </row>
    <row r="495" spans="1:7" ht="14.4" x14ac:dyDescent="0.3">
      <c r="A495" s="627"/>
      <c r="B495" s="627" t="s">
        <v>1319</v>
      </c>
      <c r="C495" s="674">
        <f>C478-C490</f>
        <v>28.756336572877689</v>
      </c>
      <c r="D495" s="627" t="s">
        <v>28</v>
      </c>
      <c r="E495" s="627"/>
      <c r="F495" s="627"/>
      <c r="G495" s="627"/>
    </row>
    <row r="496" spans="1:7" x14ac:dyDescent="0.3">
      <c r="A496" s="627"/>
      <c r="B496" s="627"/>
      <c r="C496" s="674"/>
      <c r="D496" s="627"/>
      <c r="E496" s="627"/>
      <c r="F496" s="627"/>
      <c r="G496" s="627"/>
    </row>
    <row r="497" spans="1:9" ht="12" customHeight="1" x14ac:dyDescent="0.3">
      <c r="A497" s="627"/>
      <c r="B497" s="1306" t="s">
        <v>1321</v>
      </c>
      <c r="C497" s="1306"/>
      <c r="D497" s="1306"/>
      <c r="E497" s="1306"/>
      <c r="F497" s="1306"/>
      <c r="G497" s="1306"/>
    </row>
    <row r="498" spans="1:9" x14ac:dyDescent="0.3">
      <c r="A498" s="627"/>
      <c r="B498" s="1306"/>
      <c r="C498" s="1306"/>
      <c r="D498" s="1306"/>
      <c r="E498" s="1306"/>
      <c r="F498" s="1306"/>
      <c r="G498" s="1306"/>
    </row>
    <row r="499" spans="1:9" x14ac:dyDescent="0.3">
      <c r="A499" s="627"/>
      <c r="B499" s="1306"/>
      <c r="C499" s="1306"/>
      <c r="D499" s="1306"/>
      <c r="E499" s="1306"/>
      <c r="F499" s="1306"/>
      <c r="G499" s="1306"/>
    </row>
    <row r="500" spans="1:9" x14ac:dyDescent="0.3">
      <c r="A500" s="627"/>
      <c r="D500" s="627"/>
      <c r="E500" s="627"/>
      <c r="F500" s="627"/>
      <c r="G500" s="627"/>
    </row>
    <row r="501" spans="1:9" x14ac:dyDescent="0.3">
      <c r="A501" s="627"/>
      <c r="B501" s="627" t="s">
        <v>1322</v>
      </c>
      <c r="C501" s="627" t="s">
        <v>1323</v>
      </c>
      <c r="D501" s="627"/>
      <c r="E501" s="627"/>
      <c r="F501" s="627"/>
      <c r="G501" s="627"/>
    </row>
    <row r="502" spans="1:9" ht="13.2" x14ac:dyDescent="0.3">
      <c r="A502" s="627"/>
      <c r="B502" s="627" t="s">
        <v>10</v>
      </c>
      <c r="C502" s="675">
        <f>(C458)/(E474*C478)</f>
        <v>21.512440826818846</v>
      </c>
      <c r="D502" s="627" t="s">
        <v>1289</v>
      </c>
      <c r="E502" s="627"/>
      <c r="F502" s="627"/>
      <c r="G502" s="627"/>
    </row>
    <row r="503" spans="1:9" ht="12" customHeight="1" x14ac:dyDescent="0.3">
      <c r="A503" s="627"/>
      <c r="B503" s="1306" t="s">
        <v>1324</v>
      </c>
      <c r="C503" s="1306"/>
      <c r="D503" s="1306"/>
      <c r="E503" s="1306"/>
      <c r="F503" s="1306"/>
      <c r="G503" s="1306"/>
    </row>
    <row r="504" spans="1:9" x14ac:dyDescent="0.3">
      <c r="B504" s="1306"/>
      <c r="C504" s="1306"/>
      <c r="D504" s="1306"/>
      <c r="E504" s="1306"/>
      <c r="F504" s="1306"/>
      <c r="G504" s="1306"/>
    </row>
    <row r="505" spans="1:9" x14ac:dyDescent="0.3">
      <c r="A505" s="627"/>
      <c r="B505" s="1306"/>
      <c r="C505" s="1306"/>
      <c r="D505" s="1306"/>
      <c r="E505" s="1306"/>
      <c r="F505" s="1306"/>
      <c r="G505" s="1306"/>
    </row>
    <row r="506" spans="1:9" x14ac:dyDescent="0.3">
      <c r="A506" s="626"/>
      <c r="B506" s="626"/>
      <c r="C506" s="627"/>
      <c r="D506" s="627"/>
      <c r="E506" s="627"/>
      <c r="F506" s="627"/>
      <c r="G506" s="627"/>
    </row>
    <row r="507" spans="1:9" x14ac:dyDescent="0.3">
      <c r="A507" s="624">
        <v>3</v>
      </c>
      <c r="B507" s="626" t="s">
        <v>1325</v>
      </c>
      <c r="C507" s="626"/>
      <c r="D507" s="626"/>
      <c r="E507" s="626"/>
      <c r="F507" s="626"/>
      <c r="G507" s="626"/>
      <c r="H507" s="626"/>
      <c r="I507" s="626"/>
    </row>
    <row r="508" spans="1:9" x14ac:dyDescent="0.3">
      <c r="A508" s="627"/>
      <c r="B508" s="627"/>
      <c r="C508" s="627"/>
      <c r="D508" s="627"/>
      <c r="E508" s="627"/>
      <c r="F508" s="627"/>
      <c r="G508" s="627"/>
    </row>
    <row r="509" spans="1:9" ht="12" customHeight="1" x14ac:dyDescent="0.3">
      <c r="A509" s="627"/>
      <c r="B509" s="1306" t="s">
        <v>1326</v>
      </c>
      <c r="C509" s="1306"/>
      <c r="D509" s="1306"/>
      <c r="E509" s="1306"/>
      <c r="F509" s="1306"/>
      <c r="G509" s="1306"/>
    </row>
    <row r="510" spans="1:9" x14ac:dyDescent="0.3">
      <c r="A510" s="627"/>
      <c r="B510" s="1306"/>
      <c r="C510" s="1306"/>
      <c r="D510" s="1306"/>
      <c r="E510" s="1306"/>
      <c r="F510" s="1306"/>
      <c r="G510" s="1306"/>
    </row>
    <row r="511" spans="1:9" x14ac:dyDescent="0.3">
      <c r="A511" s="627"/>
      <c r="B511" s="1306"/>
      <c r="C511" s="1306"/>
      <c r="D511" s="1306"/>
      <c r="E511" s="1306"/>
      <c r="F511" s="1306"/>
      <c r="G511" s="1306"/>
    </row>
    <row r="512" spans="1:9" ht="12" customHeight="1" x14ac:dyDescent="0.3">
      <c r="A512" s="627"/>
      <c r="B512" s="1306"/>
      <c r="C512" s="1306"/>
      <c r="D512" s="1306"/>
      <c r="E512" s="1306"/>
      <c r="F512" s="1306"/>
      <c r="G512" s="1306"/>
    </row>
    <row r="513" spans="1:8" x14ac:dyDescent="0.3">
      <c r="A513" s="627"/>
      <c r="B513" s="627"/>
      <c r="C513" s="627"/>
      <c r="D513" s="627"/>
      <c r="E513" s="627"/>
      <c r="F513" s="627"/>
      <c r="G513" s="627"/>
    </row>
    <row r="514" spans="1:8" x14ac:dyDescent="0.3">
      <c r="A514" s="626" t="s">
        <v>174</v>
      </c>
      <c r="B514" s="626" t="s">
        <v>1327</v>
      </c>
      <c r="C514" s="626"/>
      <c r="D514" s="626"/>
      <c r="E514" s="626"/>
      <c r="F514" s="626"/>
      <c r="G514" s="626"/>
    </row>
    <row r="515" spans="1:8" x14ac:dyDescent="0.3">
      <c r="A515" s="627"/>
      <c r="B515" s="1304" t="s">
        <v>1328</v>
      </c>
      <c r="C515" s="1304"/>
      <c r="D515" s="1304"/>
      <c r="E515" s="1304"/>
      <c r="F515" s="1304"/>
      <c r="G515" s="1304"/>
    </row>
    <row r="516" spans="1:8" x14ac:dyDescent="0.3">
      <c r="A516" s="627"/>
      <c r="B516" s="1304"/>
      <c r="C516" s="1304"/>
      <c r="D516" s="1304"/>
      <c r="E516" s="1304"/>
      <c r="F516" s="1304"/>
      <c r="G516" s="1304"/>
    </row>
    <row r="517" spans="1:8" x14ac:dyDescent="0.3">
      <c r="A517" s="627"/>
      <c r="B517" s="627"/>
      <c r="C517" s="627"/>
      <c r="D517" s="627"/>
      <c r="E517" s="627"/>
      <c r="F517" s="627"/>
      <c r="G517" s="627"/>
    </row>
    <row r="518" spans="1:8" x14ac:dyDescent="0.3">
      <c r="A518" s="626">
        <v>3.1</v>
      </c>
      <c r="B518" s="626" t="s">
        <v>1329</v>
      </c>
      <c r="C518" s="626"/>
      <c r="D518" s="626"/>
      <c r="E518" s="626"/>
      <c r="F518" s="626"/>
      <c r="G518" s="626"/>
    </row>
    <row r="519" spans="1:8" x14ac:dyDescent="0.3">
      <c r="A519" s="627"/>
      <c r="B519" s="627" t="s">
        <v>1330</v>
      </c>
      <c r="C519" s="627"/>
      <c r="D519" s="627"/>
      <c r="E519" s="627"/>
      <c r="F519" s="627"/>
      <c r="G519" s="627"/>
    </row>
    <row r="520" spans="1:8" x14ac:dyDescent="0.3">
      <c r="A520" s="627"/>
      <c r="B520" s="627" t="s">
        <v>1331</v>
      </c>
      <c r="C520" s="627"/>
      <c r="D520" s="627"/>
      <c r="E520" s="627"/>
      <c r="F520" s="627"/>
      <c r="G520" s="627"/>
    </row>
    <row r="521" spans="1:8" x14ac:dyDescent="0.3">
      <c r="A521" s="627"/>
      <c r="B521" s="627" t="s">
        <v>1332</v>
      </c>
      <c r="C521" s="627"/>
      <c r="D521" s="627"/>
      <c r="E521" s="627"/>
      <c r="F521" s="627"/>
      <c r="G521" s="627"/>
    </row>
    <row r="522" spans="1:8" x14ac:dyDescent="0.3">
      <c r="A522" s="627"/>
      <c r="B522" s="627"/>
      <c r="C522" s="626" t="s">
        <v>1333</v>
      </c>
      <c r="D522" s="627" t="s">
        <v>1334</v>
      </c>
      <c r="E522" s="627"/>
      <c r="F522" s="627"/>
      <c r="G522" s="627"/>
    </row>
    <row r="523" spans="1:8" x14ac:dyDescent="0.3">
      <c r="A523" s="627"/>
      <c r="B523" s="627"/>
      <c r="C523" s="623" t="s">
        <v>1335</v>
      </c>
      <c r="D523" s="633">
        <f>600</f>
        <v>600</v>
      </c>
      <c r="E523" s="623" t="s">
        <v>28</v>
      </c>
      <c r="F523" s="627"/>
      <c r="G523" s="627"/>
      <c r="H523" s="633"/>
    </row>
    <row r="524" spans="1:8" x14ac:dyDescent="0.3">
      <c r="A524" s="627"/>
      <c r="B524" s="627"/>
      <c r="C524" s="627" t="s">
        <v>10</v>
      </c>
      <c r="D524" s="671">
        <f>3*D523</f>
        <v>1800</v>
      </c>
      <c r="E524" s="627" t="s">
        <v>28</v>
      </c>
      <c r="F524" s="627"/>
      <c r="G524" s="627"/>
    </row>
    <row r="525" spans="1:8" x14ac:dyDescent="0.3">
      <c r="A525" s="627"/>
      <c r="B525" s="627"/>
      <c r="C525" s="627"/>
      <c r="D525" s="627"/>
      <c r="E525" s="627"/>
      <c r="F525" s="627"/>
      <c r="G525" s="627"/>
    </row>
    <row r="526" spans="1:8" x14ac:dyDescent="0.3">
      <c r="A526" s="626">
        <v>3.2</v>
      </c>
      <c r="B526" s="626" t="s">
        <v>1336</v>
      </c>
      <c r="C526" s="626"/>
      <c r="D526" s="626"/>
      <c r="E526" s="626"/>
      <c r="F526" s="626"/>
      <c r="G526" s="626"/>
    </row>
    <row r="527" spans="1:8" x14ac:dyDescent="0.3">
      <c r="A527" s="627"/>
      <c r="B527" s="634" t="s">
        <v>1337</v>
      </c>
      <c r="C527" s="627"/>
      <c r="D527" s="627"/>
      <c r="E527" s="627"/>
      <c r="F527" s="627"/>
      <c r="G527" s="627"/>
    </row>
    <row r="528" spans="1:8" x14ac:dyDescent="0.3">
      <c r="A528" s="626" t="s">
        <v>174</v>
      </c>
      <c r="B528" s="626" t="s">
        <v>1338</v>
      </c>
      <c r="C528" s="627"/>
      <c r="D528" s="627"/>
      <c r="E528" s="627"/>
      <c r="F528" s="627"/>
    </row>
    <row r="529" spans="1:6" x14ac:dyDescent="0.3">
      <c r="A529" s="626" t="s">
        <v>175</v>
      </c>
      <c r="B529" s="626" t="s">
        <v>1339</v>
      </c>
      <c r="C529" s="627"/>
      <c r="D529" s="627"/>
      <c r="E529" s="627"/>
      <c r="F529" s="627"/>
    </row>
    <row r="530" spans="1:6" x14ac:dyDescent="0.3">
      <c r="A530" s="627"/>
      <c r="B530" s="626" t="s">
        <v>1340</v>
      </c>
      <c r="C530" s="627" t="s">
        <v>1087</v>
      </c>
      <c r="D530" s="627"/>
      <c r="E530" s="627"/>
      <c r="F530" s="627"/>
    </row>
    <row r="531" spans="1:6" x14ac:dyDescent="0.3">
      <c r="A531" s="627"/>
      <c r="B531" s="627" t="s">
        <v>10</v>
      </c>
      <c r="C531" s="680">
        <f>2*C60</f>
        <v>690.15207774906457</v>
      </c>
      <c r="D531" s="627" t="s">
        <v>28</v>
      </c>
      <c r="E531" s="627"/>
      <c r="F531" s="627"/>
    </row>
    <row r="532" spans="1:6" x14ac:dyDescent="0.3">
      <c r="A532" s="627"/>
      <c r="C532" s="633">
        <f>C531</f>
        <v>690.15207774906457</v>
      </c>
      <c r="E532" s="627"/>
      <c r="F532" s="627"/>
    </row>
    <row r="533" spans="1:6" x14ac:dyDescent="0.3">
      <c r="A533" s="626" t="s">
        <v>358</v>
      </c>
      <c r="B533" s="626" t="s">
        <v>1341</v>
      </c>
      <c r="C533" s="627"/>
      <c r="D533" s="627"/>
      <c r="E533" s="627"/>
      <c r="F533" s="627"/>
    </row>
    <row r="534" spans="1:6" x14ac:dyDescent="0.3">
      <c r="A534" s="627"/>
      <c r="B534" s="626" t="s">
        <v>1342</v>
      </c>
      <c r="C534" s="627" t="s">
        <v>1343</v>
      </c>
      <c r="D534" s="627"/>
      <c r="E534" s="627"/>
      <c r="F534" s="627"/>
    </row>
    <row r="535" spans="1:6" x14ac:dyDescent="0.3">
      <c r="A535" s="627"/>
      <c r="B535" s="627" t="s">
        <v>10</v>
      </c>
      <c r="C535" s="680">
        <f>0.8*C60</f>
        <v>276.06083109962583</v>
      </c>
      <c r="D535" s="627" t="s">
        <v>28</v>
      </c>
      <c r="E535" s="627"/>
      <c r="F535" s="627"/>
    </row>
    <row r="536" spans="1:6" x14ac:dyDescent="0.3">
      <c r="A536" s="627"/>
      <c r="C536" s="633">
        <f>C535</f>
        <v>276.06083109962583</v>
      </c>
      <c r="E536" s="627"/>
      <c r="F536" s="627"/>
    </row>
    <row r="537" spans="1:6" x14ac:dyDescent="0.3">
      <c r="A537" s="626" t="s">
        <v>362</v>
      </c>
      <c r="B537" s="626" t="s">
        <v>1344</v>
      </c>
      <c r="C537" s="627"/>
      <c r="D537" s="627"/>
      <c r="E537" s="627"/>
      <c r="F537" s="627"/>
    </row>
    <row r="538" spans="1:6" x14ac:dyDescent="0.3">
      <c r="A538" s="627"/>
      <c r="B538" s="627" t="s">
        <v>1345</v>
      </c>
      <c r="C538" s="627"/>
      <c r="D538" s="627"/>
      <c r="E538" s="627"/>
      <c r="F538" s="627"/>
    </row>
    <row r="539" spans="1:6" x14ac:dyDescent="0.3">
      <c r="A539" s="627"/>
      <c r="C539" s="627"/>
      <c r="D539" s="627"/>
      <c r="E539" s="627"/>
      <c r="F539" s="627"/>
    </row>
    <row r="540" spans="1:6" x14ac:dyDescent="0.3">
      <c r="A540" s="627"/>
      <c r="B540" s="627" t="s">
        <v>1300</v>
      </c>
      <c r="C540" s="627"/>
      <c r="D540" s="627"/>
      <c r="E540" s="627"/>
      <c r="F540" s="627"/>
    </row>
    <row r="541" spans="1:6" x14ac:dyDescent="0.3">
      <c r="A541" s="627"/>
      <c r="B541" s="627"/>
      <c r="C541" s="627"/>
      <c r="D541" s="627"/>
      <c r="E541" s="627"/>
      <c r="F541" s="627"/>
    </row>
    <row r="542" spans="1:6" x14ac:dyDescent="0.3">
      <c r="A542" s="627"/>
      <c r="B542" s="627" t="s">
        <v>10</v>
      </c>
      <c r="C542" s="627">
        <f>(C60/30)*(3.175)</f>
        <v>36.520547447554669</v>
      </c>
      <c r="D542" s="627" t="s">
        <v>28</v>
      </c>
      <c r="E542" s="627"/>
      <c r="F542" s="627"/>
    </row>
    <row r="543" spans="1:6" x14ac:dyDescent="0.3">
      <c r="A543" s="627"/>
      <c r="B543" s="627" t="s">
        <v>1009</v>
      </c>
      <c r="C543" s="684">
        <f>ROUNDUP(C542,-1)</f>
        <v>40</v>
      </c>
      <c r="D543" s="627" t="s">
        <v>28</v>
      </c>
      <c r="E543" s="627"/>
      <c r="F543" s="627"/>
    </row>
    <row r="544" spans="1:6" x14ac:dyDescent="0.3">
      <c r="A544" s="627"/>
      <c r="E544" s="627"/>
      <c r="F544" s="627"/>
    </row>
    <row r="545" spans="1:7" x14ac:dyDescent="0.3">
      <c r="A545" s="626" t="s">
        <v>370</v>
      </c>
      <c r="B545" s="626" t="s">
        <v>1346</v>
      </c>
      <c r="C545" s="627"/>
      <c r="D545" s="627"/>
      <c r="E545" s="627"/>
      <c r="F545" s="627"/>
    </row>
    <row r="546" spans="1:7" x14ac:dyDescent="0.3">
      <c r="A546" s="627"/>
      <c r="B546" s="626" t="s">
        <v>1347</v>
      </c>
      <c r="C546" s="627" t="s">
        <v>1348</v>
      </c>
      <c r="D546" s="627"/>
      <c r="E546" s="627"/>
      <c r="F546" s="627"/>
    </row>
    <row r="547" spans="1:7" ht="14.4" x14ac:dyDescent="0.3">
      <c r="A547" s="627"/>
      <c r="B547" s="627" t="s">
        <v>1349</v>
      </c>
      <c r="C547" s="627" t="s">
        <v>1350</v>
      </c>
      <c r="D547" s="627"/>
      <c r="E547" s="627"/>
      <c r="F547" s="627"/>
    </row>
    <row r="548" spans="1:7" x14ac:dyDescent="0.3">
      <c r="A548" s="627"/>
      <c r="B548" s="627" t="s">
        <v>10</v>
      </c>
      <c r="C548" s="662">
        <f>450*(C60^0.5)</f>
        <v>8359.3000826679745</v>
      </c>
      <c r="D548" s="627" t="s">
        <v>28</v>
      </c>
      <c r="E548" s="627"/>
      <c r="F548" s="627"/>
    </row>
    <row r="549" spans="1:7" x14ac:dyDescent="0.3">
      <c r="A549" s="627"/>
      <c r="B549" s="627" t="s">
        <v>1009</v>
      </c>
      <c r="C549" s="644">
        <f>C548</f>
        <v>8359.3000826679745</v>
      </c>
      <c r="D549" s="623" t="s">
        <v>28</v>
      </c>
      <c r="E549" s="627"/>
      <c r="F549" s="627"/>
    </row>
    <row r="550" spans="1:7" x14ac:dyDescent="0.3">
      <c r="A550" s="627"/>
      <c r="E550" s="627"/>
      <c r="F550" s="627"/>
    </row>
    <row r="551" spans="1:7" x14ac:dyDescent="0.3">
      <c r="A551" s="626" t="s">
        <v>375</v>
      </c>
      <c r="B551" s="626" t="s">
        <v>1351</v>
      </c>
      <c r="C551" s="626"/>
      <c r="D551" s="626"/>
      <c r="E551" s="626"/>
      <c r="F551" s="626"/>
    </row>
    <row r="552" spans="1:7" x14ac:dyDescent="0.3">
      <c r="A552" s="627"/>
      <c r="B552" s="627" t="s">
        <v>1352</v>
      </c>
      <c r="C552" s="627"/>
      <c r="D552" s="627"/>
      <c r="E552" s="627"/>
      <c r="F552" s="627"/>
    </row>
    <row r="553" spans="1:7" x14ac:dyDescent="0.3">
      <c r="A553" s="627"/>
      <c r="B553" s="627" t="s">
        <v>1353</v>
      </c>
      <c r="C553" s="627"/>
      <c r="D553" s="627"/>
      <c r="E553" s="627"/>
      <c r="F553" s="627"/>
    </row>
    <row r="554" spans="1:7" x14ac:dyDescent="0.3">
      <c r="A554" s="627"/>
      <c r="B554" s="627"/>
      <c r="C554" s="626" t="s">
        <v>1060</v>
      </c>
      <c r="D554" s="627" t="s">
        <v>1354</v>
      </c>
      <c r="E554" s="627"/>
      <c r="F554" s="627"/>
    </row>
    <row r="555" spans="1:7" x14ac:dyDescent="0.3">
      <c r="A555" s="627"/>
      <c r="B555" s="627"/>
      <c r="C555" s="626" t="s">
        <v>1060</v>
      </c>
      <c r="D555" s="674">
        <f>0.18*C60</f>
        <v>62.113686997415812</v>
      </c>
      <c r="E555" s="627" t="s">
        <v>28</v>
      </c>
      <c r="F555" s="627"/>
    </row>
    <row r="556" spans="1:7" x14ac:dyDescent="0.3">
      <c r="A556" s="627"/>
      <c r="B556" s="627"/>
      <c r="C556" s="627"/>
      <c r="G556" s="627"/>
    </row>
    <row r="557" spans="1:7" x14ac:dyDescent="0.3">
      <c r="A557" s="627"/>
      <c r="B557" s="627"/>
      <c r="C557" s="627"/>
      <c r="D557" s="626"/>
      <c r="E557" s="627"/>
      <c r="F557" s="627"/>
      <c r="G557" s="627"/>
    </row>
    <row r="558" spans="1:7" x14ac:dyDescent="0.3">
      <c r="A558" s="626" t="s">
        <v>1355</v>
      </c>
      <c r="B558" s="626" t="s">
        <v>1356</v>
      </c>
      <c r="C558" s="626"/>
      <c r="D558" s="626"/>
      <c r="E558" s="626"/>
      <c r="F558" s="626"/>
      <c r="G558" s="626"/>
    </row>
    <row r="559" spans="1:7" x14ac:dyDescent="0.3">
      <c r="A559" s="627"/>
      <c r="B559" s="627" t="s">
        <v>954</v>
      </c>
      <c r="C559" s="627"/>
      <c r="D559" s="627"/>
      <c r="E559" s="627"/>
      <c r="F559" s="627"/>
      <c r="G559" s="627"/>
    </row>
    <row r="560" spans="1:7" x14ac:dyDescent="0.3">
      <c r="A560" s="627"/>
      <c r="B560" s="627"/>
      <c r="C560" s="627"/>
      <c r="D560" s="627"/>
      <c r="E560" s="627"/>
      <c r="F560" s="627"/>
      <c r="G560" s="627"/>
    </row>
    <row r="561" spans="1:7" x14ac:dyDescent="0.3">
      <c r="A561" s="627"/>
      <c r="B561" s="627"/>
      <c r="C561" s="627"/>
      <c r="D561" s="627"/>
      <c r="E561" s="627"/>
      <c r="F561" s="627"/>
      <c r="G561" s="627"/>
    </row>
    <row r="562" spans="1:7" x14ac:dyDescent="0.3">
      <c r="A562" s="627"/>
      <c r="B562" s="627" t="s">
        <v>10</v>
      </c>
      <c r="C562" s="662">
        <f>((C60/20)+(3*(25.4/4)))</f>
        <v>36.303801943726612</v>
      </c>
      <c r="D562" s="627" t="s">
        <v>28</v>
      </c>
      <c r="E562" s="627"/>
      <c r="F562" s="627"/>
      <c r="G562" s="627"/>
    </row>
    <row r="563" spans="1:7" x14ac:dyDescent="0.3">
      <c r="A563" s="627"/>
      <c r="B563" s="627" t="s">
        <v>1009</v>
      </c>
      <c r="C563" s="674">
        <f>ROUND(C562,1)</f>
        <v>36.299999999999997</v>
      </c>
      <c r="D563" s="627" t="s">
        <v>28</v>
      </c>
      <c r="E563" s="627"/>
      <c r="F563" s="627"/>
      <c r="G563" s="627"/>
    </row>
    <row r="564" spans="1:7" x14ac:dyDescent="0.3">
      <c r="A564" s="627"/>
      <c r="B564" s="627"/>
      <c r="C564" s="674"/>
      <c r="D564" s="627"/>
      <c r="E564" s="627"/>
      <c r="F564" s="627"/>
      <c r="G564" s="627"/>
    </row>
    <row r="565" spans="1:7" x14ac:dyDescent="0.3">
      <c r="A565" s="627"/>
      <c r="B565" s="627" t="s">
        <v>1357</v>
      </c>
      <c r="C565" s="674" t="s">
        <v>1358</v>
      </c>
      <c r="D565" s="627"/>
      <c r="E565" s="627"/>
      <c r="F565" s="627"/>
      <c r="G565" s="627"/>
    </row>
    <row r="566" spans="1:7" x14ac:dyDescent="0.3">
      <c r="A566" s="627"/>
      <c r="B566" s="627" t="s">
        <v>10</v>
      </c>
      <c r="C566" s="674">
        <f>1.6*C563</f>
        <v>58.08</v>
      </c>
      <c r="D566" s="627"/>
      <c r="E566" s="627"/>
      <c r="F566" s="627"/>
      <c r="G566" s="627"/>
    </row>
    <row r="567" spans="1:7" x14ac:dyDescent="0.3">
      <c r="A567" s="627"/>
      <c r="B567" s="627" t="s">
        <v>10</v>
      </c>
      <c r="C567" s="674">
        <f>ROUND(C566,-1)</f>
        <v>60</v>
      </c>
      <c r="D567" s="627"/>
      <c r="E567" s="627"/>
      <c r="F567" s="627"/>
      <c r="G567" s="627"/>
    </row>
    <row r="568" spans="1:7" x14ac:dyDescent="0.3">
      <c r="A568" s="627"/>
      <c r="B568" s="627"/>
      <c r="C568" s="627"/>
      <c r="D568" s="627"/>
      <c r="E568" s="627"/>
      <c r="F568" s="627"/>
      <c r="G568" s="627"/>
    </row>
    <row r="569" spans="1:7" x14ac:dyDescent="0.3">
      <c r="A569" s="626">
        <v>3.3</v>
      </c>
      <c r="B569" s="626" t="s">
        <v>1359</v>
      </c>
      <c r="C569" s="626"/>
      <c r="D569" s="626"/>
      <c r="E569" s="626"/>
      <c r="F569" s="626"/>
      <c r="G569" s="626"/>
    </row>
    <row r="570" spans="1:7" x14ac:dyDescent="0.3">
      <c r="A570" s="627"/>
      <c r="B570" s="627" t="s">
        <v>1360</v>
      </c>
      <c r="C570" s="627"/>
      <c r="D570" s="627"/>
      <c r="E570" s="627"/>
      <c r="F570" s="627"/>
      <c r="G570" s="627"/>
    </row>
    <row r="571" spans="1:7" x14ac:dyDescent="0.3">
      <c r="A571" s="627"/>
      <c r="B571" s="627" t="s">
        <v>1361</v>
      </c>
      <c r="C571" s="627"/>
      <c r="D571" s="627"/>
      <c r="F571" s="627"/>
      <c r="G571" s="627"/>
    </row>
    <row r="572" spans="1:7" x14ac:dyDescent="0.3">
      <c r="A572" s="627"/>
      <c r="B572" s="627" t="s">
        <v>1362</v>
      </c>
      <c r="C572" s="627"/>
      <c r="D572" s="627"/>
      <c r="F572" s="627"/>
      <c r="G572" s="627"/>
    </row>
    <row r="573" spans="1:7" x14ac:dyDescent="0.3">
      <c r="A573" s="627"/>
      <c r="B573" s="627" t="s">
        <v>1363</v>
      </c>
      <c r="C573" s="627"/>
      <c r="D573" s="627"/>
      <c r="F573" s="627"/>
      <c r="G573" s="627"/>
    </row>
    <row r="574" spans="1:7" x14ac:dyDescent="0.3">
      <c r="A574" s="627"/>
      <c r="B574" s="627" t="s">
        <v>1364</v>
      </c>
      <c r="C574" s="627"/>
      <c r="D574" s="627"/>
      <c r="F574" s="627"/>
      <c r="G574" s="627"/>
    </row>
    <row r="575" spans="1:7" x14ac:dyDescent="0.3">
      <c r="A575" s="627"/>
      <c r="B575" s="627" t="s">
        <v>1365</v>
      </c>
      <c r="C575" s="627"/>
      <c r="D575" s="627"/>
      <c r="F575" s="627"/>
      <c r="G575" s="627"/>
    </row>
    <row r="576" spans="1:7" x14ac:dyDescent="0.3">
      <c r="A576" s="627"/>
      <c r="B576" s="627" t="s">
        <v>1366</v>
      </c>
      <c r="C576" s="627"/>
      <c r="D576" s="627"/>
      <c r="F576" s="627"/>
      <c r="G576" s="627"/>
    </row>
    <row r="577" spans="1:7" x14ac:dyDescent="0.3">
      <c r="A577" s="627"/>
      <c r="B577" s="627" t="s">
        <v>1367</v>
      </c>
      <c r="C577" s="674">
        <f>C60</f>
        <v>345.07603887453229</v>
      </c>
      <c r="D577" s="627" t="s">
        <v>28</v>
      </c>
      <c r="E577" s="627"/>
      <c r="F577" s="627"/>
      <c r="G577" s="627"/>
    </row>
    <row r="578" spans="1:7" x14ac:dyDescent="0.3">
      <c r="A578" s="627"/>
      <c r="B578" s="627" t="s">
        <v>1368</v>
      </c>
      <c r="C578" s="627" t="s">
        <v>1369</v>
      </c>
      <c r="D578" s="627"/>
      <c r="E578" s="627"/>
      <c r="F578" s="627"/>
      <c r="G578" s="627"/>
    </row>
    <row r="579" spans="1:7" ht="14.4" x14ac:dyDescent="0.3">
      <c r="A579" s="626" t="s">
        <v>174</v>
      </c>
      <c r="B579" s="626" t="s">
        <v>1370</v>
      </c>
      <c r="C579" s="626"/>
      <c r="D579" s="626"/>
      <c r="E579" s="626"/>
      <c r="F579" s="626"/>
      <c r="G579" s="626"/>
    </row>
    <row r="580" spans="1:7" x14ac:dyDescent="0.3">
      <c r="A580" s="627"/>
      <c r="B580" s="627" t="s">
        <v>1247</v>
      </c>
      <c r="C580" s="627" t="s">
        <v>1371</v>
      </c>
      <c r="D580" s="627"/>
      <c r="E580" s="627"/>
      <c r="F580" s="627"/>
      <c r="G580" s="627"/>
    </row>
    <row r="581" spans="1:7" x14ac:dyDescent="0.3">
      <c r="A581" s="627"/>
      <c r="B581" s="627" t="s">
        <v>10</v>
      </c>
      <c r="C581" s="670" t="s">
        <v>1372</v>
      </c>
      <c r="D581" s="627"/>
      <c r="E581" s="627"/>
      <c r="F581" s="627"/>
      <c r="G581" s="627"/>
    </row>
    <row r="582" spans="1:7" x14ac:dyDescent="0.3">
      <c r="A582" s="627"/>
      <c r="B582" s="627" t="s">
        <v>10</v>
      </c>
      <c r="C582" s="675">
        <f>((1.6)*((0.12*C60)+12.7))/(12^0.5)</f>
        <v>24.991934152736295</v>
      </c>
      <c r="D582" s="627" t="s">
        <v>28</v>
      </c>
      <c r="E582" s="627"/>
      <c r="F582" s="627"/>
      <c r="G582" s="627"/>
    </row>
    <row r="583" spans="1:7" x14ac:dyDescent="0.3">
      <c r="A583" s="627"/>
      <c r="E583" s="627"/>
      <c r="F583" s="627"/>
      <c r="G583" s="627"/>
    </row>
    <row r="584" spans="1:7" x14ac:dyDescent="0.3">
      <c r="A584" s="627"/>
      <c r="B584" s="627" t="s">
        <v>1373</v>
      </c>
      <c r="C584" s="627"/>
      <c r="D584" s="627"/>
      <c r="E584" s="670">
        <f>C582</f>
        <v>24.991934152736295</v>
      </c>
      <c r="G584" s="627"/>
    </row>
    <row r="585" spans="1:7" x14ac:dyDescent="0.3">
      <c r="A585" s="627"/>
      <c r="B585" s="627"/>
      <c r="C585" s="627"/>
      <c r="D585" s="627"/>
      <c r="G585" s="627"/>
    </row>
    <row r="586" spans="1:7" x14ac:dyDescent="0.3">
      <c r="A586" s="626" t="s">
        <v>175</v>
      </c>
      <c r="B586" s="626" t="s">
        <v>1374</v>
      </c>
      <c r="C586" s="626"/>
      <c r="D586" s="626"/>
      <c r="E586" s="626"/>
      <c r="F586" s="626"/>
      <c r="G586" s="626"/>
    </row>
    <row r="587" spans="1:7" x14ac:dyDescent="0.3">
      <c r="A587" s="627"/>
      <c r="B587" s="627" t="s">
        <v>1375</v>
      </c>
      <c r="C587" s="627" t="s">
        <v>1087</v>
      </c>
      <c r="D587" s="627"/>
      <c r="E587" s="627"/>
      <c r="F587" s="627"/>
      <c r="G587" s="627"/>
    </row>
    <row r="588" spans="1:7" x14ac:dyDescent="0.3">
      <c r="A588" s="627"/>
      <c r="B588" s="626" t="s">
        <v>1375</v>
      </c>
      <c r="C588" s="674">
        <f>2*C60</f>
        <v>690.15207774906457</v>
      </c>
      <c r="D588" s="627" t="s">
        <v>28</v>
      </c>
      <c r="E588" s="627"/>
      <c r="F588" s="627"/>
      <c r="G588" s="627"/>
    </row>
    <row r="589" spans="1:7" x14ac:dyDescent="0.3">
      <c r="A589" s="627"/>
      <c r="E589" s="627"/>
      <c r="F589" s="627"/>
      <c r="G589" s="627"/>
    </row>
    <row r="590" spans="1:7" x14ac:dyDescent="0.3">
      <c r="A590" s="626" t="s">
        <v>358</v>
      </c>
      <c r="B590" s="626" t="s">
        <v>1376</v>
      </c>
      <c r="C590" s="626"/>
      <c r="D590" s="626"/>
      <c r="E590" s="626"/>
      <c r="F590" s="626"/>
      <c r="G590" s="626"/>
    </row>
    <row r="591" spans="1:7" ht="14.4" x14ac:dyDescent="0.3">
      <c r="A591" s="627"/>
      <c r="B591" s="626" t="s">
        <v>1377</v>
      </c>
      <c r="C591" s="627" t="s">
        <v>1378</v>
      </c>
      <c r="D591" s="627"/>
      <c r="E591" s="627"/>
      <c r="F591" s="627"/>
      <c r="G591" s="627"/>
    </row>
    <row r="592" spans="1:7" x14ac:dyDescent="0.3">
      <c r="A592" s="627"/>
      <c r="B592" s="627" t="s">
        <v>10</v>
      </c>
      <c r="C592" s="675">
        <f>(0.1*C60)+15</f>
        <v>49.507603887453229</v>
      </c>
      <c r="D592" s="627" t="s">
        <v>28</v>
      </c>
      <c r="E592" s="627"/>
      <c r="F592" s="627"/>
      <c r="G592" s="627"/>
    </row>
    <row r="593" spans="1:7" x14ac:dyDescent="0.3">
      <c r="A593" s="627"/>
      <c r="B593" s="627" t="s">
        <v>1009</v>
      </c>
      <c r="C593" s="674">
        <f>ROUND(C592,-1)</f>
        <v>50</v>
      </c>
      <c r="D593" s="623" t="s">
        <v>28</v>
      </c>
      <c r="E593" s="627"/>
      <c r="F593" s="627"/>
      <c r="G593" s="627"/>
    </row>
    <row r="594" spans="1:7" x14ac:dyDescent="0.3">
      <c r="A594" s="627"/>
      <c r="C594" s="674"/>
      <c r="E594" s="627"/>
      <c r="F594" s="627"/>
      <c r="G594" s="627"/>
    </row>
    <row r="595" spans="1:7" ht="14.4" x14ac:dyDescent="0.3">
      <c r="A595" s="627"/>
      <c r="B595" s="626" t="s">
        <v>1379</v>
      </c>
      <c r="C595" s="627" t="s">
        <v>1380</v>
      </c>
      <c r="D595" s="627"/>
      <c r="E595" s="627"/>
      <c r="F595" s="627"/>
      <c r="G595" s="627"/>
    </row>
    <row r="596" spans="1:7" x14ac:dyDescent="0.3">
      <c r="A596" s="627"/>
      <c r="B596" s="627" t="s">
        <v>10</v>
      </c>
      <c r="C596" s="670">
        <f>(0.1*C60)+3.3</f>
        <v>37.807603887453226</v>
      </c>
      <c r="D596" s="627" t="s">
        <v>28</v>
      </c>
      <c r="E596" s="627"/>
      <c r="F596" s="627"/>
      <c r="G596" s="627"/>
    </row>
    <row r="597" spans="1:7" x14ac:dyDescent="0.3">
      <c r="A597" s="627"/>
      <c r="B597" s="627" t="s">
        <v>1009</v>
      </c>
      <c r="C597" s="674">
        <f>ROUND(C596,-1)</f>
        <v>40</v>
      </c>
      <c r="D597" s="627" t="s">
        <v>28</v>
      </c>
      <c r="E597" s="627"/>
      <c r="F597" s="627"/>
      <c r="G597" s="627"/>
    </row>
    <row r="598" spans="1:7" x14ac:dyDescent="0.3">
      <c r="A598" s="627"/>
      <c r="E598" s="627"/>
      <c r="F598" s="627"/>
      <c r="G598" s="627"/>
    </row>
    <row r="599" spans="1:7" x14ac:dyDescent="0.3">
      <c r="A599" s="626" t="s">
        <v>362</v>
      </c>
      <c r="B599" s="626" t="s">
        <v>1381</v>
      </c>
      <c r="C599" s="626"/>
      <c r="D599" s="626"/>
      <c r="E599" s="626"/>
      <c r="F599" s="626"/>
      <c r="G599" s="626"/>
    </row>
    <row r="600" spans="1:7" x14ac:dyDescent="0.3">
      <c r="A600" s="627"/>
      <c r="B600" s="626" t="s">
        <v>1382</v>
      </c>
      <c r="C600" s="627" t="s">
        <v>1383</v>
      </c>
      <c r="D600" s="627"/>
      <c r="E600" s="627"/>
      <c r="F600" s="627"/>
      <c r="G600" s="627"/>
    </row>
    <row r="601" spans="1:7" x14ac:dyDescent="0.3">
      <c r="A601" s="627"/>
      <c r="B601" s="627" t="s">
        <v>10</v>
      </c>
      <c r="C601" s="674">
        <f>(0.04*C60)+0.2</f>
        <v>14.003041554981291</v>
      </c>
      <c r="D601" s="627" t="s">
        <v>28</v>
      </c>
      <c r="E601" s="627"/>
      <c r="F601" s="627"/>
      <c r="G601" s="627"/>
    </row>
    <row r="602" spans="1:7" x14ac:dyDescent="0.3">
      <c r="A602" s="627"/>
      <c r="E602" s="627"/>
      <c r="F602" s="627"/>
      <c r="G602" s="627"/>
    </row>
    <row r="603" spans="1:7" x14ac:dyDescent="0.3">
      <c r="A603" s="626" t="s">
        <v>370</v>
      </c>
      <c r="B603" s="626" t="s">
        <v>1384</v>
      </c>
      <c r="C603" s="626"/>
      <c r="D603" s="626"/>
      <c r="E603" s="626"/>
      <c r="F603" s="626"/>
      <c r="G603" s="626"/>
    </row>
    <row r="604" spans="1:7" ht="14.25" customHeight="1" x14ac:dyDescent="0.3">
      <c r="A604" s="627"/>
      <c r="B604" s="627" t="s">
        <v>1385</v>
      </c>
      <c r="C604" s="627"/>
      <c r="D604" s="627"/>
      <c r="E604" s="627"/>
      <c r="F604" s="627"/>
      <c r="G604" s="627"/>
    </row>
    <row r="605" spans="1:7" x14ac:dyDescent="0.3">
      <c r="A605" s="627"/>
      <c r="B605" s="627"/>
      <c r="C605" s="627"/>
      <c r="D605" s="627"/>
      <c r="E605" s="627"/>
      <c r="F605" s="627"/>
      <c r="G605" s="627"/>
    </row>
    <row r="606" spans="1:7" x14ac:dyDescent="0.3">
      <c r="A606" s="627"/>
      <c r="B606" s="626"/>
      <c r="C606" s="627" t="s">
        <v>1386</v>
      </c>
      <c r="D606" s="671">
        <v>40</v>
      </c>
      <c r="E606" s="627" t="s">
        <v>28</v>
      </c>
      <c r="F606" s="626"/>
      <c r="G606" s="626"/>
    </row>
    <row r="607" spans="1:7" x14ac:dyDescent="0.3">
      <c r="A607" s="626" t="s">
        <v>375</v>
      </c>
      <c r="B607" s="626" t="s">
        <v>1387</v>
      </c>
      <c r="C607" s="626"/>
      <c r="D607" s="626"/>
      <c r="E607" s="626"/>
      <c r="F607" s="626"/>
      <c r="G607" s="626"/>
    </row>
    <row r="608" spans="1:7" x14ac:dyDescent="0.3">
      <c r="A608" s="627"/>
      <c r="B608" s="626" t="s">
        <v>1388</v>
      </c>
      <c r="C608" s="627" t="s">
        <v>1389</v>
      </c>
      <c r="D608" s="627"/>
      <c r="E608" s="627"/>
      <c r="F608" s="627"/>
      <c r="G608" s="627"/>
    </row>
    <row r="609" spans="1:8" x14ac:dyDescent="0.3">
      <c r="A609" s="627"/>
      <c r="B609" s="627" t="s">
        <v>10</v>
      </c>
      <c r="C609" s="671">
        <f>3*D606</f>
        <v>120</v>
      </c>
      <c r="D609" s="627" t="s">
        <v>28</v>
      </c>
      <c r="E609" s="627"/>
      <c r="F609" s="627"/>
      <c r="G609" s="627"/>
    </row>
    <row r="610" spans="1:8" x14ac:dyDescent="0.3">
      <c r="A610" s="627"/>
      <c r="E610" s="627"/>
      <c r="F610" s="627"/>
      <c r="G610" s="627"/>
    </row>
    <row r="611" spans="1:8" ht="14.4" x14ac:dyDescent="0.3">
      <c r="A611" s="626" t="s">
        <v>379</v>
      </c>
      <c r="B611" s="626" t="s">
        <v>1390</v>
      </c>
      <c r="C611" s="626"/>
      <c r="D611" s="626"/>
      <c r="E611" s="627"/>
      <c r="F611" s="627"/>
      <c r="G611" s="627"/>
    </row>
    <row r="612" spans="1:8" ht="14.4" x14ac:dyDescent="0.3">
      <c r="A612" s="627"/>
      <c r="B612" s="626" t="s">
        <v>1391</v>
      </c>
      <c r="C612" s="627" t="s">
        <v>1392</v>
      </c>
      <c r="D612" s="627"/>
      <c r="E612" s="626"/>
      <c r="F612" s="626"/>
      <c r="G612" s="626"/>
    </row>
    <row r="613" spans="1:8" x14ac:dyDescent="0.3">
      <c r="A613" s="627"/>
      <c r="B613" s="627" t="s">
        <v>10</v>
      </c>
      <c r="C613" s="662">
        <f>(0.4*C60)+1</f>
        <v>139.03041554981291</v>
      </c>
      <c r="D613" s="627" t="s">
        <v>28</v>
      </c>
      <c r="E613" s="627"/>
      <c r="F613" s="627"/>
      <c r="G613" s="627"/>
    </row>
    <row r="614" spans="1:8" x14ac:dyDescent="0.3">
      <c r="A614" s="627"/>
      <c r="B614" s="627" t="s">
        <v>1009</v>
      </c>
      <c r="C614" s="674">
        <f>ROUND(C613,0)</f>
        <v>139</v>
      </c>
      <c r="D614" s="627" t="s">
        <v>28</v>
      </c>
      <c r="E614" s="627"/>
      <c r="F614" s="627"/>
      <c r="G614" s="627"/>
    </row>
    <row r="615" spans="1:8" x14ac:dyDescent="0.3">
      <c r="A615" s="627"/>
      <c r="B615" s="627"/>
      <c r="C615" s="627"/>
      <c r="D615" s="627"/>
      <c r="E615" s="627"/>
      <c r="F615" s="627"/>
      <c r="G615" s="627"/>
    </row>
    <row r="616" spans="1:8" x14ac:dyDescent="0.3">
      <c r="A616" s="626" t="s">
        <v>1393</v>
      </c>
      <c r="B616" s="626" t="s">
        <v>1394</v>
      </c>
      <c r="C616" s="627"/>
      <c r="D616" s="627"/>
      <c r="E616" s="627"/>
      <c r="F616" s="627"/>
      <c r="G616" s="627"/>
    </row>
    <row r="617" spans="1:8" x14ac:dyDescent="0.3">
      <c r="A617" s="626"/>
      <c r="B617" s="634" t="s">
        <v>1395</v>
      </c>
      <c r="C617" s="626"/>
      <c r="D617" s="626"/>
      <c r="E617" s="626"/>
      <c r="F617" s="626"/>
      <c r="G617" s="626"/>
    </row>
    <row r="618" spans="1:8" x14ac:dyDescent="0.3">
      <c r="A618" s="627"/>
      <c r="B618" s="627" t="s">
        <v>1396</v>
      </c>
      <c r="C618" s="627"/>
      <c r="D618" s="627"/>
      <c r="E618" s="627"/>
      <c r="F618" s="627"/>
      <c r="G618" s="627"/>
    </row>
    <row r="619" spans="1:8" x14ac:dyDescent="0.3">
      <c r="A619" s="627"/>
      <c r="B619" s="626" t="s">
        <v>244</v>
      </c>
      <c r="C619" s="626" t="s">
        <v>1397</v>
      </c>
      <c r="D619" s="627" t="s">
        <v>1398</v>
      </c>
      <c r="F619" s="627" t="s">
        <v>1399</v>
      </c>
      <c r="G619" s="627" t="e">
        <f>HARVARLD!F6</f>
        <v>#REF!</v>
      </c>
      <c r="H619" s="627" t="s">
        <v>11</v>
      </c>
    </row>
    <row r="620" spans="1:8" x14ac:dyDescent="0.3">
      <c r="A620" s="627"/>
      <c r="B620" s="627"/>
      <c r="C620" s="627" t="s">
        <v>10</v>
      </c>
      <c r="D620" s="627" t="e">
        <f>(1.4*G619)+90</f>
        <v>#REF!</v>
      </c>
      <c r="E620" s="627" t="s">
        <v>28</v>
      </c>
      <c r="F620" s="627"/>
      <c r="G620" s="627"/>
    </row>
    <row r="621" spans="1:8" x14ac:dyDescent="0.3">
      <c r="A621" s="627"/>
      <c r="B621" s="627"/>
      <c r="C621" s="627" t="s">
        <v>1009</v>
      </c>
      <c r="D621" s="674" t="e">
        <f>ROUND(D620,0)</f>
        <v>#REF!</v>
      </c>
      <c r="E621" s="627" t="s">
        <v>28</v>
      </c>
      <c r="F621" s="627"/>
      <c r="G621" s="627"/>
    </row>
    <row r="622" spans="1:8" x14ac:dyDescent="0.3">
      <c r="A622" s="627"/>
      <c r="B622" s="627"/>
      <c r="C622" s="627"/>
      <c r="D622" s="627"/>
      <c r="E622" s="627"/>
      <c r="F622" s="627"/>
      <c r="G622" s="627"/>
    </row>
    <row r="623" spans="1:8" x14ac:dyDescent="0.3">
      <c r="A623" s="627"/>
      <c r="B623" s="626" t="s">
        <v>1400</v>
      </c>
      <c r="C623" s="1308" t="s">
        <v>1401</v>
      </c>
      <c r="D623" s="1308"/>
      <c r="E623" s="1308"/>
      <c r="F623" s="627"/>
      <c r="G623" s="627"/>
    </row>
    <row r="624" spans="1:8" x14ac:dyDescent="0.3">
      <c r="A624" s="627"/>
      <c r="B624" s="627"/>
      <c r="C624" s="627" t="s">
        <v>10</v>
      </c>
      <c r="D624" s="627" t="s">
        <v>1402</v>
      </c>
      <c r="E624" s="627"/>
      <c r="F624" s="627"/>
      <c r="G624" s="627"/>
    </row>
    <row r="625" spans="1:7" x14ac:dyDescent="0.3">
      <c r="A625" s="627"/>
      <c r="B625" s="627"/>
      <c r="C625" s="627" t="s">
        <v>10</v>
      </c>
      <c r="D625" s="671">
        <f>0.6*C609</f>
        <v>72</v>
      </c>
      <c r="E625" s="627" t="s">
        <v>28</v>
      </c>
      <c r="F625" s="627"/>
      <c r="G625" s="627"/>
    </row>
    <row r="626" spans="1:7" x14ac:dyDescent="0.3">
      <c r="A626" s="627"/>
      <c r="B626" s="627"/>
      <c r="C626" s="627"/>
      <c r="D626" s="627"/>
      <c r="E626" s="627"/>
      <c r="F626" s="627"/>
      <c r="G626" s="627"/>
    </row>
    <row r="627" spans="1:7" x14ac:dyDescent="0.3">
      <c r="A627" s="627"/>
      <c r="B627" s="626" t="s">
        <v>1400</v>
      </c>
      <c r="C627" s="626" t="s">
        <v>1403</v>
      </c>
      <c r="D627" s="627" t="s">
        <v>1404</v>
      </c>
      <c r="E627" s="627"/>
      <c r="F627" s="627"/>
      <c r="G627" s="627"/>
    </row>
    <row r="628" spans="1:7" x14ac:dyDescent="0.3">
      <c r="A628" s="627"/>
      <c r="B628" s="627"/>
      <c r="C628" s="627" t="s">
        <v>10</v>
      </c>
      <c r="D628" s="627" t="e">
        <f>(1.6*G619)+15</f>
        <v>#REF!</v>
      </c>
      <c r="E628" s="627"/>
      <c r="F628" s="627"/>
      <c r="G628" s="627"/>
    </row>
    <row r="629" spans="1:7" x14ac:dyDescent="0.3">
      <c r="A629" s="627"/>
      <c r="B629" s="627"/>
      <c r="C629" s="627" t="s">
        <v>1009</v>
      </c>
      <c r="D629" s="674" t="e">
        <f>ROUND(D628,0)</f>
        <v>#REF!</v>
      </c>
      <c r="E629" s="627" t="s">
        <v>28</v>
      </c>
      <c r="F629" s="627"/>
      <c r="G629" s="627"/>
    </row>
    <row r="630" spans="1:7" x14ac:dyDescent="0.3">
      <c r="A630" s="627"/>
      <c r="B630" s="627"/>
      <c r="C630" s="627"/>
      <c r="D630" s="627"/>
      <c r="E630" s="627"/>
      <c r="F630" s="627"/>
      <c r="G630" s="627"/>
    </row>
    <row r="631" spans="1:7" x14ac:dyDescent="0.3">
      <c r="A631" s="626" t="s">
        <v>1405</v>
      </c>
      <c r="B631" s="626" t="s">
        <v>1406</v>
      </c>
      <c r="C631" s="626"/>
      <c r="D631" s="626"/>
      <c r="E631" s="626"/>
      <c r="F631" s="626"/>
      <c r="G631" s="626"/>
    </row>
    <row r="632" spans="1:7" x14ac:dyDescent="0.3">
      <c r="A632" s="627"/>
      <c r="B632" s="627" t="s">
        <v>1407</v>
      </c>
      <c r="C632" s="627"/>
      <c r="D632" s="627"/>
      <c r="E632" s="627"/>
      <c r="F632" s="627"/>
      <c r="G632" s="627"/>
    </row>
    <row r="633" spans="1:7" x14ac:dyDescent="0.3">
      <c r="A633" s="627"/>
      <c r="B633" s="627"/>
      <c r="C633" s="627" t="s">
        <v>1408</v>
      </c>
      <c r="D633" s="627"/>
      <c r="E633" s="627"/>
      <c r="F633" s="627"/>
      <c r="G633" s="627"/>
    </row>
    <row r="634" spans="1:7" x14ac:dyDescent="0.3">
      <c r="A634" s="627"/>
      <c r="B634" s="627"/>
      <c r="C634" s="627" t="s">
        <v>1409</v>
      </c>
      <c r="D634" s="627"/>
      <c r="E634" s="627"/>
      <c r="F634" s="627"/>
      <c r="G634" s="627"/>
    </row>
    <row r="635" spans="1:7" x14ac:dyDescent="0.3">
      <c r="A635" s="626"/>
      <c r="B635" s="626"/>
      <c r="C635" s="626"/>
      <c r="D635" s="626"/>
      <c r="E635" s="626"/>
      <c r="F635" s="626"/>
      <c r="G635" s="626"/>
    </row>
    <row r="636" spans="1:7" x14ac:dyDescent="0.3">
      <c r="A636" s="627"/>
      <c r="B636" s="627"/>
      <c r="C636" s="627"/>
      <c r="D636" s="627"/>
      <c r="E636" s="627"/>
      <c r="F636" s="627"/>
      <c r="G636" s="627"/>
    </row>
    <row r="637" spans="1:7" x14ac:dyDescent="0.3">
      <c r="A637" s="627"/>
      <c r="B637" s="627"/>
      <c r="C637" s="627"/>
      <c r="D637" s="627"/>
      <c r="E637" s="627"/>
      <c r="F637" s="627"/>
      <c r="G637" s="627"/>
    </row>
    <row r="638" spans="1:7" x14ac:dyDescent="0.3">
      <c r="A638" s="626"/>
      <c r="B638" s="626"/>
      <c r="C638" s="626"/>
      <c r="D638" s="626"/>
      <c r="E638" s="627"/>
      <c r="F638" s="627"/>
      <c r="G638" s="627"/>
    </row>
    <row r="639" spans="1:7" x14ac:dyDescent="0.3">
      <c r="A639" s="627"/>
      <c r="B639" s="1304"/>
      <c r="C639" s="1304"/>
      <c r="D639" s="1304"/>
      <c r="E639" s="1304"/>
      <c r="F639" s="1304"/>
      <c r="G639" s="1304"/>
    </row>
    <row r="640" spans="1:7" x14ac:dyDescent="0.3">
      <c r="A640" s="627"/>
      <c r="B640" s="1304"/>
      <c r="C640" s="1304"/>
      <c r="D640" s="1304"/>
      <c r="E640" s="1304"/>
      <c r="F640" s="1304"/>
      <c r="G640" s="1304"/>
    </row>
    <row r="641" spans="1:7" x14ac:dyDescent="0.3">
      <c r="A641" s="627"/>
      <c r="B641" s="1304"/>
      <c r="C641" s="1304"/>
      <c r="D641" s="1304"/>
      <c r="E641" s="1304"/>
      <c r="F641" s="1304"/>
      <c r="G641" s="1304"/>
    </row>
    <row r="642" spans="1:7" x14ac:dyDescent="0.3">
      <c r="A642" s="626"/>
      <c r="B642" s="627"/>
      <c r="C642" s="627"/>
      <c r="D642" s="627"/>
      <c r="E642" s="627"/>
      <c r="F642" s="627"/>
      <c r="G642" s="627"/>
    </row>
    <row r="643" spans="1:7" x14ac:dyDescent="0.3">
      <c r="A643" s="626"/>
      <c r="B643" s="627"/>
      <c r="C643" s="627"/>
      <c r="D643" s="627"/>
      <c r="E643" s="627"/>
      <c r="F643" s="627"/>
      <c r="G643" s="627"/>
    </row>
    <row r="644" spans="1:7" x14ac:dyDescent="0.3">
      <c r="A644" s="624"/>
    </row>
    <row r="645" spans="1:7" x14ac:dyDescent="0.3">
      <c r="A645" s="624"/>
    </row>
    <row r="646" spans="1:7" x14ac:dyDescent="0.3">
      <c r="A646" s="624"/>
    </row>
    <row r="647" spans="1:7" x14ac:dyDescent="0.3">
      <c r="A647" s="624"/>
    </row>
    <row r="648" spans="1:7" x14ac:dyDescent="0.3">
      <c r="A648" s="624"/>
    </row>
    <row r="649" spans="1:7" x14ac:dyDescent="0.3">
      <c r="A649" s="624"/>
    </row>
    <row r="650" spans="1:7" x14ac:dyDescent="0.3">
      <c r="A650" s="624"/>
    </row>
    <row r="651" spans="1:7" x14ac:dyDescent="0.3">
      <c r="A651" s="624"/>
    </row>
    <row r="652" spans="1:7" x14ac:dyDescent="0.3">
      <c r="A652" s="624"/>
    </row>
    <row r="653" spans="1:7" x14ac:dyDescent="0.3">
      <c r="A653" s="624"/>
    </row>
    <row r="654" spans="1:7" x14ac:dyDescent="0.3">
      <c r="A654" s="624"/>
    </row>
    <row r="655" spans="1:7" x14ac:dyDescent="0.3">
      <c r="A655" s="624"/>
    </row>
    <row r="656" spans="1:7" x14ac:dyDescent="0.3">
      <c r="A656" s="624"/>
    </row>
  </sheetData>
  <mergeCells count="23">
    <mergeCell ref="B515:G516"/>
    <mergeCell ref="C623:E623"/>
    <mergeCell ref="B639:G641"/>
    <mergeCell ref="H348:I348"/>
    <mergeCell ref="B438:F439"/>
    <mergeCell ref="B497:G499"/>
    <mergeCell ref="B503:G505"/>
    <mergeCell ref="B509:G512"/>
    <mergeCell ref="B231:H232"/>
    <mergeCell ref="B233:H234"/>
    <mergeCell ref="B252:D252"/>
    <mergeCell ref="B278:H279"/>
    <mergeCell ref="B289:H291"/>
    <mergeCell ref="C40:D40"/>
    <mergeCell ref="C43:D43"/>
    <mergeCell ref="C78:I79"/>
    <mergeCell ref="B189:H190"/>
    <mergeCell ref="B202:H203"/>
    <mergeCell ref="C18:E18"/>
    <mergeCell ref="C19:E19"/>
    <mergeCell ref="C20:E20"/>
    <mergeCell ref="C21:E21"/>
    <mergeCell ref="B23:C23"/>
  </mergeCells>
  <pageMargins left="0.7" right="0.7" top="0.75" bottom="0.75" header="0.511811023622047" footer="0.511811023622047"/>
  <pageSetup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Y151"/>
  <sheetViews>
    <sheetView showGridLines="0" zoomScaleNormal="100" workbookViewId="0">
      <selection activeCell="G5" sqref="G5"/>
    </sheetView>
  </sheetViews>
  <sheetFormatPr defaultColWidth="9" defaultRowHeight="12" x14ac:dyDescent="0.25"/>
  <cols>
    <col min="1" max="1" width="9" style="549"/>
    <col min="2" max="2" width="8" style="549" customWidth="1"/>
    <col min="3" max="5" width="9" style="549"/>
    <col min="6" max="7" width="9.3984375" style="549" customWidth="1"/>
    <col min="8" max="8" width="11.5" style="549" customWidth="1"/>
    <col min="9" max="14" width="9" style="549"/>
    <col min="15" max="18" width="9.5" style="549" customWidth="1"/>
    <col min="19" max="19" width="12.09765625" style="549" customWidth="1"/>
    <col min="20" max="20" width="9.5" style="549" customWidth="1"/>
    <col min="21" max="21" width="8" style="549" customWidth="1"/>
    <col min="22" max="23" width="9.5" style="549" customWidth="1"/>
    <col min="24" max="24" width="9.3984375" style="549" customWidth="1"/>
    <col min="25" max="16384" width="9" style="549"/>
  </cols>
  <sheetData>
    <row r="1" spans="1:11" x14ac:dyDescent="0.25">
      <c r="A1" s="1309" t="s">
        <v>855</v>
      </c>
      <c r="B1" s="1309"/>
      <c r="C1" s="1309"/>
      <c r="D1" s="1309"/>
      <c r="E1" s="1309"/>
      <c r="F1" s="1309"/>
      <c r="G1" s="1309"/>
      <c r="H1" s="1309"/>
      <c r="I1" s="1309"/>
      <c r="J1" s="1309"/>
      <c r="K1" s="1309"/>
    </row>
    <row r="3" spans="1:11" x14ac:dyDescent="0.25">
      <c r="A3" s="1310" t="s">
        <v>1410</v>
      </c>
      <c r="B3" s="1310"/>
      <c r="C3" s="1310"/>
      <c r="D3" s="1310"/>
      <c r="E3" s="1310"/>
      <c r="F3" s="1310"/>
      <c r="G3" s="1310"/>
      <c r="H3" s="1310"/>
      <c r="I3" s="1310"/>
    </row>
    <row r="4" spans="1:11" ht="24" x14ac:dyDescent="0.25">
      <c r="A4" s="685" t="s">
        <v>1411</v>
      </c>
      <c r="B4" s="686" t="s">
        <v>1412</v>
      </c>
      <c r="C4" s="686" t="s">
        <v>1413</v>
      </c>
      <c r="D4" s="686" t="s">
        <v>1414</v>
      </c>
      <c r="E4" s="686" t="s">
        <v>904</v>
      </c>
      <c r="F4" s="686" t="s">
        <v>1415</v>
      </c>
      <c r="G4" s="686" t="s">
        <v>1416</v>
      </c>
      <c r="H4" s="687" t="s">
        <v>1417</v>
      </c>
      <c r="I4" s="686" t="s">
        <v>1418</v>
      </c>
    </row>
    <row r="5" spans="1:11" x14ac:dyDescent="0.25">
      <c r="A5" s="688" t="s">
        <v>703</v>
      </c>
      <c r="B5" s="689">
        <f>EPM!D15</f>
        <v>5.5048234929274464</v>
      </c>
      <c r="C5" s="690">
        <f>'PROPELL (0.969)'!F277</f>
        <v>2.2675736961451247</v>
      </c>
      <c r="D5" s="689">
        <f>'PROPELL (0.969)'!D275</f>
        <v>0.7</v>
      </c>
      <c r="E5" s="689">
        <f>'PROPELL (0.969)'!D276</f>
        <v>0.59299999999999997</v>
      </c>
      <c r="F5" s="689">
        <v>0.35</v>
      </c>
      <c r="G5" s="691">
        <f>D5*B5</f>
        <v>3.8533764450492121</v>
      </c>
      <c r="H5" s="692">
        <v>3</v>
      </c>
      <c r="I5" s="692">
        <f>0.045*B5</f>
        <v>0.24771705718173509</v>
      </c>
    </row>
    <row r="6" spans="1:11" x14ac:dyDescent="0.25">
      <c r="A6" s="549" t="s">
        <v>769</v>
      </c>
      <c r="B6" s="693">
        <f>B5/2</f>
        <v>2.7524117464637232</v>
      </c>
    </row>
    <row r="7" spans="1:11" x14ac:dyDescent="0.25">
      <c r="A7" s="1309" t="s">
        <v>1419</v>
      </c>
      <c r="B7" s="1309"/>
      <c r="C7" s="1309"/>
      <c r="D7" s="1309"/>
      <c r="E7" s="1309"/>
      <c r="F7" s="1309"/>
      <c r="G7" s="1309"/>
      <c r="H7" s="1309"/>
      <c r="I7" s="1309"/>
      <c r="J7" s="1309"/>
      <c r="K7" s="1309"/>
    </row>
    <row r="9" spans="1:11" ht="12" customHeight="1" x14ac:dyDescent="0.35">
      <c r="A9" s="1311" t="s">
        <v>1420</v>
      </c>
      <c r="B9" s="694" t="s">
        <v>1421</v>
      </c>
      <c r="C9" s="1311" t="s">
        <v>1422</v>
      </c>
      <c r="D9" s="1312" t="s">
        <v>1423</v>
      </c>
      <c r="E9" s="1313" t="s">
        <v>1424</v>
      </c>
      <c r="F9" s="1313"/>
    </row>
    <row r="10" spans="1:11" ht="14.4" x14ac:dyDescent="0.35">
      <c r="A10" s="1311"/>
      <c r="B10" s="696" t="s">
        <v>1425</v>
      </c>
      <c r="C10" s="1311"/>
      <c r="D10" s="1312"/>
      <c r="E10" s="695" t="s">
        <v>1426</v>
      </c>
      <c r="F10" s="695" t="s">
        <v>1427</v>
      </c>
    </row>
    <row r="11" spans="1:11" x14ac:dyDescent="0.25">
      <c r="A11" s="697">
        <v>0.2</v>
      </c>
      <c r="B11" s="698">
        <v>1.663</v>
      </c>
      <c r="C11" s="698">
        <v>0.61599999999999999</v>
      </c>
      <c r="D11" s="698">
        <v>0.35</v>
      </c>
      <c r="E11" s="698">
        <v>5.2600000000000001E-2</v>
      </c>
      <c r="F11" s="699">
        <v>4.0000000000000001E-3</v>
      </c>
    </row>
    <row r="12" spans="1:11" x14ac:dyDescent="0.25">
      <c r="A12" s="697">
        <v>0.3</v>
      </c>
      <c r="B12" s="698">
        <v>1.8320000000000001</v>
      </c>
      <c r="C12" s="698">
        <v>0.61099999999999999</v>
      </c>
      <c r="D12" s="698">
        <v>0.35</v>
      </c>
      <c r="E12" s="698">
        <v>4.6399999999999997E-2</v>
      </c>
      <c r="F12" s="700">
        <v>3.5000000000000001E-3</v>
      </c>
    </row>
    <row r="13" spans="1:11" x14ac:dyDescent="0.25">
      <c r="A13" s="697">
        <v>0.4</v>
      </c>
      <c r="B13" s="698">
        <v>2</v>
      </c>
      <c r="C13" s="698">
        <v>0.59899999999999998</v>
      </c>
      <c r="D13" s="698">
        <v>0.35099999999999998</v>
      </c>
      <c r="E13" s="698">
        <v>4.02E-2</v>
      </c>
      <c r="F13" s="699">
        <v>3.0000000000000001E-3</v>
      </c>
    </row>
    <row r="14" spans="1:11" x14ac:dyDescent="0.25">
      <c r="A14" s="697">
        <v>0.5</v>
      </c>
      <c r="B14" s="698">
        <v>2.12</v>
      </c>
      <c r="C14" s="698">
        <v>0.58299999999999996</v>
      </c>
      <c r="D14" s="698">
        <v>0.35499999999999998</v>
      </c>
      <c r="E14" s="698">
        <v>3.4000000000000002E-2</v>
      </c>
      <c r="F14" s="700">
        <v>2.5000000000000001E-3</v>
      </c>
    </row>
    <row r="15" spans="1:11" x14ac:dyDescent="0.25">
      <c r="A15" s="697">
        <v>0.6</v>
      </c>
      <c r="B15" s="698">
        <v>2.1859999999999999</v>
      </c>
      <c r="C15" s="698">
        <v>0.55800000000000005</v>
      </c>
      <c r="D15" s="698">
        <v>0.38900000000000001</v>
      </c>
      <c r="E15" s="698">
        <v>2.7799999999999998E-2</v>
      </c>
      <c r="F15" s="699">
        <v>2E-3</v>
      </c>
    </row>
    <row r="16" spans="1:11" x14ac:dyDescent="0.25">
      <c r="A16" s="697">
        <v>0.7</v>
      </c>
      <c r="B16" s="698">
        <v>2.1680000000000001</v>
      </c>
      <c r="C16" s="698">
        <v>0.52600000000000002</v>
      </c>
      <c r="D16" s="698">
        <v>0.442</v>
      </c>
      <c r="E16" s="698">
        <v>2.1600000000000001E-2</v>
      </c>
      <c r="F16" s="700">
        <v>1.5E-3</v>
      </c>
    </row>
    <row r="17" spans="1:6" x14ac:dyDescent="0.25">
      <c r="A17" s="697">
        <v>0.8</v>
      </c>
      <c r="B17" s="698">
        <v>2.1269999999999998</v>
      </c>
      <c r="C17" s="698">
        <v>0.48099999999999998</v>
      </c>
      <c r="D17" s="698">
        <v>0.47799999999999998</v>
      </c>
      <c r="E17" s="698">
        <v>1.54E-2</v>
      </c>
      <c r="F17" s="699">
        <v>1E-3</v>
      </c>
    </row>
    <row r="18" spans="1:6" x14ac:dyDescent="0.25">
      <c r="A18" s="697">
        <v>0.9</v>
      </c>
      <c r="B18" s="698">
        <v>1.657</v>
      </c>
      <c r="C18" s="698">
        <v>0.4</v>
      </c>
      <c r="D18" s="698">
        <v>0.5</v>
      </c>
      <c r="E18" s="698">
        <v>9.1999999999999998E-3</v>
      </c>
      <c r="F18" s="700">
        <v>5.0000000000000001E-4</v>
      </c>
    </row>
    <row r="19" spans="1:6" x14ac:dyDescent="0.25">
      <c r="A19" s="697">
        <v>1</v>
      </c>
      <c r="B19" s="698">
        <v>0</v>
      </c>
      <c r="C19" s="698">
        <v>0</v>
      </c>
      <c r="D19" s="698">
        <v>0</v>
      </c>
      <c r="E19" s="698">
        <v>3.0000000000000001E-3</v>
      </c>
      <c r="F19" s="699">
        <v>0</v>
      </c>
    </row>
    <row r="33" spans="1:19" x14ac:dyDescent="0.25">
      <c r="A33" s="701" t="s">
        <v>1428</v>
      </c>
      <c r="B33" s="702"/>
      <c r="C33" s="702"/>
      <c r="D33" s="702"/>
      <c r="E33" s="702"/>
      <c r="F33" s="702"/>
      <c r="G33" s="702"/>
      <c r="H33" s="702"/>
      <c r="I33" s="702"/>
    </row>
    <row r="34" spans="1:19" x14ac:dyDescent="0.25">
      <c r="A34" s="702" t="s">
        <v>1429</v>
      </c>
      <c r="B34" s="703" t="s">
        <v>1430</v>
      </c>
      <c r="C34" s="702" t="s">
        <v>1431</v>
      </c>
      <c r="D34" s="702"/>
      <c r="E34" s="702"/>
      <c r="F34" s="702"/>
      <c r="G34" s="702"/>
      <c r="H34" s="702"/>
      <c r="I34" s="702"/>
    </row>
    <row r="35" spans="1:19" x14ac:dyDescent="0.25">
      <c r="A35" s="702" t="s">
        <v>1420</v>
      </c>
      <c r="B35" s="703" t="s">
        <v>1430</v>
      </c>
      <c r="C35" s="702" t="s">
        <v>1432</v>
      </c>
      <c r="D35" s="702"/>
      <c r="E35" s="702"/>
      <c r="F35" s="702"/>
      <c r="G35" s="702"/>
      <c r="H35" s="702"/>
      <c r="I35" s="702"/>
    </row>
    <row r="36" spans="1:19" x14ac:dyDescent="0.25">
      <c r="A36" s="702" t="s">
        <v>1417</v>
      </c>
      <c r="B36" s="703" t="s">
        <v>1430</v>
      </c>
      <c r="C36" s="702" t="s">
        <v>1433</v>
      </c>
      <c r="D36" s="702"/>
      <c r="E36" s="702"/>
      <c r="F36" s="702"/>
      <c r="G36" s="702"/>
      <c r="H36" s="702"/>
      <c r="I36" s="702"/>
    </row>
    <row r="37" spans="1:19" ht="14.4" x14ac:dyDescent="0.35">
      <c r="A37" s="702" t="s">
        <v>1434</v>
      </c>
      <c r="B37" s="703" t="s">
        <v>1430</v>
      </c>
      <c r="C37" s="702" t="s">
        <v>1435</v>
      </c>
      <c r="D37" s="702"/>
      <c r="E37" s="702"/>
      <c r="F37" s="702"/>
      <c r="G37" s="702"/>
      <c r="H37" s="702"/>
      <c r="I37" s="702"/>
    </row>
    <row r="38" spans="1:19" x14ac:dyDescent="0.25">
      <c r="A38" s="702" t="s">
        <v>1436</v>
      </c>
      <c r="B38" s="703" t="s">
        <v>1430</v>
      </c>
      <c r="C38" s="702" t="s">
        <v>781</v>
      </c>
      <c r="D38" s="702"/>
      <c r="E38" s="702"/>
      <c r="F38" s="702"/>
      <c r="G38" s="702"/>
      <c r="H38" s="702"/>
      <c r="I38" s="702"/>
    </row>
    <row r="39" spans="1:19" ht="12" customHeight="1" x14ac:dyDescent="0.35">
      <c r="A39" s="702" t="s">
        <v>1437</v>
      </c>
      <c r="B39" s="703" t="s">
        <v>1430</v>
      </c>
      <c r="C39" s="1314" t="s">
        <v>1438</v>
      </c>
      <c r="D39" s="1314"/>
      <c r="E39" s="1314"/>
      <c r="F39" s="1314"/>
      <c r="G39" s="1314"/>
      <c r="H39" s="1314"/>
      <c r="I39" s="1314"/>
    </row>
    <row r="40" spans="1:19" ht="14.4" x14ac:dyDescent="0.35">
      <c r="A40" s="702" t="s">
        <v>1439</v>
      </c>
      <c r="B40" s="703" t="s">
        <v>1430</v>
      </c>
      <c r="C40" s="702" t="s">
        <v>1440</v>
      </c>
      <c r="D40" s="702"/>
      <c r="E40" s="702"/>
      <c r="F40" s="702"/>
      <c r="G40" s="702"/>
      <c r="H40" s="702"/>
      <c r="I40" s="702"/>
    </row>
    <row r="41" spans="1:19" ht="14.4" x14ac:dyDescent="0.35">
      <c r="A41" s="702" t="s">
        <v>1441</v>
      </c>
      <c r="B41" s="703" t="s">
        <v>1430</v>
      </c>
      <c r="C41" s="702" t="s">
        <v>1442</v>
      </c>
      <c r="D41" s="702"/>
      <c r="E41" s="702"/>
      <c r="F41" s="702"/>
      <c r="G41" s="702"/>
      <c r="H41" s="702"/>
      <c r="I41" s="702"/>
    </row>
    <row r="42" spans="1:19" ht="14.4" x14ac:dyDescent="0.35">
      <c r="A42" s="702" t="s">
        <v>1443</v>
      </c>
      <c r="B42" s="703" t="s">
        <v>1430</v>
      </c>
      <c r="C42" s="702" t="s">
        <v>1444</v>
      </c>
      <c r="D42" s="702"/>
      <c r="E42" s="702"/>
      <c r="F42" s="702"/>
      <c r="G42" s="702"/>
      <c r="H42" s="702"/>
      <c r="I42" s="702"/>
    </row>
    <row r="44" spans="1:19" x14ac:dyDescent="0.25">
      <c r="A44" s="1309" t="s">
        <v>1445</v>
      </c>
      <c r="B44" s="1309"/>
      <c r="C44" s="1309"/>
      <c r="D44" s="1309"/>
      <c r="E44" s="1309"/>
      <c r="F44" s="1309"/>
      <c r="G44" s="1309"/>
      <c r="H44" s="1309"/>
      <c r="I44" s="1309"/>
      <c r="J44" s="1309"/>
      <c r="K44" s="1309"/>
    </row>
    <row r="46" spans="1:19" ht="12" customHeight="1" x14ac:dyDescent="0.35">
      <c r="A46" s="1311" t="s">
        <v>1420</v>
      </c>
      <c r="B46" s="704" t="s">
        <v>1421</v>
      </c>
      <c r="C46" s="705" t="s">
        <v>1446</v>
      </c>
      <c r="D46" s="1315" t="s">
        <v>1422</v>
      </c>
      <c r="E46" s="705" t="s">
        <v>1447</v>
      </c>
      <c r="F46" s="1315" t="s">
        <v>1423</v>
      </c>
      <c r="G46" s="705" t="s">
        <v>1448</v>
      </c>
      <c r="H46" s="1316" t="s">
        <v>1424</v>
      </c>
      <c r="I46" s="1316"/>
      <c r="J46" s="706" t="s">
        <v>1449</v>
      </c>
      <c r="M46" s="1311" t="s">
        <v>1420</v>
      </c>
      <c r="N46" s="707" t="s">
        <v>1446</v>
      </c>
      <c r="O46" s="708" t="s">
        <v>1447</v>
      </c>
      <c r="P46" s="709" t="s">
        <v>1448</v>
      </c>
      <c r="Q46" s="710" t="s">
        <v>1449</v>
      </c>
      <c r="R46" s="711" t="s">
        <v>1450</v>
      </c>
      <c r="S46" s="712" t="s">
        <v>1451</v>
      </c>
    </row>
    <row r="47" spans="1:19" ht="14.4" x14ac:dyDescent="0.35">
      <c r="A47" s="1311"/>
      <c r="B47" s="713" t="s">
        <v>1425</v>
      </c>
      <c r="C47" s="714" t="s">
        <v>1452</v>
      </c>
      <c r="D47" s="1315"/>
      <c r="E47" s="714" t="s">
        <v>1452</v>
      </c>
      <c r="F47" s="1315"/>
      <c r="G47" s="714" t="s">
        <v>1452</v>
      </c>
      <c r="H47" s="715" t="s">
        <v>1426</v>
      </c>
      <c r="I47" s="716" t="s">
        <v>1427</v>
      </c>
      <c r="J47" s="714" t="s">
        <v>1452</v>
      </c>
      <c r="M47" s="1311"/>
      <c r="N47" s="707" t="s">
        <v>1452</v>
      </c>
      <c r="O47" s="707" t="s">
        <v>1452</v>
      </c>
      <c r="P47" s="707" t="s">
        <v>1452</v>
      </c>
      <c r="Q47" s="707" t="s">
        <v>1452</v>
      </c>
      <c r="R47" s="707" t="s">
        <v>1452</v>
      </c>
      <c r="S47" s="707" t="s">
        <v>1452</v>
      </c>
    </row>
    <row r="48" spans="1:19" x14ac:dyDescent="0.25">
      <c r="A48" s="697">
        <v>0.2</v>
      </c>
      <c r="B48" s="717">
        <f t="shared" ref="B48:B56" si="0">B11</f>
        <v>1.663</v>
      </c>
      <c r="C48" s="718">
        <f t="shared" ref="C48:C56" si="1">(B48*$B$5*$F$5)/$H$5</f>
        <v>1.0680275046861401</v>
      </c>
      <c r="D48" s="719">
        <f t="shared" ref="D48:D56" si="2">C11</f>
        <v>0.61599999999999999</v>
      </c>
      <c r="E48" s="718">
        <f t="shared" ref="E48:E56" si="3">C48*D48</f>
        <v>0.65790494288666224</v>
      </c>
      <c r="F48" s="719">
        <f t="shared" ref="F48:F56" si="4">D11</f>
        <v>0.35</v>
      </c>
      <c r="G48" s="718">
        <f t="shared" ref="G48:G56" si="5">F48*C48</f>
        <v>0.373809626640149</v>
      </c>
      <c r="H48" s="720">
        <f t="shared" ref="H48:H56" si="6">E11</f>
        <v>5.2600000000000001E-2</v>
      </c>
      <c r="I48" s="720">
        <f t="shared" ref="I48:I56" si="7">F11</f>
        <v>4.0000000000000001E-3</v>
      </c>
      <c r="J48" s="720">
        <f t="shared" ref="J48:J56" si="8">(H48-(I48*$H$5))*$B$5</f>
        <v>0.22349583381285432</v>
      </c>
      <c r="M48" s="697">
        <v>0.2</v>
      </c>
      <c r="N48" s="721">
        <f t="shared" ref="N48:N56" si="9">C48</f>
        <v>1.0680275046861401</v>
      </c>
      <c r="O48" s="721">
        <f t="shared" ref="O48:O56" si="10">E48</f>
        <v>0.65790494288666224</v>
      </c>
      <c r="P48" s="721">
        <f t="shared" ref="P48:P56" si="11">G48</f>
        <v>0.373809626640149</v>
      </c>
      <c r="Q48" s="721">
        <f t="shared" ref="Q48:Q56" si="12">J48</f>
        <v>0.22349583381285432</v>
      </c>
      <c r="R48" s="722">
        <f t="shared" ref="R48:R56" si="13">-(N48-O48)</f>
        <v>-0.41012256179947781</v>
      </c>
      <c r="S48" s="722">
        <f t="shared" ref="S48:S56" si="14">O48-P48</f>
        <v>0.28409531624651324</v>
      </c>
    </row>
    <row r="49" spans="1:25" x14ac:dyDescent="0.25">
      <c r="A49" s="697">
        <v>0.3</v>
      </c>
      <c r="B49" s="717">
        <f t="shared" si="0"/>
        <v>1.8320000000000001</v>
      </c>
      <c r="C49" s="718">
        <f t="shared" si="1"/>
        <v>1.1765642745550262</v>
      </c>
      <c r="D49" s="719">
        <f t="shared" si="2"/>
        <v>0.61099999999999999</v>
      </c>
      <c r="E49" s="719">
        <f t="shared" si="3"/>
        <v>0.71888077175312104</v>
      </c>
      <c r="F49" s="719">
        <f t="shared" si="4"/>
        <v>0.35</v>
      </c>
      <c r="G49" s="719">
        <f t="shared" si="5"/>
        <v>0.41179749609425914</v>
      </c>
      <c r="H49" s="720">
        <f t="shared" si="6"/>
        <v>4.6399999999999997E-2</v>
      </c>
      <c r="I49" s="720">
        <f t="shared" si="7"/>
        <v>3.5000000000000001E-3</v>
      </c>
      <c r="J49" s="720">
        <f t="shared" si="8"/>
        <v>0.19762316339609529</v>
      </c>
      <c r="M49" s="697">
        <v>0.3</v>
      </c>
      <c r="N49" s="721">
        <f t="shared" si="9"/>
        <v>1.1765642745550262</v>
      </c>
      <c r="O49" s="721">
        <f t="shared" si="10"/>
        <v>0.71888077175312104</v>
      </c>
      <c r="P49" s="721">
        <f t="shared" si="11"/>
        <v>0.41179749609425914</v>
      </c>
      <c r="Q49" s="721">
        <f t="shared" si="12"/>
        <v>0.19762316339609529</v>
      </c>
      <c r="R49" s="722">
        <f t="shared" si="13"/>
        <v>-0.45768350280190517</v>
      </c>
      <c r="S49" s="722">
        <f t="shared" si="14"/>
        <v>0.3070832756588619</v>
      </c>
    </row>
    <row r="50" spans="1:25" x14ac:dyDescent="0.25">
      <c r="A50" s="697">
        <v>0.4</v>
      </c>
      <c r="B50" s="717">
        <f t="shared" si="0"/>
        <v>2</v>
      </c>
      <c r="C50" s="718">
        <f t="shared" si="1"/>
        <v>1.284458815016404</v>
      </c>
      <c r="D50" s="719">
        <f t="shared" si="2"/>
        <v>0.59899999999999998</v>
      </c>
      <c r="E50" s="719">
        <f t="shared" si="3"/>
        <v>0.76939083019482601</v>
      </c>
      <c r="F50" s="719">
        <f t="shared" si="4"/>
        <v>0.35099999999999998</v>
      </c>
      <c r="G50" s="719">
        <f t="shared" si="5"/>
        <v>0.45084504407075776</v>
      </c>
      <c r="H50" s="720">
        <f t="shared" si="6"/>
        <v>4.02E-2</v>
      </c>
      <c r="I50" s="720">
        <f t="shared" si="7"/>
        <v>3.0000000000000001E-3</v>
      </c>
      <c r="J50" s="720">
        <f t="shared" si="8"/>
        <v>0.17175049297933631</v>
      </c>
      <c r="M50" s="697">
        <v>0.4</v>
      </c>
      <c r="N50" s="721">
        <f t="shared" si="9"/>
        <v>1.284458815016404</v>
      </c>
      <c r="O50" s="721">
        <f t="shared" si="10"/>
        <v>0.76939083019482601</v>
      </c>
      <c r="P50" s="721">
        <f t="shared" si="11"/>
        <v>0.45084504407075776</v>
      </c>
      <c r="Q50" s="721">
        <f t="shared" si="12"/>
        <v>0.17175049297933631</v>
      </c>
      <c r="R50" s="722">
        <f t="shared" si="13"/>
        <v>-0.51506798482157801</v>
      </c>
      <c r="S50" s="722">
        <f t="shared" si="14"/>
        <v>0.31854578612406825</v>
      </c>
    </row>
    <row r="51" spans="1:25" x14ac:dyDescent="0.25">
      <c r="A51" s="697">
        <v>0.5</v>
      </c>
      <c r="B51" s="717">
        <f t="shared" si="0"/>
        <v>2.12</v>
      </c>
      <c r="C51" s="718">
        <f t="shared" si="1"/>
        <v>1.3615263439173884</v>
      </c>
      <c r="D51" s="719">
        <f t="shared" si="2"/>
        <v>0.58299999999999996</v>
      </c>
      <c r="E51" s="719">
        <f t="shared" si="3"/>
        <v>0.79376985850383741</v>
      </c>
      <c r="F51" s="719">
        <f t="shared" si="4"/>
        <v>0.35499999999999998</v>
      </c>
      <c r="G51" s="719">
        <f t="shared" si="5"/>
        <v>0.48334185209067282</v>
      </c>
      <c r="H51" s="720">
        <f t="shared" si="6"/>
        <v>3.4000000000000002E-2</v>
      </c>
      <c r="I51" s="720">
        <f t="shared" si="7"/>
        <v>2.5000000000000001E-3</v>
      </c>
      <c r="J51" s="720">
        <f t="shared" si="8"/>
        <v>0.14587782256257734</v>
      </c>
      <c r="M51" s="697">
        <v>0.5</v>
      </c>
      <c r="N51" s="721">
        <f t="shared" si="9"/>
        <v>1.3615263439173884</v>
      </c>
      <c r="O51" s="721">
        <f t="shared" si="10"/>
        <v>0.79376985850383741</v>
      </c>
      <c r="P51" s="721">
        <f t="shared" si="11"/>
        <v>0.48334185209067282</v>
      </c>
      <c r="Q51" s="721">
        <f t="shared" si="12"/>
        <v>0.14587782256257734</v>
      </c>
      <c r="R51" s="722">
        <f t="shared" si="13"/>
        <v>-0.56775648541355095</v>
      </c>
      <c r="S51" s="722">
        <f t="shared" si="14"/>
        <v>0.31042800641316459</v>
      </c>
    </row>
    <row r="52" spans="1:25" x14ac:dyDescent="0.25">
      <c r="A52" s="697">
        <v>0.6</v>
      </c>
      <c r="B52" s="717">
        <f t="shared" si="0"/>
        <v>2.1859999999999999</v>
      </c>
      <c r="C52" s="718">
        <f t="shared" si="1"/>
        <v>1.4039134848129295</v>
      </c>
      <c r="D52" s="719">
        <f t="shared" si="2"/>
        <v>0.55800000000000005</v>
      </c>
      <c r="E52" s="719">
        <f t="shared" si="3"/>
        <v>0.78338372452561478</v>
      </c>
      <c r="F52" s="719">
        <f t="shared" si="4"/>
        <v>0.38900000000000001</v>
      </c>
      <c r="G52" s="719">
        <f t="shared" si="5"/>
        <v>0.54612234559222961</v>
      </c>
      <c r="H52" s="720">
        <f t="shared" si="6"/>
        <v>2.7799999999999998E-2</v>
      </c>
      <c r="I52" s="720">
        <f t="shared" si="7"/>
        <v>2E-3</v>
      </c>
      <c r="J52" s="720">
        <f t="shared" si="8"/>
        <v>0.12000515214581833</v>
      </c>
      <c r="M52" s="697">
        <v>0.6</v>
      </c>
      <c r="N52" s="721">
        <f t="shared" si="9"/>
        <v>1.4039134848129295</v>
      </c>
      <c r="O52" s="721">
        <f t="shared" si="10"/>
        <v>0.78338372452561478</v>
      </c>
      <c r="P52" s="721">
        <f t="shared" si="11"/>
        <v>0.54612234559222961</v>
      </c>
      <c r="Q52" s="721">
        <f t="shared" si="12"/>
        <v>0.12000515214581833</v>
      </c>
      <c r="R52" s="722">
        <f t="shared" si="13"/>
        <v>-0.62052976028731477</v>
      </c>
      <c r="S52" s="722">
        <f t="shared" si="14"/>
        <v>0.23726137893338517</v>
      </c>
    </row>
    <row r="53" spans="1:25" x14ac:dyDescent="0.25">
      <c r="A53" s="697">
        <v>0.7</v>
      </c>
      <c r="B53" s="717">
        <f t="shared" si="0"/>
        <v>2.1680000000000001</v>
      </c>
      <c r="C53" s="718">
        <f t="shared" si="1"/>
        <v>1.3923533554777823</v>
      </c>
      <c r="D53" s="719">
        <f t="shared" si="2"/>
        <v>0.52600000000000002</v>
      </c>
      <c r="E53" s="719">
        <f t="shared" si="3"/>
        <v>0.73237786498131352</v>
      </c>
      <c r="F53" s="719">
        <f t="shared" si="4"/>
        <v>0.442</v>
      </c>
      <c r="G53" s="719">
        <f t="shared" si="5"/>
        <v>0.61542018312117974</v>
      </c>
      <c r="H53" s="720">
        <f t="shared" si="6"/>
        <v>2.1600000000000001E-2</v>
      </c>
      <c r="I53" s="720">
        <f t="shared" si="7"/>
        <v>1.5E-3</v>
      </c>
      <c r="J53" s="720">
        <f t="shared" si="8"/>
        <v>9.4132481729059331E-2</v>
      </c>
      <c r="M53" s="697">
        <v>0.7</v>
      </c>
      <c r="N53" s="721">
        <f t="shared" si="9"/>
        <v>1.3923533554777823</v>
      </c>
      <c r="O53" s="721">
        <f t="shared" si="10"/>
        <v>0.73237786498131352</v>
      </c>
      <c r="P53" s="721">
        <f t="shared" si="11"/>
        <v>0.61542018312117974</v>
      </c>
      <c r="Q53" s="721">
        <f t="shared" si="12"/>
        <v>9.4132481729059331E-2</v>
      </c>
      <c r="R53" s="722">
        <f t="shared" si="13"/>
        <v>-0.65997549049646875</v>
      </c>
      <c r="S53" s="722">
        <f t="shared" si="14"/>
        <v>0.11695768186013378</v>
      </c>
    </row>
    <row r="54" spans="1:25" x14ac:dyDescent="0.25">
      <c r="A54" s="697">
        <v>0.8</v>
      </c>
      <c r="B54" s="717">
        <f t="shared" si="0"/>
        <v>2.1269999999999998</v>
      </c>
      <c r="C54" s="718">
        <f t="shared" si="1"/>
        <v>1.3660219497699455</v>
      </c>
      <c r="D54" s="719">
        <f t="shared" si="2"/>
        <v>0.48099999999999998</v>
      </c>
      <c r="E54" s="719">
        <f t="shared" si="3"/>
        <v>0.6570565578393438</v>
      </c>
      <c r="F54" s="719">
        <f t="shared" si="4"/>
        <v>0.47799999999999998</v>
      </c>
      <c r="G54" s="719">
        <f t="shared" si="5"/>
        <v>0.65295849199003397</v>
      </c>
      <c r="H54" s="720">
        <f t="shared" si="6"/>
        <v>1.54E-2</v>
      </c>
      <c r="I54" s="720">
        <f t="shared" si="7"/>
        <v>1E-3</v>
      </c>
      <c r="J54" s="720">
        <f t="shared" si="8"/>
        <v>6.8259811312300342E-2</v>
      </c>
      <c r="M54" s="697">
        <v>0.8</v>
      </c>
      <c r="N54" s="721">
        <f t="shared" si="9"/>
        <v>1.3660219497699455</v>
      </c>
      <c r="O54" s="721">
        <f t="shared" si="10"/>
        <v>0.6570565578393438</v>
      </c>
      <c r="P54" s="721">
        <f t="shared" si="11"/>
        <v>0.65295849199003397</v>
      </c>
      <c r="Q54" s="721">
        <f t="shared" si="12"/>
        <v>6.8259811312300342E-2</v>
      </c>
      <c r="R54" s="722">
        <f t="shared" si="13"/>
        <v>-0.70896539193060171</v>
      </c>
      <c r="S54" s="722">
        <f t="shared" si="14"/>
        <v>4.0980658493098288E-3</v>
      </c>
    </row>
    <row r="55" spans="1:25" x14ac:dyDescent="0.25">
      <c r="A55" s="697">
        <v>0.9</v>
      </c>
      <c r="B55" s="717">
        <f t="shared" si="0"/>
        <v>1.657</v>
      </c>
      <c r="C55" s="718">
        <f t="shared" si="1"/>
        <v>1.0641741282410908</v>
      </c>
      <c r="D55" s="719">
        <f t="shared" si="2"/>
        <v>0.4</v>
      </c>
      <c r="E55" s="719">
        <f t="shared" si="3"/>
        <v>0.42566965129643636</v>
      </c>
      <c r="F55" s="719">
        <f t="shared" si="4"/>
        <v>0.5</v>
      </c>
      <c r="G55" s="719">
        <f t="shared" si="5"/>
        <v>0.53208706412054541</v>
      </c>
      <c r="H55" s="720">
        <f t="shared" si="6"/>
        <v>9.1999999999999998E-3</v>
      </c>
      <c r="I55" s="720">
        <f t="shared" si="7"/>
        <v>5.0000000000000001E-4</v>
      </c>
      <c r="J55" s="720">
        <f t="shared" si="8"/>
        <v>4.2387140895541339E-2</v>
      </c>
      <c r="M55" s="697">
        <v>0.9</v>
      </c>
      <c r="N55" s="721">
        <f t="shared" si="9"/>
        <v>1.0641741282410908</v>
      </c>
      <c r="O55" s="721">
        <f t="shared" si="10"/>
        <v>0.42566965129643636</v>
      </c>
      <c r="P55" s="721">
        <f t="shared" si="11"/>
        <v>0.53208706412054541</v>
      </c>
      <c r="Q55" s="721">
        <f t="shared" si="12"/>
        <v>4.2387140895541339E-2</v>
      </c>
      <c r="R55" s="722">
        <f t="shared" si="13"/>
        <v>-0.6385044769446544</v>
      </c>
      <c r="S55" s="722">
        <f t="shared" si="14"/>
        <v>-0.10641741282410905</v>
      </c>
    </row>
    <row r="56" spans="1:25" x14ac:dyDescent="0.25">
      <c r="A56" s="697">
        <v>1</v>
      </c>
      <c r="B56" s="717">
        <f t="shared" si="0"/>
        <v>0</v>
      </c>
      <c r="C56" s="718">
        <f t="shared" si="1"/>
        <v>0</v>
      </c>
      <c r="D56" s="719">
        <f t="shared" si="2"/>
        <v>0</v>
      </c>
      <c r="E56" s="719">
        <f t="shared" si="3"/>
        <v>0</v>
      </c>
      <c r="F56" s="719">
        <f t="shared" si="4"/>
        <v>0</v>
      </c>
      <c r="G56" s="719">
        <f t="shared" si="5"/>
        <v>0</v>
      </c>
      <c r="H56" s="720">
        <f t="shared" si="6"/>
        <v>3.0000000000000001E-3</v>
      </c>
      <c r="I56" s="720">
        <f t="shared" si="7"/>
        <v>0</v>
      </c>
      <c r="J56" s="720">
        <f t="shared" si="8"/>
        <v>1.651447047878234E-2</v>
      </c>
      <c r="M56" s="697">
        <v>1</v>
      </c>
      <c r="N56" s="719">
        <f t="shared" si="9"/>
        <v>0</v>
      </c>
      <c r="O56" s="719">
        <f t="shared" si="10"/>
        <v>0</v>
      </c>
      <c r="P56" s="719">
        <f t="shared" si="11"/>
        <v>0</v>
      </c>
      <c r="Q56" s="719">
        <f t="shared" si="12"/>
        <v>1.651447047878234E-2</v>
      </c>
      <c r="R56" s="723">
        <f t="shared" si="13"/>
        <v>0</v>
      </c>
      <c r="S56" s="723">
        <f t="shared" si="14"/>
        <v>0</v>
      </c>
    </row>
    <row r="58" spans="1:25" ht="12" customHeight="1" x14ac:dyDescent="0.25">
      <c r="A58" s="1309" t="s">
        <v>1453</v>
      </c>
      <c r="B58" s="1309"/>
      <c r="C58" s="1309"/>
      <c r="D58" s="1309"/>
      <c r="E58" s="1309"/>
      <c r="F58" s="1309"/>
      <c r="G58" s="1309"/>
      <c r="H58" s="1309"/>
      <c r="I58" s="1309"/>
      <c r="J58" s="1309"/>
      <c r="K58" s="1309"/>
      <c r="N58" s="1317" t="s">
        <v>1454</v>
      </c>
      <c r="O58" s="1317"/>
      <c r="P58" s="1317"/>
      <c r="Q58" s="1317"/>
      <c r="R58" s="1317"/>
      <c r="S58" s="1317"/>
      <c r="T58" s="1317"/>
      <c r="U58" s="1317"/>
      <c r="V58" s="1317"/>
      <c r="W58" s="1317"/>
      <c r="X58" s="1317"/>
      <c r="Y58" s="1317"/>
    </row>
    <row r="59" spans="1:25" ht="12" customHeight="1" x14ac:dyDescent="0.25">
      <c r="A59" s="1311" t="s">
        <v>1420</v>
      </c>
      <c r="B59" s="1313" t="s">
        <v>1455</v>
      </c>
      <c r="C59" s="1313"/>
      <c r="D59" s="1313"/>
      <c r="E59" s="1313"/>
      <c r="F59" s="1313"/>
      <c r="G59" s="1313"/>
      <c r="H59" s="1313"/>
      <c r="I59" s="1313"/>
      <c r="J59" s="1313"/>
      <c r="K59" s="1313"/>
      <c r="N59" s="1317"/>
      <c r="O59" s="1317"/>
      <c r="P59" s="1317"/>
      <c r="Q59" s="1317"/>
      <c r="R59" s="1317"/>
      <c r="S59" s="1317"/>
      <c r="T59" s="1317"/>
      <c r="U59" s="1317"/>
      <c r="V59" s="1317"/>
      <c r="W59" s="1317"/>
      <c r="X59" s="1317"/>
      <c r="Y59" s="1317"/>
    </row>
    <row r="60" spans="1:25" ht="12" customHeight="1" x14ac:dyDescent="0.25">
      <c r="A60" s="1311"/>
      <c r="B60" s="724">
        <v>-1</v>
      </c>
      <c r="C60" s="724">
        <v>-0.95</v>
      </c>
      <c r="D60" s="724">
        <v>-0.9</v>
      </c>
      <c r="E60" s="724">
        <v>-0.8</v>
      </c>
      <c r="F60" s="724">
        <v>-0.7</v>
      </c>
      <c r="G60" s="724">
        <v>-0.6</v>
      </c>
      <c r="H60" s="724">
        <v>-0.5</v>
      </c>
      <c r="I60" s="724">
        <v>-0.4</v>
      </c>
      <c r="J60" s="724">
        <v>-0.2</v>
      </c>
      <c r="K60" s="725">
        <v>0</v>
      </c>
      <c r="N60" s="1318" t="s">
        <v>1456</v>
      </c>
      <c r="O60" s="1318"/>
      <c r="P60" s="1318"/>
      <c r="Q60" s="1318"/>
      <c r="R60" s="1318"/>
      <c r="S60" s="1318"/>
      <c r="T60" s="1318"/>
      <c r="U60" s="1318"/>
      <c r="V60" s="1318"/>
      <c r="W60" s="1318"/>
      <c r="X60" s="1318"/>
      <c r="Y60" s="1318"/>
    </row>
    <row r="61" spans="1:25" x14ac:dyDescent="0.25">
      <c r="A61" s="726">
        <v>0.2</v>
      </c>
      <c r="B61" s="727">
        <v>0.28260000000000002</v>
      </c>
      <c r="C61" s="727">
        <v>0.26300000000000001</v>
      </c>
      <c r="D61" s="727">
        <v>0.24</v>
      </c>
      <c r="E61" s="727">
        <v>0.19670000000000001</v>
      </c>
      <c r="F61" s="727">
        <v>0.157</v>
      </c>
      <c r="G61" s="727">
        <v>0.1207</v>
      </c>
      <c r="H61" s="727">
        <v>8.7999999999999995E-2</v>
      </c>
      <c r="I61" s="727">
        <v>5.9200000000000003E-2</v>
      </c>
      <c r="J61" s="727">
        <v>1.72E-2</v>
      </c>
      <c r="K61" s="727">
        <v>0</v>
      </c>
      <c r="N61" s="1318"/>
      <c r="O61" s="1318"/>
      <c r="P61" s="1318"/>
      <c r="Q61" s="1318"/>
      <c r="R61" s="1318"/>
      <c r="S61" s="1318"/>
      <c r="T61" s="1318"/>
      <c r="U61" s="1318"/>
      <c r="V61" s="1318"/>
      <c r="W61" s="1318"/>
      <c r="X61" s="1318"/>
      <c r="Y61" s="1318"/>
    </row>
    <row r="62" spans="1:25" x14ac:dyDescent="0.25">
      <c r="A62" s="727">
        <v>0.3</v>
      </c>
      <c r="B62" s="727">
        <v>0.2306</v>
      </c>
      <c r="C62" s="727">
        <v>0.20399999999999999</v>
      </c>
      <c r="D62" s="727">
        <v>0.17899999999999999</v>
      </c>
      <c r="E62" s="727">
        <v>0.1333</v>
      </c>
      <c r="F62" s="727">
        <v>9.4299999999999995E-2</v>
      </c>
      <c r="G62" s="727">
        <v>6.2300000000000001E-2</v>
      </c>
      <c r="H62" s="727">
        <v>3.7600000000000001E-2</v>
      </c>
      <c r="I62" s="727">
        <v>2.0199999999999999E-2</v>
      </c>
      <c r="J62" s="727">
        <v>3.3E-3</v>
      </c>
      <c r="K62" s="727">
        <v>0</v>
      </c>
    </row>
    <row r="63" spans="1:25" x14ac:dyDescent="0.25">
      <c r="A63" s="727">
        <v>0.4</v>
      </c>
      <c r="B63" s="727">
        <v>0.1467</v>
      </c>
      <c r="C63" s="727">
        <v>0.12</v>
      </c>
      <c r="D63" s="727">
        <v>9.7199999999999995E-2</v>
      </c>
      <c r="E63" s="727">
        <v>6.3E-2</v>
      </c>
      <c r="F63" s="727">
        <v>3.95E-2</v>
      </c>
      <c r="G63" s="727">
        <v>2.1399999999999999E-2</v>
      </c>
      <c r="H63" s="727">
        <v>1.1599999999999999E-2</v>
      </c>
      <c r="I63" s="727">
        <v>4.4000000000000003E-3</v>
      </c>
      <c r="J63" s="727">
        <v>0</v>
      </c>
      <c r="K63" s="727">
        <v>0</v>
      </c>
    </row>
    <row r="64" spans="1:25" x14ac:dyDescent="0.25">
      <c r="A64" s="727">
        <v>0.5</v>
      </c>
      <c r="B64" s="727">
        <v>5.2200000000000003E-2</v>
      </c>
      <c r="C64" s="727">
        <v>4.2000000000000003E-2</v>
      </c>
      <c r="D64" s="727">
        <v>3.3000000000000002E-2</v>
      </c>
      <c r="E64" s="727">
        <v>1.9E-2</v>
      </c>
      <c r="F64" s="727">
        <v>0.01</v>
      </c>
      <c r="G64" s="727">
        <v>4.0000000000000001E-3</v>
      </c>
      <c r="H64" s="727">
        <v>1.1999999999999999E-3</v>
      </c>
      <c r="I64" s="727">
        <v>0</v>
      </c>
      <c r="J64" s="727">
        <v>0</v>
      </c>
      <c r="K64" s="727">
        <v>0</v>
      </c>
    </row>
    <row r="65" spans="1:25" x14ac:dyDescent="0.25">
      <c r="A65" s="727">
        <v>0.6</v>
      </c>
      <c r="B65" s="727">
        <v>0</v>
      </c>
      <c r="C65" s="727">
        <v>0</v>
      </c>
      <c r="D65" s="727">
        <v>0</v>
      </c>
      <c r="E65" s="727">
        <v>0</v>
      </c>
      <c r="F65" s="727">
        <v>0</v>
      </c>
      <c r="G65" s="727">
        <v>0</v>
      </c>
      <c r="H65" s="727">
        <v>0</v>
      </c>
      <c r="I65" s="727">
        <v>0</v>
      </c>
      <c r="J65" s="727">
        <v>0</v>
      </c>
      <c r="K65" s="727">
        <v>0</v>
      </c>
    </row>
    <row r="66" spans="1:25" x14ac:dyDescent="0.25">
      <c r="A66" s="727">
        <v>0.7</v>
      </c>
      <c r="B66" s="727">
        <v>0</v>
      </c>
      <c r="C66" s="727">
        <v>0</v>
      </c>
      <c r="D66" s="727">
        <v>0</v>
      </c>
      <c r="E66" s="727">
        <v>0</v>
      </c>
      <c r="F66" s="727">
        <v>0</v>
      </c>
      <c r="G66" s="727">
        <v>0</v>
      </c>
      <c r="H66" s="727">
        <v>0</v>
      </c>
      <c r="I66" s="727">
        <v>0</v>
      </c>
      <c r="J66" s="727">
        <v>0</v>
      </c>
      <c r="K66" s="727">
        <v>0</v>
      </c>
    </row>
    <row r="67" spans="1:25" x14ac:dyDescent="0.25">
      <c r="A67" s="727">
        <v>0.8</v>
      </c>
      <c r="B67" s="727">
        <v>0</v>
      </c>
      <c r="C67" s="727">
        <v>0</v>
      </c>
      <c r="D67" s="727">
        <v>0</v>
      </c>
      <c r="E67" s="727">
        <v>0</v>
      </c>
      <c r="F67" s="727">
        <v>0</v>
      </c>
      <c r="G67" s="727">
        <v>0</v>
      </c>
      <c r="H67" s="727">
        <v>0</v>
      </c>
      <c r="I67" s="727">
        <v>0</v>
      </c>
      <c r="J67" s="727">
        <v>0</v>
      </c>
      <c r="K67" s="727">
        <v>0</v>
      </c>
    </row>
    <row r="68" spans="1:25" x14ac:dyDescent="0.25">
      <c r="A68" s="727">
        <v>0.9</v>
      </c>
      <c r="B68" s="727">
        <v>0</v>
      </c>
      <c r="C68" s="727">
        <v>0</v>
      </c>
      <c r="D68" s="727">
        <v>0</v>
      </c>
      <c r="E68" s="727">
        <v>0</v>
      </c>
      <c r="F68" s="727">
        <v>0</v>
      </c>
      <c r="G68" s="727">
        <v>0</v>
      </c>
      <c r="H68" s="727">
        <v>0</v>
      </c>
      <c r="I68" s="727">
        <v>0</v>
      </c>
      <c r="J68" s="727">
        <v>0</v>
      </c>
      <c r="K68" s="727">
        <v>0</v>
      </c>
    </row>
    <row r="69" spans="1:25" x14ac:dyDescent="0.25">
      <c r="A69" s="727">
        <v>1</v>
      </c>
      <c r="B69" s="727">
        <v>0</v>
      </c>
      <c r="C69" s="727">
        <v>0</v>
      </c>
      <c r="D69" s="727">
        <v>0</v>
      </c>
      <c r="E69" s="727">
        <v>0</v>
      </c>
      <c r="F69" s="727">
        <v>0</v>
      </c>
      <c r="G69" s="727">
        <v>0</v>
      </c>
      <c r="H69" s="727">
        <v>0</v>
      </c>
      <c r="I69" s="727">
        <v>0</v>
      </c>
      <c r="J69" s="727">
        <v>0</v>
      </c>
      <c r="K69" s="727">
        <v>0</v>
      </c>
    </row>
    <row r="70" spans="1:25" x14ac:dyDescent="0.25">
      <c r="A70" s="1319" t="s">
        <v>1457</v>
      </c>
      <c r="B70" s="1319"/>
      <c r="C70" s="1319"/>
      <c r="D70" s="1319"/>
      <c r="E70" s="1319"/>
      <c r="F70" s="1319"/>
      <c r="G70" s="1319"/>
      <c r="H70" s="1319"/>
      <c r="I70" s="1319"/>
      <c r="J70" s="1319"/>
      <c r="K70" s="1319"/>
    </row>
    <row r="72" spans="1:25" ht="12" customHeight="1" x14ac:dyDescent="0.25">
      <c r="A72" s="1311" t="s">
        <v>1420</v>
      </c>
      <c r="B72" s="1313" t="s">
        <v>1455</v>
      </c>
      <c r="C72" s="1313"/>
      <c r="D72" s="1313"/>
      <c r="E72" s="1313"/>
      <c r="F72" s="1313"/>
      <c r="G72" s="1313"/>
      <c r="H72" s="1313"/>
      <c r="I72" s="1313"/>
      <c r="J72" s="1313"/>
      <c r="K72" s="1313"/>
      <c r="L72" s="1313"/>
    </row>
    <row r="73" spans="1:25" x14ac:dyDescent="0.25">
      <c r="A73" s="1311"/>
      <c r="B73" s="725">
        <v>1</v>
      </c>
      <c r="C73" s="724">
        <v>0.95</v>
      </c>
      <c r="D73" s="724">
        <v>0.9</v>
      </c>
      <c r="E73" s="724">
        <v>0.85</v>
      </c>
      <c r="F73" s="724">
        <v>0.8</v>
      </c>
      <c r="G73" s="724">
        <v>0.7</v>
      </c>
      <c r="H73" s="724">
        <v>0.6</v>
      </c>
      <c r="I73" s="724">
        <v>0.5</v>
      </c>
      <c r="J73" s="724">
        <v>0.4</v>
      </c>
      <c r="K73" s="724">
        <v>0.2</v>
      </c>
      <c r="L73" s="725">
        <v>0</v>
      </c>
    </row>
    <row r="74" spans="1:25" x14ac:dyDescent="0.25">
      <c r="A74" s="728">
        <v>0.2</v>
      </c>
      <c r="B74" s="700">
        <v>0.35599999999999998</v>
      </c>
      <c r="C74" s="700">
        <v>0.28210000000000002</v>
      </c>
      <c r="D74" s="700">
        <v>0.23530000000000001</v>
      </c>
      <c r="E74" s="700">
        <v>0.2</v>
      </c>
      <c r="F74" s="700">
        <v>0.16850000000000001</v>
      </c>
      <c r="G74" s="700">
        <v>0.11799999999999999</v>
      </c>
      <c r="H74" s="700">
        <v>8.0399999999999999E-2</v>
      </c>
      <c r="I74" s="700">
        <v>5.1999999999999998E-2</v>
      </c>
      <c r="J74" s="700">
        <v>3.04E-2</v>
      </c>
      <c r="K74" s="729">
        <v>4.8999999999999998E-3</v>
      </c>
      <c r="L74" s="729">
        <v>0</v>
      </c>
    </row>
    <row r="75" spans="1:25" x14ac:dyDescent="0.25">
      <c r="A75" s="700">
        <v>0.3</v>
      </c>
      <c r="B75" s="700">
        <v>0.2923</v>
      </c>
      <c r="C75" s="700">
        <v>0.21859999999999999</v>
      </c>
      <c r="D75" s="700">
        <v>0.17599999999999999</v>
      </c>
      <c r="E75" s="700">
        <v>0.14449999999999999</v>
      </c>
      <c r="F75" s="700">
        <v>0.1191</v>
      </c>
      <c r="G75" s="700">
        <v>7.9000000000000001E-2</v>
      </c>
      <c r="H75" s="700">
        <v>5.0299999999999997E-2</v>
      </c>
      <c r="I75" s="700">
        <v>0.03</v>
      </c>
      <c r="J75" s="700">
        <v>1.4800000000000001E-2</v>
      </c>
      <c r="K75" s="729">
        <v>2.7000000000000001E-3</v>
      </c>
      <c r="L75" s="729">
        <v>0</v>
      </c>
    </row>
    <row r="76" spans="1:25" x14ac:dyDescent="0.25">
      <c r="A76" s="700">
        <v>0.4</v>
      </c>
      <c r="B76" s="700">
        <v>0.21809999999999999</v>
      </c>
      <c r="C76" s="700">
        <v>0.1467</v>
      </c>
      <c r="D76" s="700">
        <v>0.10879999999999999</v>
      </c>
      <c r="E76" s="700">
        <v>8.3299999999999999E-2</v>
      </c>
      <c r="F76" s="700">
        <v>6.3700000000000007E-2</v>
      </c>
      <c r="G76" s="700">
        <v>3.5700000000000003E-2</v>
      </c>
      <c r="H76" s="700">
        <v>1.89E-2</v>
      </c>
      <c r="I76" s="700">
        <v>8.9999999999999993E-3</v>
      </c>
      <c r="J76" s="700">
        <v>3.3E-3</v>
      </c>
      <c r="K76" s="729">
        <v>0</v>
      </c>
      <c r="L76" s="729">
        <v>0</v>
      </c>
    </row>
    <row r="77" spans="1:25" x14ac:dyDescent="0.25">
      <c r="A77" s="700">
        <v>0.5</v>
      </c>
      <c r="B77" s="700">
        <v>0.1278</v>
      </c>
      <c r="C77" s="700">
        <v>7.7799999999999994E-2</v>
      </c>
      <c r="D77" s="700">
        <v>0.05</v>
      </c>
      <c r="E77" s="700">
        <v>3.2800000000000003E-2</v>
      </c>
      <c r="F77" s="700">
        <v>2.1100000000000001E-2</v>
      </c>
      <c r="G77" s="700">
        <v>8.5000000000000006E-3</v>
      </c>
      <c r="H77" s="700">
        <v>3.3999999999999998E-3</v>
      </c>
      <c r="I77" s="700">
        <v>8.0000000000000004E-4</v>
      </c>
      <c r="J77" s="729">
        <v>0</v>
      </c>
      <c r="K77" s="729">
        <v>0</v>
      </c>
      <c r="L77" s="729">
        <v>0</v>
      </c>
    </row>
    <row r="78" spans="1:25" x14ac:dyDescent="0.25">
      <c r="A78" s="700">
        <v>0.6</v>
      </c>
      <c r="B78" s="700">
        <v>3.8199999999999998E-2</v>
      </c>
      <c r="C78" s="700">
        <v>1.6899999999999998E-2</v>
      </c>
      <c r="D78" s="700">
        <v>6.7000000000000002E-3</v>
      </c>
      <c r="E78" s="700">
        <v>2.2000000000000001E-3</v>
      </c>
      <c r="F78" s="700">
        <v>5.9999999999999995E-4</v>
      </c>
      <c r="G78" s="729">
        <v>0</v>
      </c>
      <c r="H78" s="729">
        <v>0</v>
      </c>
      <c r="I78" s="729">
        <v>0</v>
      </c>
      <c r="J78" s="729">
        <v>0</v>
      </c>
      <c r="K78" s="729">
        <v>0</v>
      </c>
      <c r="L78" s="729">
        <v>0</v>
      </c>
    </row>
    <row r="79" spans="1:25" x14ac:dyDescent="0.25">
      <c r="A79" s="700">
        <v>0.7</v>
      </c>
      <c r="B79" s="729">
        <v>0</v>
      </c>
      <c r="C79" s="729">
        <v>0</v>
      </c>
      <c r="D79" s="729">
        <v>0</v>
      </c>
      <c r="E79" s="729">
        <v>0</v>
      </c>
      <c r="F79" s="729">
        <v>0</v>
      </c>
      <c r="G79" s="729">
        <v>0</v>
      </c>
      <c r="H79" s="729">
        <v>0</v>
      </c>
      <c r="I79" s="729">
        <v>0</v>
      </c>
      <c r="J79" s="729">
        <v>0</v>
      </c>
      <c r="K79" s="729">
        <v>0</v>
      </c>
      <c r="L79" s="729">
        <v>0</v>
      </c>
      <c r="N79" s="1309" t="s">
        <v>1458</v>
      </c>
      <c r="O79" s="1309"/>
      <c r="P79" s="1309"/>
      <c r="Q79" s="1309"/>
      <c r="R79" s="1309"/>
      <c r="S79" s="1309"/>
      <c r="T79" s="1309"/>
      <c r="U79" s="1309"/>
      <c r="V79" s="1309"/>
      <c r="W79" s="1309"/>
      <c r="X79" s="1309"/>
      <c r="Y79" s="1309"/>
    </row>
    <row r="80" spans="1:25" ht="12" customHeight="1" x14ac:dyDescent="0.25">
      <c r="A80" s="700">
        <v>0.8</v>
      </c>
      <c r="B80" s="729">
        <v>0</v>
      </c>
      <c r="C80" s="729">
        <v>0</v>
      </c>
      <c r="D80" s="729">
        <v>0</v>
      </c>
      <c r="E80" s="729">
        <v>0</v>
      </c>
      <c r="F80" s="729">
        <v>0</v>
      </c>
      <c r="G80" s="729">
        <v>0</v>
      </c>
      <c r="H80" s="729">
        <v>0</v>
      </c>
      <c r="I80" s="729">
        <v>0</v>
      </c>
      <c r="J80" s="729">
        <v>0</v>
      </c>
      <c r="K80" s="729">
        <v>0</v>
      </c>
      <c r="L80" s="729">
        <v>0</v>
      </c>
      <c r="N80" s="1311" t="s">
        <v>1420</v>
      </c>
      <c r="O80" s="1313" t="s">
        <v>1455</v>
      </c>
      <c r="P80" s="1313"/>
      <c r="Q80" s="1313"/>
      <c r="R80" s="1313"/>
      <c r="S80" s="1313"/>
      <c r="T80" s="1313"/>
      <c r="U80" s="1313"/>
      <c r="V80" s="1313"/>
      <c r="W80" s="1313"/>
      <c r="X80" s="1313"/>
    </row>
    <row r="81" spans="1:25" x14ac:dyDescent="0.25">
      <c r="A81" s="700">
        <v>0.9</v>
      </c>
      <c r="B81" s="729">
        <v>0</v>
      </c>
      <c r="C81" s="729">
        <v>0</v>
      </c>
      <c r="D81" s="729">
        <v>0</v>
      </c>
      <c r="E81" s="729">
        <v>0</v>
      </c>
      <c r="F81" s="729">
        <v>0</v>
      </c>
      <c r="G81" s="729">
        <v>0</v>
      </c>
      <c r="H81" s="729">
        <v>0</v>
      </c>
      <c r="I81" s="729">
        <v>0</v>
      </c>
      <c r="J81" s="729">
        <v>0</v>
      </c>
      <c r="K81" s="729">
        <v>0</v>
      </c>
      <c r="L81" s="729">
        <v>0</v>
      </c>
      <c r="N81" s="1311"/>
      <c r="O81" s="730">
        <v>-1</v>
      </c>
      <c r="P81" s="730">
        <v>-0.95</v>
      </c>
      <c r="Q81" s="730">
        <v>-0.9</v>
      </c>
      <c r="R81" s="730">
        <v>-0.8</v>
      </c>
      <c r="S81" s="730">
        <v>-0.7</v>
      </c>
      <c r="T81" s="730">
        <v>-0.6</v>
      </c>
      <c r="U81" s="730">
        <v>-0.5</v>
      </c>
      <c r="V81" s="730">
        <v>-0.4</v>
      </c>
      <c r="W81" s="730">
        <v>-0.2</v>
      </c>
      <c r="X81" s="731">
        <v>0</v>
      </c>
    </row>
    <row r="82" spans="1:25" x14ac:dyDescent="0.25">
      <c r="A82" s="700">
        <v>1</v>
      </c>
      <c r="B82" s="729">
        <v>0</v>
      </c>
      <c r="C82" s="729">
        <v>0</v>
      </c>
      <c r="D82" s="729">
        <v>0</v>
      </c>
      <c r="E82" s="729">
        <v>0</v>
      </c>
      <c r="F82" s="729">
        <v>0</v>
      </c>
      <c r="G82" s="729">
        <v>0</v>
      </c>
      <c r="H82" s="729">
        <v>0</v>
      </c>
      <c r="I82" s="729">
        <v>0</v>
      </c>
      <c r="J82" s="729">
        <v>0</v>
      </c>
      <c r="K82" s="729">
        <v>0</v>
      </c>
      <c r="L82" s="729">
        <v>0</v>
      </c>
      <c r="N82" s="732">
        <v>0.2</v>
      </c>
      <c r="O82" s="721">
        <f t="shared" ref="O82:X82" si="15">B61*$J$48</f>
        <v>6.3159922635512636E-2</v>
      </c>
      <c r="P82" s="721">
        <f t="shared" si="15"/>
        <v>5.8779404292780689E-2</v>
      </c>
      <c r="Q82" s="721">
        <f t="shared" si="15"/>
        <v>5.3639000115085031E-2</v>
      </c>
      <c r="R82" s="721">
        <f t="shared" si="15"/>
        <v>4.3961630510988448E-2</v>
      </c>
      <c r="S82" s="721">
        <f t="shared" si="15"/>
        <v>3.5088845908618126E-2</v>
      </c>
      <c r="T82" s="721">
        <f t="shared" si="15"/>
        <v>2.6975947141211515E-2</v>
      </c>
      <c r="U82" s="721">
        <f t="shared" si="15"/>
        <v>1.9667633375531179E-2</v>
      </c>
      <c r="V82" s="721">
        <f t="shared" si="15"/>
        <v>1.3230953361720976E-2</v>
      </c>
      <c r="W82" s="721">
        <f t="shared" si="15"/>
        <v>3.8441283415810942E-3</v>
      </c>
      <c r="X82" s="733">
        <f t="shared" si="15"/>
        <v>0</v>
      </c>
    </row>
    <row r="83" spans="1:25" x14ac:dyDescent="0.25">
      <c r="N83" s="732">
        <v>0.3</v>
      </c>
      <c r="O83" s="721">
        <f t="shared" ref="O83:X83" si="16">B62*$J$49</f>
        <v>4.5571901479139573E-2</v>
      </c>
      <c r="P83" s="721">
        <f t="shared" si="16"/>
        <v>4.0315125332803438E-2</v>
      </c>
      <c r="Q83" s="721">
        <f t="shared" si="16"/>
        <v>3.5374546247901054E-2</v>
      </c>
      <c r="R83" s="721">
        <f t="shared" si="16"/>
        <v>2.6343167680699501E-2</v>
      </c>
      <c r="S83" s="721">
        <f t="shared" si="16"/>
        <v>1.8635864308251784E-2</v>
      </c>
      <c r="T83" s="721">
        <f t="shared" si="16"/>
        <v>1.2311923079576736E-2</v>
      </c>
      <c r="U83" s="721">
        <f t="shared" si="16"/>
        <v>7.4306309436931832E-3</v>
      </c>
      <c r="V83" s="721">
        <f t="shared" si="16"/>
        <v>3.9919879006011247E-3</v>
      </c>
      <c r="W83" s="721">
        <f t="shared" si="16"/>
        <v>6.5215643920711445E-4</v>
      </c>
      <c r="X83" s="733">
        <f t="shared" si="16"/>
        <v>0</v>
      </c>
    </row>
    <row r="84" spans="1:25" x14ac:dyDescent="0.25">
      <c r="A84" s="1309" t="s">
        <v>1459</v>
      </c>
      <c r="B84" s="1309"/>
      <c r="C84" s="1309"/>
      <c r="D84" s="1309"/>
      <c r="E84" s="1309"/>
      <c r="F84" s="1309"/>
      <c r="G84" s="1309"/>
      <c r="H84" s="1309"/>
      <c r="I84" s="1309"/>
      <c r="J84" s="1309"/>
      <c r="K84" s="1309"/>
      <c r="N84" s="732">
        <v>0.4</v>
      </c>
      <c r="O84" s="721">
        <f t="shared" ref="O84:X84" si="17">B63*$J$50</f>
        <v>2.5195797320068637E-2</v>
      </c>
      <c r="P84" s="721">
        <f t="shared" si="17"/>
        <v>2.0610059157520358E-2</v>
      </c>
      <c r="Q84" s="721">
        <f t="shared" si="17"/>
        <v>1.6694147917591488E-2</v>
      </c>
      <c r="R84" s="721">
        <f t="shared" si="17"/>
        <v>1.0820281057698188E-2</v>
      </c>
      <c r="S84" s="721">
        <f t="shared" si="17"/>
        <v>6.7841444726837842E-3</v>
      </c>
      <c r="T84" s="721">
        <f t="shared" si="17"/>
        <v>3.6754605497577968E-3</v>
      </c>
      <c r="U84" s="721">
        <f t="shared" si="17"/>
        <v>1.9923057185603009E-3</v>
      </c>
      <c r="V84" s="721">
        <f t="shared" si="17"/>
        <v>7.5570216910907984E-4</v>
      </c>
      <c r="W84" s="721">
        <f t="shared" si="17"/>
        <v>0</v>
      </c>
      <c r="X84" s="733">
        <f t="shared" si="17"/>
        <v>0</v>
      </c>
    </row>
    <row r="85" spans="1:25" ht="12" customHeight="1" x14ac:dyDescent="0.25">
      <c r="A85" s="1311" t="s">
        <v>1420</v>
      </c>
      <c r="B85" s="1313" t="s">
        <v>1455</v>
      </c>
      <c r="C85" s="1313"/>
      <c r="D85" s="1313"/>
      <c r="E85" s="1313"/>
      <c r="F85" s="1313"/>
      <c r="G85" s="1313"/>
      <c r="H85" s="1313"/>
      <c r="I85" s="1313"/>
      <c r="J85" s="1313"/>
      <c r="K85" s="1313"/>
      <c r="N85" s="732">
        <v>0.5</v>
      </c>
      <c r="O85" s="721">
        <f t="shared" ref="O85:X85" si="18">B64*$J$51</f>
        <v>7.6148223377665372E-3</v>
      </c>
      <c r="P85" s="721">
        <f t="shared" si="18"/>
        <v>6.1268685476282489E-3</v>
      </c>
      <c r="Q85" s="721">
        <f t="shared" si="18"/>
        <v>4.8139681445650527E-3</v>
      </c>
      <c r="R85" s="721">
        <f t="shared" si="18"/>
        <v>2.7716786286889694E-3</v>
      </c>
      <c r="S85" s="721">
        <f t="shared" si="18"/>
        <v>1.4587782256257735E-3</v>
      </c>
      <c r="T85" s="721">
        <f t="shared" si="18"/>
        <v>5.8351129025030935E-4</v>
      </c>
      <c r="U85" s="721">
        <f t="shared" si="18"/>
        <v>1.7505338707509278E-4</v>
      </c>
      <c r="V85" s="721">
        <f t="shared" si="18"/>
        <v>0</v>
      </c>
      <c r="W85" s="721">
        <f t="shared" si="18"/>
        <v>0</v>
      </c>
      <c r="X85" s="733">
        <f t="shared" si="18"/>
        <v>0</v>
      </c>
    </row>
    <row r="86" spans="1:25" x14ac:dyDescent="0.25">
      <c r="A86" s="1311"/>
      <c r="B86" s="725">
        <v>-1</v>
      </c>
      <c r="C86" s="724">
        <v>-0.95</v>
      </c>
      <c r="D86" s="724">
        <v>-0.9</v>
      </c>
      <c r="E86" s="724">
        <v>-0.8</v>
      </c>
      <c r="F86" s="724">
        <v>-0.7</v>
      </c>
      <c r="G86" s="724">
        <v>-0.6</v>
      </c>
      <c r="H86" s="724">
        <v>-0.5</v>
      </c>
      <c r="I86" s="724">
        <v>-0.4</v>
      </c>
      <c r="J86" s="724">
        <v>-0.2</v>
      </c>
      <c r="K86" s="725">
        <v>0</v>
      </c>
      <c r="N86" s="732">
        <v>0.6</v>
      </c>
      <c r="O86" s="719">
        <f t="shared" ref="O86:X86" si="19">B65*$J$52</f>
        <v>0</v>
      </c>
      <c r="P86" s="719">
        <f t="shared" si="19"/>
        <v>0</v>
      </c>
      <c r="Q86" s="719">
        <f t="shared" si="19"/>
        <v>0</v>
      </c>
      <c r="R86" s="719">
        <f t="shared" si="19"/>
        <v>0</v>
      </c>
      <c r="S86" s="719">
        <f t="shared" si="19"/>
        <v>0</v>
      </c>
      <c r="T86" s="719">
        <f t="shared" si="19"/>
        <v>0</v>
      </c>
      <c r="U86" s="719">
        <f t="shared" si="19"/>
        <v>0</v>
      </c>
      <c r="V86" s="719">
        <f t="shared" si="19"/>
        <v>0</v>
      </c>
      <c r="W86" s="719">
        <f t="shared" si="19"/>
        <v>0</v>
      </c>
      <c r="X86" s="719">
        <f t="shared" si="19"/>
        <v>0</v>
      </c>
    </row>
    <row r="87" spans="1:25" x14ac:dyDescent="0.25">
      <c r="A87" s="728">
        <v>0.2</v>
      </c>
      <c r="B87" s="700">
        <v>0</v>
      </c>
      <c r="C87" s="700">
        <v>6.4000000000000001E-2</v>
      </c>
      <c r="D87" s="700">
        <v>0.14549999999999999</v>
      </c>
      <c r="E87" s="700">
        <v>0.30599999999999999</v>
      </c>
      <c r="F87" s="700">
        <v>0.45350000000000001</v>
      </c>
      <c r="G87" s="700">
        <v>0.58420000000000005</v>
      </c>
      <c r="H87" s="700">
        <v>0.69950000000000001</v>
      </c>
      <c r="I87" s="700">
        <v>0.7984</v>
      </c>
      <c r="J87" s="700">
        <v>0.9446</v>
      </c>
      <c r="K87" s="729">
        <v>1</v>
      </c>
      <c r="N87" s="732">
        <v>0.7</v>
      </c>
      <c r="O87" s="719">
        <f t="shared" ref="O87:X87" si="20">B66*$J$53</f>
        <v>0</v>
      </c>
      <c r="P87" s="719">
        <f t="shared" si="20"/>
        <v>0</v>
      </c>
      <c r="Q87" s="719">
        <f t="shared" si="20"/>
        <v>0</v>
      </c>
      <c r="R87" s="719">
        <f t="shared" si="20"/>
        <v>0</v>
      </c>
      <c r="S87" s="719">
        <f t="shared" si="20"/>
        <v>0</v>
      </c>
      <c r="T87" s="719">
        <f t="shared" si="20"/>
        <v>0</v>
      </c>
      <c r="U87" s="719">
        <f t="shared" si="20"/>
        <v>0</v>
      </c>
      <c r="V87" s="719">
        <f t="shared" si="20"/>
        <v>0</v>
      </c>
      <c r="W87" s="719">
        <f t="shared" si="20"/>
        <v>0</v>
      </c>
      <c r="X87" s="719">
        <f t="shared" si="20"/>
        <v>0</v>
      </c>
    </row>
    <row r="88" spans="1:25" x14ac:dyDescent="0.25">
      <c r="A88" s="700">
        <v>0.3</v>
      </c>
      <c r="B88" s="700">
        <v>0</v>
      </c>
      <c r="C88" s="700">
        <v>0.08</v>
      </c>
      <c r="D88" s="700">
        <v>0.16700000000000001</v>
      </c>
      <c r="E88" s="700">
        <v>0.33600000000000002</v>
      </c>
      <c r="F88" s="700">
        <v>0.48849999999999999</v>
      </c>
      <c r="G88" s="700">
        <v>0.61950000000000005</v>
      </c>
      <c r="H88" s="700">
        <v>0.73350000000000004</v>
      </c>
      <c r="I88" s="700">
        <v>0.82650000000000001</v>
      </c>
      <c r="J88" s="700">
        <v>0.95830000000000004</v>
      </c>
      <c r="K88" s="729">
        <v>1</v>
      </c>
      <c r="N88" s="732">
        <v>0.8</v>
      </c>
      <c r="O88" s="719">
        <f t="shared" ref="O88:X88" si="21">B67*$J$54</f>
        <v>0</v>
      </c>
      <c r="P88" s="719">
        <f t="shared" si="21"/>
        <v>0</v>
      </c>
      <c r="Q88" s="719">
        <f t="shared" si="21"/>
        <v>0</v>
      </c>
      <c r="R88" s="719">
        <f t="shared" si="21"/>
        <v>0</v>
      </c>
      <c r="S88" s="719">
        <f t="shared" si="21"/>
        <v>0</v>
      </c>
      <c r="T88" s="719">
        <f t="shared" si="21"/>
        <v>0</v>
      </c>
      <c r="U88" s="719">
        <f t="shared" si="21"/>
        <v>0</v>
      </c>
      <c r="V88" s="719">
        <f t="shared" si="21"/>
        <v>0</v>
      </c>
      <c r="W88" s="719">
        <f t="shared" si="21"/>
        <v>0</v>
      </c>
      <c r="X88" s="719">
        <f t="shared" si="21"/>
        <v>0</v>
      </c>
    </row>
    <row r="89" spans="1:25" x14ac:dyDescent="0.25">
      <c r="A89" s="700">
        <v>0.4</v>
      </c>
      <c r="B89" s="700">
        <v>0</v>
      </c>
      <c r="C89" s="700">
        <v>9.0499999999999997E-2</v>
      </c>
      <c r="D89" s="700">
        <v>0.18099999999999999</v>
      </c>
      <c r="E89" s="700">
        <v>0.35</v>
      </c>
      <c r="F89" s="700">
        <v>0.504</v>
      </c>
      <c r="G89" s="700">
        <v>0.63529999999999998</v>
      </c>
      <c r="H89" s="700">
        <v>0.75249999999999995</v>
      </c>
      <c r="I89" s="700">
        <v>0.84150000000000003</v>
      </c>
      <c r="J89" s="700">
        <v>0.96450000000000002</v>
      </c>
      <c r="K89" s="729">
        <v>1</v>
      </c>
      <c r="N89" s="732">
        <v>0.9</v>
      </c>
      <c r="O89" s="719">
        <f t="shared" ref="O89:X89" si="22">B68*$J$55</f>
        <v>0</v>
      </c>
      <c r="P89" s="719">
        <f t="shared" si="22"/>
        <v>0</v>
      </c>
      <c r="Q89" s="719">
        <f t="shared" si="22"/>
        <v>0</v>
      </c>
      <c r="R89" s="719">
        <f t="shared" si="22"/>
        <v>0</v>
      </c>
      <c r="S89" s="719">
        <f t="shared" si="22"/>
        <v>0</v>
      </c>
      <c r="T89" s="719">
        <f t="shared" si="22"/>
        <v>0</v>
      </c>
      <c r="U89" s="719">
        <f t="shared" si="22"/>
        <v>0</v>
      </c>
      <c r="V89" s="719">
        <f t="shared" si="22"/>
        <v>0</v>
      </c>
      <c r="W89" s="719">
        <f t="shared" si="22"/>
        <v>0</v>
      </c>
      <c r="X89" s="719">
        <f t="shared" si="22"/>
        <v>0</v>
      </c>
    </row>
    <row r="90" spans="1:25" x14ac:dyDescent="0.25">
      <c r="A90" s="700">
        <v>0.5</v>
      </c>
      <c r="B90" s="700">
        <v>0</v>
      </c>
      <c r="C90" s="700">
        <v>9.5000000000000001E-2</v>
      </c>
      <c r="D90" s="700">
        <v>0.1865</v>
      </c>
      <c r="E90" s="700">
        <v>0.3569</v>
      </c>
      <c r="F90" s="700">
        <v>0.51400000000000001</v>
      </c>
      <c r="G90" s="700">
        <v>0.64390000000000003</v>
      </c>
      <c r="H90" s="700">
        <v>0.75800000000000001</v>
      </c>
      <c r="I90" s="700">
        <v>0.84560000000000002</v>
      </c>
      <c r="J90" s="700">
        <v>0.96389999999999998</v>
      </c>
      <c r="K90" s="729">
        <v>1</v>
      </c>
      <c r="N90" s="732">
        <v>1</v>
      </c>
      <c r="O90" s="719">
        <f t="shared" ref="O90:X90" si="23">B69*$J$56</f>
        <v>0</v>
      </c>
      <c r="P90" s="719">
        <f t="shared" si="23"/>
        <v>0</v>
      </c>
      <c r="Q90" s="719">
        <f t="shared" si="23"/>
        <v>0</v>
      </c>
      <c r="R90" s="719">
        <f t="shared" si="23"/>
        <v>0</v>
      </c>
      <c r="S90" s="719">
        <f t="shared" si="23"/>
        <v>0</v>
      </c>
      <c r="T90" s="719">
        <f t="shared" si="23"/>
        <v>0</v>
      </c>
      <c r="U90" s="719">
        <f t="shared" si="23"/>
        <v>0</v>
      </c>
      <c r="V90" s="719">
        <f t="shared" si="23"/>
        <v>0</v>
      </c>
      <c r="W90" s="719">
        <f t="shared" si="23"/>
        <v>0</v>
      </c>
      <c r="X90" s="719">
        <f t="shared" si="23"/>
        <v>0</v>
      </c>
    </row>
    <row r="91" spans="1:25" x14ac:dyDescent="0.25">
      <c r="A91" s="700">
        <v>0.6</v>
      </c>
      <c r="B91" s="700">
        <v>0</v>
      </c>
      <c r="C91" s="700">
        <v>9.6500000000000002E-2</v>
      </c>
      <c r="D91" s="700">
        <v>0.1885</v>
      </c>
      <c r="E91" s="700">
        <v>0.35849999999999999</v>
      </c>
      <c r="F91" s="700">
        <v>0.51100000000000001</v>
      </c>
      <c r="G91" s="700">
        <v>0.64149999999999996</v>
      </c>
      <c r="H91" s="700">
        <v>0.753</v>
      </c>
      <c r="I91" s="700">
        <v>0.84260000000000002</v>
      </c>
      <c r="J91" s="700">
        <v>0.96130000000000004</v>
      </c>
      <c r="K91" s="729">
        <v>1</v>
      </c>
    </row>
    <row r="92" spans="1:25" ht="12" customHeight="1" x14ac:dyDescent="0.25">
      <c r="A92" s="700">
        <v>0.7</v>
      </c>
      <c r="B92" s="700">
        <v>0</v>
      </c>
      <c r="C92" s="700">
        <v>9.7500000000000003E-2</v>
      </c>
      <c r="D92" s="700">
        <v>0.19</v>
      </c>
      <c r="E92" s="700">
        <v>0.36</v>
      </c>
      <c r="F92" s="700">
        <v>0.51</v>
      </c>
      <c r="G92" s="700">
        <v>0.64</v>
      </c>
      <c r="H92" s="700">
        <v>0.75</v>
      </c>
      <c r="I92" s="700">
        <v>0.84</v>
      </c>
      <c r="J92" s="700">
        <v>0.96</v>
      </c>
      <c r="K92" s="729">
        <v>1</v>
      </c>
      <c r="N92" s="1320" t="s">
        <v>1420</v>
      </c>
      <c r="O92" s="1313" t="s">
        <v>1455</v>
      </c>
      <c r="P92" s="1313"/>
      <c r="Q92" s="1313"/>
      <c r="R92" s="1313"/>
      <c r="S92" s="1313"/>
      <c r="T92" s="1313"/>
      <c r="U92" s="1313"/>
      <c r="V92" s="1313"/>
      <c r="W92" s="1313"/>
      <c r="X92" s="1313"/>
      <c r="Y92" s="1313"/>
    </row>
    <row r="93" spans="1:25" x14ac:dyDescent="0.25">
      <c r="A93" s="700">
        <v>0.8</v>
      </c>
      <c r="B93" s="700">
        <v>0</v>
      </c>
      <c r="C93" s="700">
        <v>9.7500000000000003E-2</v>
      </c>
      <c r="D93" s="700">
        <v>0.19</v>
      </c>
      <c r="E93" s="700">
        <v>0.36</v>
      </c>
      <c r="F93" s="700">
        <v>0.51</v>
      </c>
      <c r="G93" s="700">
        <v>0.64</v>
      </c>
      <c r="H93" s="700">
        <v>0.75</v>
      </c>
      <c r="I93" s="700">
        <v>0.84</v>
      </c>
      <c r="J93" s="700">
        <v>0.96</v>
      </c>
      <c r="K93" s="729">
        <v>1</v>
      </c>
      <c r="N93" s="1320"/>
      <c r="O93" s="730">
        <v>1</v>
      </c>
      <c r="P93" s="730">
        <v>0.95</v>
      </c>
      <c r="Q93" s="730">
        <v>0.9</v>
      </c>
      <c r="R93" s="730">
        <v>0.85</v>
      </c>
      <c r="S93" s="730">
        <v>0.8</v>
      </c>
      <c r="T93" s="730">
        <v>0.7</v>
      </c>
      <c r="U93" s="730">
        <v>0.6</v>
      </c>
      <c r="V93" s="730">
        <v>0.5</v>
      </c>
      <c r="W93" s="730">
        <v>0.4</v>
      </c>
      <c r="X93" s="730">
        <v>0.2</v>
      </c>
      <c r="Y93" s="730">
        <v>0</v>
      </c>
    </row>
    <row r="94" spans="1:25" x14ac:dyDescent="0.25">
      <c r="A94" s="700">
        <v>0.9</v>
      </c>
      <c r="B94" s="700">
        <v>0</v>
      </c>
      <c r="C94" s="700">
        <v>9.7500000000000003E-2</v>
      </c>
      <c r="D94" s="700">
        <v>0.19</v>
      </c>
      <c r="E94" s="700">
        <v>0.36</v>
      </c>
      <c r="F94" s="700">
        <v>0.51</v>
      </c>
      <c r="G94" s="700">
        <v>0.64</v>
      </c>
      <c r="H94" s="700">
        <v>0.75</v>
      </c>
      <c r="I94" s="700">
        <v>0.84</v>
      </c>
      <c r="J94" s="700">
        <v>0.96</v>
      </c>
      <c r="K94" s="729">
        <v>1</v>
      </c>
      <c r="N94" s="697">
        <v>0.2</v>
      </c>
      <c r="O94" s="721">
        <f t="shared" ref="O94:Y94" si="24">B74*$J$48</f>
        <v>7.9564516837376129E-2</v>
      </c>
      <c r="P94" s="721">
        <f t="shared" si="24"/>
        <v>6.3048174718606201E-2</v>
      </c>
      <c r="Q94" s="721">
        <f t="shared" si="24"/>
        <v>5.2588569696164621E-2</v>
      </c>
      <c r="R94" s="721">
        <f t="shared" si="24"/>
        <v>4.4699166762570866E-2</v>
      </c>
      <c r="S94" s="721">
        <f t="shared" si="24"/>
        <v>3.7659047997465958E-2</v>
      </c>
      <c r="T94" s="721">
        <f t="shared" si="24"/>
        <v>2.6372508389916807E-2</v>
      </c>
      <c r="U94" s="721">
        <f t="shared" si="24"/>
        <v>1.7969065038553486E-2</v>
      </c>
      <c r="V94" s="721">
        <f t="shared" si="24"/>
        <v>1.1621783358268424E-2</v>
      </c>
      <c r="W94" s="721">
        <f t="shared" si="24"/>
        <v>6.7942733479107714E-3</v>
      </c>
      <c r="X94" s="721">
        <f t="shared" si="24"/>
        <v>1.0951295856829861E-3</v>
      </c>
      <c r="Y94" s="733">
        <f t="shared" si="24"/>
        <v>0</v>
      </c>
    </row>
    <row r="95" spans="1:25" x14ac:dyDescent="0.25">
      <c r="A95" s="700">
        <v>1</v>
      </c>
      <c r="B95" s="700">
        <v>0</v>
      </c>
      <c r="C95" s="700">
        <v>9.7500000000000003E-2</v>
      </c>
      <c r="D95" s="700">
        <v>0.19</v>
      </c>
      <c r="E95" s="700">
        <v>0.36</v>
      </c>
      <c r="F95" s="700">
        <v>0.51</v>
      </c>
      <c r="G95" s="700">
        <v>0.64</v>
      </c>
      <c r="H95" s="700">
        <v>0.75</v>
      </c>
      <c r="I95" s="700">
        <v>0.84</v>
      </c>
      <c r="J95" s="700">
        <v>0.96</v>
      </c>
      <c r="K95" s="729">
        <v>1</v>
      </c>
      <c r="N95" s="697">
        <v>0.3</v>
      </c>
      <c r="O95" s="721">
        <f t="shared" ref="O95:Y95" si="25">B75*$J$49</f>
        <v>5.7765250660678655E-2</v>
      </c>
      <c r="P95" s="721">
        <f t="shared" si="25"/>
        <v>4.3200423518386426E-2</v>
      </c>
      <c r="Q95" s="721">
        <f t="shared" si="25"/>
        <v>3.4781676757712765E-2</v>
      </c>
      <c r="R95" s="721">
        <f t="shared" si="25"/>
        <v>2.8556547110735766E-2</v>
      </c>
      <c r="S95" s="721">
        <f t="shared" si="25"/>
        <v>2.3536918760474947E-2</v>
      </c>
      <c r="T95" s="721">
        <f t="shared" si="25"/>
        <v>1.5612229908291527E-2</v>
      </c>
      <c r="U95" s="721">
        <f t="shared" si="25"/>
        <v>9.9404451188235925E-3</v>
      </c>
      <c r="V95" s="721">
        <f t="shared" si="25"/>
        <v>5.9286949018828583E-3</v>
      </c>
      <c r="W95" s="721">
        <f t="shared" si="25"/>
        <v>2.9248228182622103E-3</v>
      </c>
      <c r="X95" s="721">
        <f t="shared" si="25"/>
        <v>5.3358254116945734E-4</v>
      </c>
      <c r="Y95" s="733">
        <f t="shared" si="25"/>
        <v>0</v>
      </c>
    </row>
    <row r="96" spans="1:25" x14ac:dyDescent="0.25">
      <c r="N96" s="697">
        <v>0.4</v>
      </c>
      <c r="O96" s="721">
        <f t="shared" ref="O96:Y96" si="26">B76*$J$50</f>
        <v>3.7458782518793247E-2</v>
      </c>
      <c r="P96" s="721">
        <f t="shared" si="26"/>
        <v>2.5195797320068637E-2</v>
      </c>
      <c r="Q96" s="721">
        <f t="shared" si="26"/>
        <v>1.868645363615179E-2</v>
      </c>
      <c r="R96" s="721">
        <f t="shared" si="26"/>
        <v>1.4306816065178715E-2</v>
      </c>
      <c r="S96" s="721">
        <f t="shared" si="26"/>
        <v>1.0940506402783724E-2</v>
      </c>
      <c r="T96" s="721">
        <f t="shared" si="26"/>
        <v>6.1314925993623069E-3</v>
      </c>
      <c r="U96" s="721">
        <f t="shared" si="26"/>
        <v>3.2460843173094563E-3</v>
      </c>
      <c r="V96" s="721">
        <f t="shared" si="26"/>
        <v>1.5457544368140267E-3</v>
      </c>
      <c r="W96" s="721">
        <f t="shared" si="26"/>
        <v>5.6677662683180983E-4</v>
      </c>
      <c r="X96" s="721">
        <f t="shared" si="26"/>
        <v>0</v>
      </c>
      <c r="Y96" s="733">
        <f t="shared" si="26"/>
        <v>0</v>
      </c>
    </row>
    <row r="97" spans="1:25" ht="12" customHeight="1" x14ac:dyDescent="0.25">
      <c r="A97" s="1311" t="s">
        <v>1420</v>
      </c>
      <c r="B97" s="1313" t="s">
        <v>1455</v>
      </c>
      <c r="C97" s="1313"/>
      <c r="D97" s="1313"/>
      <c r="E97" s="1313"/>
      <c r="F97" s="1313"/>
      <c r="G97" s="1313"/>
      <c r="H97" s="1313"/>
      <c r="I97" s="1313"/>
      <c r="J97" s="1313"/>
      <c r="K97" s="1313"/>
      <c r="L97" s="1313"/>
      <c r="N97" s="697">
        <v>0.5</v>
      </c>
      <c r="O97" s="721">
        <f t="shared" ref="O97:Y97" si="27">B77*$J$51</f>
        <v>1.8643185723497383E-2</v>
      </c>
      <c r="P97" s="721">
        <f t="shared" si="27"/>
        <v>1.1349294595368516E-2</v>
      </c>
      <c r="Q97" s="721">
        <f t="shared" si="27"/>
        <v>7.2938911281288672E-3</v>
      </c>
      <c r="R97" s="721">
        <f t="shared" si="27"/>
        <v>4.7847925800525368E-3</v>
      </c>
      <c r="S97" s="721">
        <f t="shared" si="27"/>
        <v>3.078022056070382E-3</v>
      </c>
      <c r="T97" s="721">
        <f t="shared" si="27"/>
        <v>1.2399614917819074E-3</v>
      </c>
      <c r="U97" s="721">
        <f t="shared" si="27"/>
        <v>4.9598459671276296E-4</v>
      </c>
      <c r="V97" s="721">
        <f t="shared" si="27"/>
        <v>1.1670225805006188E-4</v>
      </c>
      <c r="W97" s="721">
        <f t="shared" si="27"/>
        <v>0</v>
      </c>
      <c r="X97" s="721">
        <f t="shared" si="27"/>
        <v>0</v>
      </c>
      <c r="Y97" s="733">
        <f t="shared" si="27"/>
        <v>0</v>
      </c>
    </row>
    <row r="98" spans="1:25" x14ac:dyDescent="0.25">
      <c r="A98" s="1311"/>
      <c r="B98" s="725">
        <v>1</v>
      </c>
      <c r="C98" s="724">
        <v>0.95</v>
      </c>
      <c r="D98" s="724">
        <v>0.9</v>
      </c>
      <c r="E98" s="734">
        <v>0.85</v>
      </c>
      <c r="F98" s="724">
        <v>0.8</v>
      </c>
      <c r="G98" s="724">
        <v>0.7</v>
      </c>
      <c r="H98" s="724">
        <v>0.6</v>
      </c>
      <c r="I98" s="724">
        <v>0.5</v>
      </c>
      <c r="J98" s="724">
        <v>0.4</v>
      </c>
      <c r="K98" s="724">
        <v>0.2</v>
      </c>
      <c r="L98" s="725">
        <v>0</v>
      </c>
      <c r="N98" s="697">
        <v>0.6</v>
      </c>
      <c r="O98" s="721">
        <f t="shared" ref="O98:Y98" si="28">B78*$J$52</f>
        <v>4.5841968119702597E-3</v>
      </c>
      <c r="P98" s="721">
        <f t="shared" si="28"/>
        <v>2.0280870712643295E-3</v>
      </c>
      <c r="Q98" s="721">
        <f t="shared" si="28"/>
        <v>8.0403451937698285E-4</v>
      </c>
      <c r="R98" s="721">
        <f t="shared" si="28"/>
        <v>2.6401133472080037E-4</v>
      </c>
      <c r="S98" s="721">
        <f t="shared" si="28"/>
        <v>7.2003091287490989E-5</v>
      </c>
      <c r="T98" s="721">
        <f t="shared" si="28"/>
        <v>0</v>
      </c>
      <c r="U98" s="721">
        <f t="shared" si="28"/>
        <v>0</v>
      </c>
      <c r="V98" s="721">
        <f t="shared" si="28"/>
        <v>0</v>
      </c>
      <c r="W98" s="721">
        <f t="shared" si="28"/>
        <v>0</v>
      </c>
      <c r="X98" s="721">
        <f t="shared" si="28"/>
        <v>0</v>
      </c>
      <c r="Y98" s="733">
        <f t="shared" si="28"/>
        <v>0</v>
      </c>
    </row>
    <row r="99" spans="1:25" x14ac:dyDescent="0.25">
      <c r="A99" s="727">
        <v>0.2</v>
      </c>
      <c r="B99" s="727">
        <v>0</v>
      </c>
      <c r="C99" s="727">
        <v>0.156</v>
      </c>
      <c r="D99" s="727">
        <v>0.28399999999999997</v>
      </c>
      <c r="E99" s="727">
        <v>0.39050000000000001</v>
      </c>
      <c r="F99" s="727">
        <v>0.47770000000000001</v>
      </c>
      <c r="G99" s="727">
        <v>0.61899999999999999</v>
      </c>
      <c r="H99" s="727">
        <v>0.72770000000000001</v>
      </c>
      <c r="I99" s="727">
        <v>0.81699999999999995</v>
      </c>
      <c r="J99" s="727">
        <v>0.88749999999999996</v>
      </c>
      <c r="K99" s="727">
        <v>0.97499999999999998</v>
      </c>
      <c r="L99" s="727">
        <v>1</v>
      </c>
      <c r="N99" s="697">
        <v>0.7</v>
      </c>
      <c r="O99" s="719">
        <f t="shared" ref="O99:Y99" si="29">B79*$J$53</f>
        <v>0</v>
      </c>
      <c r="P99" s="719">
        <f t="shared" si="29"/>
        <v>0</v>
      </c>
      <c r="Q99" s="719">
        <f t="shared" si="29"/>
        <v>0</v>
      </c>
      <c r="R99" s="719">
        <f t="shared" si="29"/>
        <v>0</v>
      </c>
      <c r="S99" s="719">
        <f t="shared" si="29"/>
        <v>0</v>
      </c>
      <c r="T99" s="719">
        <f t="shared" si="29"/>
        <v>0</v>
      </c>
      <c r="U99" s="719">
        <f t="shared" si="29"/>
        <v>0</v>
      </c>
      <c r="V99" s="719">
        <f t="shared" si="29"/>
        <v>0</v>
      </c>
      <c r="W99" s="719">
        <f t="shared" si="29"/>
        <v>0</v>
      </c>
      <c r="X99" s="719">
        <f t="shared" si="29"/>
        <v>0</v>
      </c>
      <c r="Y99" s="719">
        <f t="shared" si="29"/>
        <v>0</v>
      </c>
    </row>
    <row r="100" spans="1:25" x14ac:dyDescent="0.25">
      <c r="A100" s="727">
        <v>0.3</v>
      </c>
      <c r="B100" s="727">
        <v>0</v>
      </c>
      <c r="C100" s="727">
        <v>0.189</v>
      </c>
      <c r="D100" s="727">
        <v>0.31969999999999998</v>
      </c>
      <c r="E100" s="727">
        <v>0.42649999999999999</v>
      </c>
      <c r="F100" s="727">
        <v>0.51300000000000001</v>
      </c>
      <c r="G100" s="727">
        <v>0.65049999999999997</v>
      </c>
      <c r="H100" s="727">
        <v>0.752</v>
      </c>
      <c r="I100" s="727">
        <v>0.83150000000000002</v>
      </c>
      <c r="J100" s="727">
        <v>0.89200000000000002</v>
      </c>
      <c r="K100" s="727">
        <v>0.97499999999999998</v>
      </c>
      <c r="L100" s="727">
        <v>1</v>
      </c>
      <c r="N100" s="697">
        <v>0.8</v>
      </c>
      <c r="O100" s="719">
        <f t="shared" ref="O100:Y100" si="30">B80*$J$54</f>
        <v>0</v>
      </c>
      <c r="P100" s="719">
        <f t="shared" si="30"/>
        <v>0</v>
      </c>
      <c r="Q100" s="719">
        <f t="shared" si="30"/>
        <v>0</v>
      </c>
      <c r="R100" s="719">
        <f t="shared" si="30"/>
        <v>0</v>
      </c>
      <c r="S100" s="719">
        <f t="shared" si="30"/>
        <v>0</v>
      </c>
      <c r="T100" s="719">
        <f t="shared" si="30"/>
        <v>0</v>
      </c>
      <c r="U100" s="719">
        <f t="shared" si="30"/>
        <v>0</v>
      </c>
      <c r="V100" s="719">
        <f t="shared" si="30"/>
        <v>0</v>
      </c>
      <c r="W100" s="719">
        <f t="shared" si="30"/>
        <v>0</v>
      </c>
      <c r="X100" s="719">
        <f t="shared" si="30"/>
        <v>0</v>
      </c>
      <c r="Y100" s="719">
        <f t="shared" si="30"/>
        <v>0</v>
      </c>
    </row>
    <row r="101" spans="1:25" x14ac:dyDescent="0.25">
      <c r="A101" s="727">
        <v>0.4</v>
      </c>
      <c r="B101" s="727">
        <v>0</v>
      </c>
      <c r="C101" s="727">
        <v>0.19350000000000001</v>
      </c>
      <c r="D101" s="727">
        <v>0.32350000000000001</v>
      </c>
      <c r="E101" s="727">
        <v>0.4335</v>
      </c>
      <c r="F101" s="727">
        <v>0.52200000000000002</v>
      </c>
      <c r="G101" s="727">
        <v>0.65900000000000003</v>
      </c>
      <c r="H101" s="727">
        <v>0.75929999999999997</v>
      </c>
      <c r="I101" s="727">
        <v>0.83450000000000002</v>
      </c>
      <c r="J101" s="727">
        <v>0.89329999999999998</v>
      </c>
      <c r="K101" s="727">
        <v>0.97250000000000003</v>
      </c>
      <c r="L101" s="727">
        <v>1</v>
      </c>
      <c r="N101" s="697">
        <v>0.9</v>
      </c>
      <c r="O101" s="719">
        <f t="shared" ref="O101:Y101" si="31">B81*$J$55</f>
        <v>0</v>
      </c>
      <c r="P101" s="719">
        <f t="shared" si="31"/>
        <v>0</v>
      </c>
      <c r="Q101" s="719">
        <f t="shared" si="31"/>
        <v>0</v>
      </c>
      <c r="R101" s="719">
        <f t="shared" si="31"/>
        <v>0</v>
      </c>
      <c r="S101" s="719">
        <f t="shared" si="31"/>
        <v>0</v>
      </c>
      <c r="T101" s="719">
        <f t="shared" si="31"/>
        <v>0</v>
      </c>
      <c r="U101" s="719">
        <f t="shared" si="31"/>
        <v>0</v>
      </c>
      <c r="V101" s="719">
        <f t="shared" si="31"/>
        <v>0</v>
      </c>
      <c r="W101" s="719">
        <f t="shared" si="31"/>
        <v>0</v>
      </c>
      <c r="X101" s="719">
        <f t="shared" si="31"/>
        <v>0</v>
      </c>
      <c r="Y101" s="719">
        <f t="shared" si="31"/>
        <v>0</v>
      </c>
    </row>
    <row r="102" spans="1:25" x14ac:dyDescent="0.25">
      <c r="A102" s="727">
        <v>0.5</v>
      </c>
      <c r="B102" s="727">
        <v>0</v>
      </c>
      <c r="C102" s="727">
        <v>0.17499999999999999</v>
      </c>
      <c r="D102" s="727">
        <v>0.30559999999999998</v>
      </c>
      <c r="E102" s="727">
        <v>0.41349999999999998</v>
      </c>
      <c r="F102" s="727">
        <v>0.50390000000000001</v>
      </c>
      <c r="G102" s="727">
        <v>0.64300000000000002</v>
      </c>
      <c r="H102" s="727">
        <v>0.74780000000000002</v>
      </c>
      <c r="I102" s="727">
        <v>0.82750000000000001</v>
      </c>
      <c r="J102" s="727">
        <v>0.88800000000000001</v>
      </c>
      <c r="K102" s="727">
        <v>0.97099999999999997</v>
      </c>
      <c r="L102" s="727">
        <v>1</v>
      </c>
      <c r="N102" s="697">
        <v>1</v>
      </c>
      <c r="O102" s="719">
        <f t="shared" ref="O102:Y102" si="32">B82*$J$56</f>
        <v>0</v>
      </c>
      <c r="P102" s="719">
        <f t="shared" si="32"/>
        <v>0</v>
      </c>
      <c r="Q102" s="719">
        <f t="shared" si="32"/>
        <v>0</v>
      </c>
      <c r="R102" s="719">
        <f t="shared" si="32"/>
        <v>0</v>
      </c>
      <c r="S102" s="719">
        <f t="shared" si="32"/>
        <v>0</v>
      </c>
      <c r="T102" s="719">
        <f t="shared" si="32"/>
        <v>0</v>
      </c>
      <c r="U102" s="719">
        <f t="shared" si="32"/>
        <v>0</v>
      </c>
      <c r="V102" s="719">
        <f t="shared" si="32"/>
        <v>0</v>
      </c>
      <c r="W102" s="719">
        <f t="shared" si="32"/>
        <v>0</v>
      </c>
      <c r="X102" s="719">
        <f t="shared" si="32"/>
        <v>0</v>
      </c>
      <c r="Y102" s="719">
        <f t="shared" si="32"/>
        <v>0</v>
      </c>
    </row>
    <row r="103" spans="1:25" x14ac:dyDescent="0.25">
      <c r="A103" s="727">
        <v>0.6</v>
      </c>
      <c r="B103" s="727">
        <v>0</v>
      </c>
      <c r="C103" s="727">
        <v>0.14849999999999999</v>
      </c>
      <c r="D103" s="727">
        <v>0.27200000000000002</v>
      </c>
      <c r="E103" s="727">
        <v>0.3775</v>
      </c>
      <c r="F103" s="727">
        <v>0.46200000000000002</v>
      </c>
      <c r="G103" s="727">
        <v>0.60599999999999998</v>
      </c>
      <c r="H103" s="727">
        <v>0.72</v>
      </c>
      <c r="I103" s="727">
        <v>0.80900000000000005</v>
      </c>
      <c r="J103" s="727">
        <v>0.879</v>
      </c>
      <c r="K103" s="727">
        <v>0.96899999999999997</v>
      </c>
      <c r="L103" s="727">
        <v>1</v>
      </c>
    </row>
    <row r="104" spans="1:25" x14ac:dyDescent="0.25">
      <c r="A104" s="727">
        <v>0.7</v>
      </c>
      <c r="B104" s="727">
        <v>0</v>
      </c>
      <c r="C104" s="727">
        <v>0.124</v>
      </c>
      <c r="D104" s="727">
        <v>0.23369999999999999</v>
      </c>
      <c r="E104" s="727">
        <v>0.33</v>
      </c>
      <c r="F104" s="727">
        <v>0.41399999999999998</v>
      </c>
      <c r="G104" s="727">
        <v>0.5615</v>
      </c>
      <c r="H104" s="727">
        <v>0.68400000000000005</v>
      </c>
      <c r="I104" s="727">
        <v>0.78500000000000003</v>
      </c>
      <c r="J104" s="727">
        <v>0.86599999999999999</v>
      </c>
      <c r="K104" s="727">
        <v>0.96750000000000003</v>
      </c>
      <c r="L104" s="727">
        <v>1</v>
      </c>
      <c r="N104" s="1309" t="s">
        <v>1460</v>
      </c>
      <c r="O104" s="1309"/>
      <c r="P104" s="1309"/>
      <c r="Q104" s="1309"/>
      <c r="R104" s="1309"/>
      <c r="S104" s="1309"/>
      <c r="T104" s="1309"/>
      <c r="U104" s="1309"/>
      <c r="V104" s="1309"/>
      <c r="W104" s="1309"/>
      <c r="X104" s="1309"/>
      <c r="Y104" s="1309"/>
    </row>
    <row r="105" spans="1:25" ht="12" customHeight="1" x14ac:dyDescent="0.25">
      <c r="A105" s="727">
        <v>0.8</v>
      </c>
      <c r="B105" s="727">
        <v>0</v>
      </c>
      <c r="C105" s="727">
        <v>0.105</v>
      </c>
      <c r="D105" s="727">
        <v>0.20280000000000001</v>
      </c>
      <c r="E105" s="727">
        <v>0.29249999999999998</v>
      </c>
      <c r="F105" s="727">
        <v>0.3765</v>
      </c>
      <c r="G105" s="727">
        <v>0.52649999999999997</v>
      </c>
      <c r="H105" s="727">
        <v>0.65449999999999997</v>
      </c>
      <c r="I105" s="727">
        <v>0.76349999999999996</v>
      </c>
      <c r="J105" s="727">
        <v>0.85199999999999998</v>
      </c>
      <c r="K105" s="727">
        <v>0.96350000000000002</v>
      </c>
      <c r="L105" s="727">
        <v>1</v>
      </c>
      <c r="N105" s="1320" t="s">
        <v>1420</v>
      </c>
      <c r="O105" s="1313" t="s">
        <v>1455</v>
      </c>
      <c r="P105" s="1313"/>
      <c r="Q105" s="1313"/>
      <c r="R105" s="1313"/>
      <c r="S105" s="1313"/>
      <c r="T105" s="1313"/>
      <c r="U105" s="1313"/>
      <c r="V105" s="1313"/>
      <c r="W105" s="1313"/>
      <c r="X105" s="1313"/>
    </row>
    <row r="106" spans="1:25" x14ac:dyDescent="0.25">
      <c r="A106" s="727">
        <v>0.9</v>
      </c>
      <c r="B106" s="727">
        <v>0</v>
      </c>
      <c r="C106" s="727">
        <v>9.7500000000000003E-2</v>
      </c>
      <c r="D106" s="727">
        <v>0.19</v>
      </c>
      <c r="E106" s="727">
        <v>0.27750000000000002</v>
      </c>
      <c r="F106" s="727">
        <v>0.36</v>
      </c>
      <c r="G106" s="727">
        <v>0.51</v>
      </c>
      <c r="H106" s="727">
        <v>0.64</v>
      </c>
      <c r="I106" s="727">
        <v>0.75</v>
      </c>
      <c r="J106" s="727">
        <v>0.84</v>
      </c>
      <c r="K106" s="727">
        <v>0.96</v>
      </c>
      <c r="L106" s="727">
        <v>1</v>
      </c>
      <c r="N106" s="1320"/>
      <c r="O106" s="730">
        <v>-1</v>
      </c>
      <c r="P106" s="730">
        <v>-0.95</v>
      </c>
      <c r="Q106" s="730">
        <v>-0.9</v>
      </c>
      <c r="R106" s="730">
        <v>-0.8</v>
      </c>
      <c r="S106" s="730">
        <v>-0.7</v>
      </c>
      <c r="T106" s="730">
        <v>-0.6</v>
      </c>
      <c r="U106" s="730">
        <v>-0.5</v>
      </c>
      <c r="V106" s="730">
        <v>-0.4</v>
      </c>
      <c r="W106" s="730">
        <v>-0.2</v>
      </c>
      <c r="X106" s="730">
        <v>0</v>
      </c>
    </row>
    <row r="107" spans="1:25" x14ac:dyDescent="0.25">
      <c r="A107" s="727">
        <v>1</v>
      </c>
      <c r="B107" s="727">
        <v>0</v>
      </c>
      <c r="C107" s="727">
        <v>9.7500000000000003E-2</v>
      </c>
      <c r="D107" s="727">
        <v>0.19</v>
      </c>
      <c r="E107" s="727">
        <v>0.27750000000000002</v>
      </c>
      <c r="F107" s="727">
        <v>0.36</v>
      </c>
      <c r="G107" s="727">
        <v>0.51</v>
      </c>
      <c r="H107" s="727">
        <v>0.64</v>
      </c>
      <c r="I107" s="727">
        <v>0.75</v>
      </c>
      <c r="J107" s="727">
        <v>0.84</v>
      </c>
      <c r="K107" s="727">
        <v>0.96</v>
      </c>
      <c r="L107" s="727">
        <v>1</v>
      </c>
      <c r="N107" s="697">
        <v>0.2</v>
      </c>
      <c r="O107" s="721">
        <f t="shared" ref="O107:X107" si="33">(B61+B87)*$J$48</f>
        <v>6.3159922635512636E-2</v>
      </c>
      <c r="P107" s="721">
        <f t="shared" si="33"/>
        <v>7.3083137656803368E-2</v>
      </c>
      <c r="Q107" s="721">
        <f t="shared" si="33"/>
        <v>8.6157643934855324E-2</v>
      </c>
      <c r="R107" s="721">
        <f t="shared" si="33"/>
        <v>0.11235135565772188</v>
      </c>
      <c r="S107" s="721">
        <f t="shared" si="33"/>
        <v>0.13644420654274758</v>
      </c>
      <c r="T107" s="721">
        <f t="shared" si="33"/>
        <v>0.15754221325468101</v>
      </c>
      <c r="U107" s="721">
        <f t="shared" si="33"/>
        <v>0.17600296912762278</v>
      </c>
      <c r="V107" s="721">
        <f t="shared" si="33"/>
        <v>0.19167002707790387</v>
      </c>
      <c r="W107" s="721">
        <f t="shared" si="33"/>
        <v>0.21495829296120328</v>
      </c>
      <c r="X107" s="721">
        <f t="shared" si="33"/>
        <v>0.22349583381285432</v>
      </c>
    </row>
    <row r="108" spans="1:25" x14ac:dyDescent="0.25">
      <c r="N108" s="697">
        <v>0.3</v>
      </c>
      <c r="O108" s="721">
        <f t="shared" ref="O108:X108" si="34">(B62+B88)*$J$49</f>
        <v>4.5571901479139573E-2</v>
      </c>
      <c r="P108" s="721">
        <f t="shared" si="34"/>
        <v>5.6124978404491058E-2</v>
      </c>
      <c r="Q108" s="721">
        <f t="shared" si="34"/>
        <v>6.8377614535048967E-2</v>
      </c>
      <c r="R108" s="721">
        <f t="shared" si="34"/>
        <v>9.274455058178753E-2</v>
      </c>
      <c r="S108" s="721">
        <f t="shared" si="34"/>
        <v>0.11517477962724433</v>
      </c>
      <c r="T108" s="721">
        <f t="shared" si="34"/>
        <v>0.13473947280345777</v>
      </c>
      <c r="U108" s="721">
        <f t="shared" si="34"/>
        <v>0.15238722129472906</v>
      </c>
      <c r="V108" s="721">
        <f t="shared" si="34"/>
        <v>0.16732753244747389</v>
      </c>
      <c r="W108" s="721">
        <f t="shared" si="34"/>
        <v>0.19003443392168523</v>
      </c>
      <c r="X108" s="721">
        <f t="shared" si="34"/>
        <v>0.19762316339609529</v>
      </c>
    </row>
    <row r="109" spans="1:25" x14ac:dyDescent="0.25">
      <c r="A109" s="1309" t="s">
        <v>1461</v>
      </c>
      <c r="B109" s="1309"/>
      <c r="C109" s="1309"/>
      <c r="D109" s="1309"/>
      <c r="E109" s="1309"/>
      <c r="F109" s="1309"/>
      <c r="G109" s="1309"/>
      <c r="H109" s="1309"/>
      <c r="I109" s="1309"/>
      <c r="J109" s="1309"/>
      <c r="K109" s="1309"/>
      <c r="N109" s="697">
        <v>0.4</v>
      </c>
      <c r="O109" s="721">
        <f t="shared" ref="O109:X109" si="35">(B63+B89)*$J$50</f>
        <v>2.5195797320068637E-2</v>
      </c>
      <c r="P109" s="721">
        <f t="shared" si="35"/>
        <v>3.6153478772150291E-2</v>
      </c>
      <c r="Q109" s="721">
        <f t="shared" si="35"/>
        <v>4.7780987146851361E-2</v>
      </c>
      <c r="R109" s="721">
        <f t="shared" si="35"/>
        <v>7.0932953600465892E-2</v>
      </c>
      <c r="S109" s="721">
        <f t="shared" si="35"/>
        <v>9.3346392934269287E-2</v>
      </c>
      <c r="T109" s="721">
        <f t="shared" si="35"/>
        <v>0.11278854873953015</v>
      </c>
      <c r="U109" s="721">
        <f t="shared" si="35"/>
        <v>0.13123455168551088</v>
      </c>
      <c r="V109" s="721">
        <f t="shared" si="35"/>
        <v>0.14528374201122057</v>
      </c>
      <c r="W109" s="721">
        <f t="shared" si="35"/>
        <v>0.16565335047856988</v>
      </c>
      <c r="X109" s="721">
        <f t="shared" si="35"/>
        <v>0.17175049297933631</v>
      </c>
    </row>
    <row r="110" spans="1:25" x14ac:dyDescent="0.25">
      <c r="N110" s="697">
        <v>0.5</v>
      </c>
      <c r="O110" s="721">
        <f t="shared" ref="O110:X110" si="36">(B64+B90)*$J$51</f>
        <v>7.6148223377665372E-3</v>
      </c>
      <c r="P110" s="721">
        <f t="shared" si="36"/>
        <v>1.9985261691073095E-2</v>
      </c>
      <c r="Q110" s="721">
        <f t="shared" si="36"/>
        <v>3.2020182052485725E-2</v>
      </c>
      <c r="R110" s="721">
        <f t="shared" si="36"/>
        <v>5.4835473501272824E-2</v>
      </c>
      <c r="S110" s="721">
        <f t="shared" si="36"/>
        <v>7.6439979022790525E-2</v>
      </c>
      <c r="T110" s="721">
        <f t="shared" si="36"/>
        <v>9.4514241238293856E-2</v>
      </c>
      <c r="U110" s="721">
        <f t="shared" si="36"/>
        <v>0.11075044288950871</v>
      </c>
      <c r="V110" s="721">
        <f t="shared" si="36"/>
        <v>0.1233542867589154</v>
      </c>
      <c r="W110" s="721">
        <f t="shared" si="36"/>
        <v>0.1406116331680683</v>
      </c>
      <c r="X110" s="721">
        <f t="shared" si="36"/>
        <v>0.14587782256257734</v>
      </c>
    </row>
    <row r="111" spans="1:25" x14ac:dyDescent="0.25">
      <c r="A111" s="549" t="s">
        <v>1436</v>
      </c>
      <c r="B111" s="565">
        <f>B5</f>
        <v>5.5048234929274464</v>
      </c>
      <c r="C111" s="549" t="s">
        <v>11</v>
      </c>
      <c r="D111" s="687" t="s">
        <v>1420</v>
      </c>
      <c r="E111" s="687" t="s">
        <v>1462</v>
      </c>
      <c r="F111" s="687" t="s">
        <v>1463</v>
      </c>
      <c r="G111" s="687" t="s">
        <v>1464</v>
      </c>
      <c r="H111" s="687" t="s">
        <v>27</v>
      </c>
      <c r="N111" s="697">
        <v>0.6</v>
      </c>
      <c r="O111" s="721">
        <f t="shared" ref="O111:X111" si="37">(B65+B91)*$J$52</f>
        <v>0</v>
      </c>
      <c r="P111" s="721">
        <f t="shared" si="37"/>
        <v>1.1580497182071469E-2</v>
      </c>
      <c r="Q111" s="721">
        <f t="shared" si="37"/>
        <v>2.2620971179486755E-2</v>
      </c>
      <c r="R111" s="721">
        <f t="shared" si="37"/>
        <v>4.302184704427587E-2</v>
      </c>
      <c r="S111" s="721">
        <f t="shared" si="37"/>
        <v>6.1322632746513173E-2</v>
      </c>
      <c r="T111" s="721">
        <f t="shared" si="37"/>
        <v>7.6983305101542457E-2</v>
      </c>
      <c r="U111" s="721">
        <f t="shared" si="37"/>
        <v>9.0363879565801206E-2</v>
      </c>
      <c r="V111" s="721">
        <f t="shared" si="37"/>
        <v>0.10111634119806653</v>
      </c>
      <c r="W111" s="721">
        <f t="shared" si="37"/>
        <v>0.11536095275777516</v>
      </c>
      <c r="X111" s="721">
        <f t="shared" si="37"/>
        <v>0.12000515214581833</v>
      </c>
    </row>
    <row r="112" spans="1:25" x14ac:dyDescent="0.25">
      <c r="A112" s="549" t="s">
        <v>1414</v>
      </c>
      <c r="B112" s="565">
        <f>D5</f>
        <v>0.7</v>
      </c>
      <c r="D112" s="687">
        <v>0.2</v>
      </c>
      <c r="E112" s="735">
        <v>0.8</v>
      </c>
      <c r="F112" s="688">
        <f t="shared" ref="F112:F119" si="38">$B$114*E112</f>
        <v>0.49087598026104606</v>
      </c>
      <c r="G112" s="688">
        <f t="shared" ref="G112:G119" si="39">F112</f>
        <v>0.49087598026104606</v>
      </c>
      <c r="H112" s="688">
        <f t="shared" ref="H112:H119" si="40">G112/1000</f>
        <v>4.9087598026104605E-4</v>
      </c>
      <c r="N112" s="697">
        <v>0.7</v>
      </c>
      <c r="O112" s="721">
        <f t="shared" ref="O112:X112" si="41">(B66+B92)*$J$53</f>
        <v>0</v>
      </c>
      <c r="P112" s="721">
        <f t="shared" si="41"/>
        <v>9.1779169685832843E-3</v>
      </c>
      <c r="Q112" s="721">
        <f t="shared" si="41"/>
        <v>1.7885171528521274E-2</v>
      </c>
      <c r="R112" s="721">
        <f t="shared" si="41"/>
        <v>3.3887693422461361E-2</v>
      </c>
      <c r="S112" s="721">
        <f t="shared" si="41"/>
        <v>4.8007565681820262E-2</v>
      </c>
      <c r="T112" s="721">
        <f t="shared" si="41"/>
        <v>6.024478830659797E-2</v>
      </c>
      <c r="U112" s="721">
        <f t="shared" si="41"/>
        <v>7.0599361296794505E-2</v>
      </c>
      <c r="V112" s="721">
        <f t="shared" si="41"/>
        <v>7.907128465240984E-2</v>
      </c>
      <c r="W112" s="721">
        <f t="shared" si="41"/>
        <v>9.0367182459896958E-2</v>
      </c>
      <c r="X112" s="721">
        <f t="shared" si="41"/>
        <v>9.4132481729059331E-2</v>
      </c>
    </row>
    <row r="113" spans="1:25" x14ac:dyDescent="0.25">
      <c r="A113" s="549" t="s">
        <v>1465</v>
      </c>
      <c r="B113" s="549">
        <f>B112*B111</f>
        <v>3.8533764450492121</v>
      </c>
      <c r="C113" s="549" t="s">
        <v>11</v>
      </c>
      <c r="D113" s="687">
        <v>0.3</v>
      </c>
      <c r="E113" s="735">
        <v>0.82199999999999995</v>
      </c>
      <c r="F113" s="688">
        <f t="shared" si="38"/>
        <v>0.50437506971822477</v>
      </c>
      <c r="G113" s="688">
        <f t="shared" si="39"/>
        <v>0.50437506971822477</v>
      </c>
      <c r="H113" s="688">
        <f t="shared" si="40"/>
        <v>5.0437506971822473E-4</v>
      </c>
      <c r="N113" s="697">
        <v>0.8</v>
      </c>
      <c r="O113" s="721">
        <f t="shared" ref="O113:X113" si="42">(B67+B93)*$J$54</f>
        <v>0</v>
      </c>
      <c r="P113" s="721">
        <f t="shared" si="42"/>
        <v>6.6553316029492838E-3</v>
      </c>
      <c r="Q113" s="721">
        <f t="shared" si="42"/>
        <v>1.2969364149337066E-2</v>
      </c>
      <c r="R113" s="721">
        <f t="shared" si="42"/>
        <v>2.4573532072428121E-2</v>
      </c>
      <c r="S113" s="721">
        <f t="shared" si="42"/>
        <v>3.4812503769273175E-2</v>
      </c>
      <c r="T113" s="721">
        <f t="shared" si="42"/>
        <v>4.3686279239872221E-2</v>
      </c>
      <c r="U113" s="721">
        <f t="shared" si="42"/>
        <v>5.1194858484225253E-2</v>
      </c>
      <c r="V113" s="721">
        <f t="shared" si="42"/>
        <v>5.7338241502332285E-2</v>
      </c>
      <c r="W113" s="721">
        <f t="shared" si="42"/>
        <v>6.5529418859808328E-2</v>
      </c>
      <c r="X113" s="721">
        <f t="shared" si="42"/>
        <v>6.8259811312300342E-2</v>
      </c>
    </row>
    <row r="114" spans="1:25" x14ac:dyDescent="0.25">
      <c r="A114" s="549" t="s">
        <v>1466</v>
      </c>
      <c r="B114" s="549">
        <f>B113/(2*3.14)</f>
        <v>0.61359497532630758</v>
      </c>
      <c r="C114" s="549" t="s">
        <v>11</v>
      </c>
      <c r="D114" s="687">
        <v>0.4</v>
      </c>
      <c r="E114" s="736">
        <v>0.88700000000000001</v>
      </c>
      <c r="F114" s="688">
        <f t="shared" si="38"/>
        <v>0.54425874311443478</v>
      </c>
      <c r="G114" s="688">
        <f t="shared" si="39"/>
        <v>0.54425874311443478</v>
      </c>
      <c r="H114" s="688">
        <f t="shared" si="40"/>
        <v>5.4425874311443483E-4</v>
      </c>
      <c r="N114" s="697">
        <v>0.9</v>
      </c>
      <c r="O114" s="721">
        <f t="shared" ref="O114:X114" si="43">(B68+B94)*$J$55</f>
        <v>0</v>
      </c>
      <c r="P114" s="721">
        <f t="shared" si="43"/>
        <v>4.1327462373152808E-3</v>
      </c>
      <c r="Q114" s="721">
        <f t="shared" si="43"/>
        <v>8.0535567701528546E-3</v>
      </c>
      <c r="R114" s="721">
        <f t="shared" si="43"/>
        <v>1.5259370722394881E-2</v>
      </c>
      <c r="S114" s="721">
        <f t="shared" si="43"/>
        <v>2.1617441856726084E-2</v>
      </c>
      <c r="T114" s="721">
        <f t="shared" si="43"/>
        <v>2.7127770173146458E-2</v>
      </c>
      <c r="U114" s="721">
        <f t="shared" si="43"/>
        <v>3.1790355671656001E-2</v>
      </c>
      <c r="V114" s="721">
        <f t="shared" si="43"/>
        <v>3.5605198352254723E-2</v>
      </c>
      <c r="W114" s="721">
        <f t="shared" si="43"/>
        <v>4.0691655259719683E-2</v>
      </c>
      <c r="X114" s="721">
        <f t="shared" si="43"/>
        <v>4.2387140895541339E-2</v>
      </c>
    </row>
    <row r="115" spans="1:25" x14ac:dyDescent="0.25">
      <c r="D115" s="687">
        <v>0.5</v>
      </c>
      <c r="E115" s="735">
        <v>0.95</v>
      </c>
      <c r="F115" s="688">
        <f t="shared" si="38"/>
        <v>0.58291522655999217</v>
      </c>
      <c r="G115" s="688">
        <f t="shared" si="39"/>
        <v>0.58291522655999217</v>
      </c>
      <c r="H115" s="688">
        <f t="shared" si="40"/>
        <v>5.8291522655999216E-4</v>
      </c>
      <c r="N115" s="697">
        <v>1</v>
      </c>
      <c r="O115" s="721">
        <f t="shared" ref="O115:X115" si="44">(B69+B95)*$J$56</f>
        <v>0</v>
      </c>
      <c r="P115" s="721">
        <f t="shared" si="44"/>
        <v>1.6101608716812782E-3</v>
      </c>
      <c r="Q115" s="721">
        <f t="shared" si="44"/>
        <v>3.1377493909686446E-3</v>
      </c>
      <c r="R115" s="721">
        <f t="shared" si="44"/>
        <v>5.9452093723616423E-3</v>
      </c>
      <c r="S115" s="721">
        <f t="shared" si="44"/>
        <v>8.4223799441789943E-3</v>
      </c>
      <c r="T115" s="721">
        <f t="shared" si="44"/>
        <v>1.0569261106420699E-2</v>
      </c>
      <c r="U115" s="721">
        <f t="shared" si="44"/>
        <v>1.2385852859086756E-2</v>
      </c>
      <c r="V115" s="721">
        <f t="shared" si="44"/>
        <v>1.3872155202177164E-2</v>
      </c>
      <c r="W115" s="721">
        <f t="shared" si="44"/>
        <v>1.5853891659631046E-2</v>
      </c>
      <c r="X115" s="721">
        <f t="shared" si="44"/>
        <v>1.651447047878234E-2</v>
      </c>
    </row>
    <row r="116" spans="1:25" x14ac:dyDescent="0.25">
      <c r="B116" s="549">
        <v>90</v>
      </c>
      <c r="C116" s="549">
        <v>77</v>
      </c>
      <c r="D116" s="687">
        <v>0.6</v>
      </c>
      <c r="E116" s="736">
        <v>0.99199999999999999</v>
      </c>
      <c r="F116" s="688">
        <f t="shared" si="38"/>
        <v>0.60868621552369706</v>
      </c>
      <c r="G116" s="688">
        <f t="shared" si="39"/>
        <v>0.60868621552369706</v>
      </c>
      <c r="H116" s="688">
        <f t="shared" si="40"/>
        <v>6.0868621552369708E-4</v>
      </c>
    </row>
    <row r="117" spans="1:25" ht="12" customHeight="1" x14ac:dyDescent="0.25">
      <c r="B117" s="549">
        <f>B116-C116</f>
        <v>13</v>
      </c>
      <c r="D117" s="687">
        <v>0.7</v>
      </c>
      <c r="E117" s="737">
        <v>1</v>
      </c>
      <c r="F117" s="688">
        <f t="shared" si="38"/>
        <v>0.61359497532630758</v>
      </c>
      <c r="G117" s="688">
        <f t="shared" si="39"/>
        <v>0.61359497532630758</v>
      </c>
      <c r="H117" s="688">
        <f t="shared" si="40"/>
        <v>6.1359497532630753E-4</v>
      </c>
      <c r="N117" s="1311" t="s">
        <v>1420</v>
      </c>
      <c r="O117" s="1313" t="s">
        <v>1455</v>
      </c>
      <c r="P117" s="1313"/>
      <c r="Q117" s="1313"/>
      <c r="R117" s="1313"/>
      <c r="S117" s="1313"/>
      <c r="T117" s="1313"/>
      <c r="U117" s="1313"/>
      <c r="V117" s="1313"/>
      <c r="W117" s="1313"/>
      <c r="X117" s="1313"/>
      <c r="Y117" s="1313"/>
    </row>
    <row r="118" spans="1:25" x14ac:dyDescent="0.25">
      <c r="D118" s="687">
        <v>0.8</v>
      </c>
      <c r="E118" s="737">
        <v>1</v>
      </c>
      <c r="F118" s="688">
        <f t="shared" si="38"/>
        <v>0.61359497532630758</v>
      </c>
      <c r="G118" s="688">
        <f t="shared" si="39"/>
        <v>0.61359497532630758</v>
      </c>
      <c r="H118" s="688">
        <f t="shared" si="40"/>
        <v>6.1359497532630753E-4</v>
      </c>
      <c r="N118" s="1311"/>
      <c r="O118" s="730">
        <v>1</v>
      </c>
      <c r="P118" s="730">
        <v>0.95</v>
      </c>
      <c r="Q118" s="730">
        <v>0.9</v>
      </c>
      <c r="R118" s="738">
        <v>0.85</v>
      </c>
      <c r="S118" s="730">
        <v>0.8</v>
      </c>
      <c r="T118" s="730">
        <v>0.7</v>
      </c>
      <c r="U118" s="730">
        <v>0.6</v>
      </c>
      <c r="V118" s="730">
        <v>0.5</v>
      </c>
      <c r="W118" s="730">
        <v>0.4</v>
      </c>
      <c r="X118" s="730">
        <v>0.2</v>
      </c>
      <c r="Y118" s="730">
        <v>0</v>
      </c>
    </row>
    <row r="119" spans="1:25" x14ac:dyDescent="0.25">
      <c r="B119" s="549">
        <f>360-B117</f>
        <v>347</v>
      </c>
      <c r="D119" s="687">
        <v>0.9</v>
      </c>
      <c r="E119" s="737">
        <v>1</v>
      </c>
      <c r="F119" s="688">
        <f t="shared" si="38"/>
        <v>0.61359497532630758</v>
      </c>
      <c r="G119" s="688">
        <f t="shared" si="39"/>
        <v>0.61359497532630758</v>
      </c>
      <c r="H119" s="688">
        <f t="shared" si="40"/>
        <v>6.1359497532630753E-4</v>
      </c>
      <c r="N119" s="697">
        <v>0.2</v>
      </c>
      <c r="O119" s="721">
        <f t="shared" ref="O119:Y119" si="45">(B74+B99)*$J$48</f>
        <v>7.9564516837376129E-2</v>
      </c>
      <c r="P119" s="721">
        <f t="shared" si="45"/>
        <v>9.7913524793411491E-2</v>
      </c>
      <c r="Q119" s="721">
        <f t="shared" si="45"/>
        <v>0.11606138649901525</v>
      </c>
      <c r="R119" s="721">
        <f t="shared" si="45"/>
        <v>0.13197428986649049</v>
      </c>
      <c r="S119" s="721">
        <f t="shared" si="45"/>
        <v>0.14442300780986647</v>
      </c>
      <c r="T119" s="721">
        <f t="shared" si="45"/>
        <v>0.16471642952007362</v>
      </c>
      <c r="U119" s="721">
        <f t="shared" si="45"/>
        <v>0.18060698330416758</v>
      </c>
      <c r="V119" s="721">
        <f t="shared" si="45"/>
        <v>0.19421787958337039</v>
      </c>
      <c r="W119" s="721">
        <f t="shared" si="45"/>
        <v>0.20514682585681895</v>
      </c>
      <c r="X119" s="721">
        <f t="shared" si="45"/>
        <v>0.21900356755321596</v>
      </c>
      <c r="Y119" s="721">
        <f t="shared" si="45"/>
        <v>0.22349583381285432</v>
      </c>
    </row>
    <row r="120" spans="1:25" x14ac:dyDescent="0.25">
      <c r="N120" s="697">
        <v>0.3</v>
      </c>
      <c r="O120" s="721">
        <f t="shared" ref="O120:Y120" si="46">(B75+B100)*$J$49</f>
        <v>5.7765250660678655E-2</v>
      </c>
      <c r="P120" s="721">
        <f t="shared" si="46"/>
        <v>8.0551201400248434E-2</v>
      </c>
      <c r="Q120" s="721">
        <f t="shared" si="46"/>
        <v>9.7961802095444431E-2</v>
      </c>
      <c r="R120" s="721">
        <f t="shared" si="46"/>
        <v>0.1128428262991704</v>
      </c>
      <c r="S120" s="721">
        <f t="shared" si="46"/>
        <v>0.12491760158267183</v>
      </c>
      <c r="T120" s="721">
        <f t="shared" si="46"/>
        <v>0.14416609769745151</v>
      </c>
      <c r="U120" s="721">
        <f t="shared" si="46"/>
        <v>0.15855306399268726</v>
      </c>
      <c r="V120" s="721">
        <f t="shared" si="46"/>
        <v>0.17025235526573609</v>
      </c>
      <c r="W120" s="721">
        <f t="shared" si="46"/>
        <v>0.17920468456757921</v>
      </c>
      <c r="X120" s="721">
        <f t="shared" si="46"/>
        <v>0.19321616685236237</v>
      </c>
      <c r="Y120" s="721">
        <f t="shared" si="46"/>
        <v>0.19762316339609529</v>
      </c>
    </row>
    <row r="121" spans="1:25" x14ac:dyDescent="0.25">
      <c r="A121" s="1309" t="s">
        <v>1467</v>
      </c>
      <c r="B121" s="1309"/>
      <c r="C121" s="1309"/>
      <c r="D121" s="1309"/>
      <c r="E121" s="1309"/>
      <c r="F121" s="1309"/>
      <c r="G121" s="1309"/>
      <c r="H121" s="1309"/>
      <c r="I121" s="1309"/>
      <c r="J121" s="1309"/>
      <c r="K121" s="1309"/>
      <c r="N121" s="697">
        <v>0.4</v>
      </c>
      <c r="O121" s="721">
        <f t="shared" ref="O121:Y121" si="47">(B76+B101)*$J$50</f>
        <v>3.7458782518793247E-2</v>
      </c>
      <c r="P121" s="721">
        <f t="shared" si="47"/>
        <v>5.8429517711570213E-2</v>
      </c>
      <c r="Q121" s="721">
        <f t="shared" si="47"/>
        <v>7.4247738114967085E-2</v>
      </c>
      <c r="R121" s="721">
        <f t="shared" si="47"/>
        <v>8.8760654771721015E-2</v>
      </c>
      <c r="S121" s="721">
        <f t="shared" si="47"/>
        <v>0.10059426373799728</v>
      </c>
      <c r="T121" s="721">
        <f t="shared" si="47"/>
        <v>0.11931506747274494</v>
      </c>
      <c r="U121" s="721">
        <f t="shared" si="47"/>
        <v>0.13365623363651952</v>
      </c>
      <c r="V121" s="721">
        <f t="shared" si="47"/>
        <v>0.14487154082807019</v>
      </c>
      <c r="W121" s="721">
        <f t="shared" si="47"/>
        <v>0.15399149200527293</v>
      </c>
      <c r="X121" s="721">
        <f t="shared" si="47"/>
        <v>0.16702735442240457</v>
      </c>
      <c r="Y121" s="721">
        <f t="shared" si="47"/>
        <v>0.17175049297933631</v>
      </c>
    </row>
    <row r="122" spans="1:25" x14ac:dyDescent="0.25">
      <c r="N122" s="697">
        <v>0.5</v>
      </c>
      <c r="O122" s="721">
        <f t="shared" ref="O122:Y122" si="48">(B77+B102)*$J$51</f>
        <v>1.8643185723497383E-2</v>
      </c>
      <c r="P122" s="721">
        <f t="shared" si="48"/>
        <v>3.6877913543819543E-2</v>
      </c>
      <c r="Q122" s="721">
        <f t="shared" si="48"/>
        <v>5.1874153703252497E-2</v>
      </c>
      <c r="R122" s="721">
        <f t="shared" si="48"/>
        <v>6.5105272209678267E-2</v>
      </c>
      <c r="S122" s="721">
        <f t="shared" si="48"/>
        <v>7.6585856845353101E-2</v>
      </c>
      <c r="T122" s="721">
        <f t="shared" si="48"/>
        <v>9.5039401399519136E-2</v>
      </c>
      <c r="U122" s="721">
        <f t="shared" si="48"/>
        <v>0.1095834203090081</v>
      </c>
      <c r="V122" s="721">
        <f t="shared" si="48"/>
        <v>0.12083060042858282</v>
      </c>
      <c r="W122" s="721">
        <f t="shared" si="48"/>
        <v>0.12953950643556866</v>
      </c>
      <c r="X122" s="721">
        <f t="shared" si="48"/>
        <v>0.14164736570826258</v>
      </c>
      <c r="Y122" s="721">
        <f t="shared" si="48"/>
        <v>0.14587782256257734</v>
      </c>
    </row>
    <row r="123" spans="1:25" ht="12" customHeight="1" x14ac:dyDescent="0.25">
      <c r="D123" s="1311" t="s">
        <v>1420</v>
      </c>
      <c r="E123" s="1321" t="s">
        <v>1468</v>
      </c>
      <c r="F123" s="1321" t="s">
        <v>1469</v>
      </c>
      <c r="G123" s="1321" t="s">
        <v>1470</v>
      </c>
      <c r="N123" s="697">
        <v>0.6</v>
      </c>
      <c r="O123" s="721">
        <f t="shared" ref="O123:Y123" si="49">(B78+B103)*$J$52</f>
        <v>4.5841968119702597E-3</v>
      </c>
      <c r="P123" s="721">
        <f t="shared" si="49"/>
        <v>1.984885216491835E-2</v>
      </c>
      <c r="Q123" s="721">
        <f t="shared" si="49"/>
        <v>3.3445435903039569E-2</v>
      </c>
      <c r="R123" s="721">
        <f t="shared" si="49"/>
        <v>4.556595626976722E-2</v>
      </c>
      <c r="S123" s="721">
        <f t="shared" si="49"/>
        <v>5.551438338265556E-2</v>
      </c>
      <c r="T123" s="721">
        <f t="shared" si="49"/>
        <v>7.2723122200365906E-2</v>
      </c>
      <c r="U123" s="721">
        <f t="shared" si="49"/>
        <v>8.6403709544989202E-2</v>
      </c>
      <c r="V123" s="721">
        <f t="shared" si="49"/>
        <v>9.7084168085967038E-2</v>
      </c>
      <c r="W123" s="721">
        <f t="shared" si="49"/>
        <v>0.10548452873617431</v>
      </c>
      <c r="X123" s="721">
        <f t="shared" si="49"/>
        <v>0.11628499242929796</v>
      </c>
      <c r="Y123" s="721">
        <f t="shared" si="49"/>
        <v>0.12000515214581833</v>
      </c>
    </row>
    <row r="124" spans="1:25" x14ac:dyDescent="0.25">
      <c r="A124" s="549">
        <v>77</v>
      </c>
      <c r="D124" s="1311"/>
      <c r="E124" s="1321"/>
      <c r="F124" s="1321"/>
      <c r="G124" s="1321"/>
      <c r="N124" s="697">
        <v>0.7</v>
      </c>
      <c r="O124" s="721">
        <f t="shared" ref="O124:Y124" si="50">(B79+B104)*$J$53</f>
        <v>0</v>
      </c>
      <c r="P124" s="721">
        <f t="shared" si="50"/>
        <v>1.1672427734403357E-2</v>
      </c>
      <c r="Q124" s="721">
        <f t="shared" si="50"/>
        <v>2.1998760980081165E-2</v>
      </c>
      <c r="R124" s="721">
        <f t="shared" si="50"/>
        <v>3.1063718970589582E-2</v>
      </c>
      <c r="S124" s="721">
        <f t="shared" si="50"/>
        <v>3.8970847435830562E-2</v>
      </c>
      <c r="T124" s="721">
        <f t="shared" si="50"/>
        <v>5.2855388490866816E-2</v>
      </c>
      <c r="U124" s="721">
        <f t="shared" si="50"/>
        <v>6.4386617502676588E-2</v>
      </c>
      <c r="V124" s="721">
        <f t="shared" si="50"/>
        <v>7.3893998157311583E-2</v>
      </c>
      <c r="W124" s="721">
        <f t="shared" si="50"/>
        <v>8.1518729177365384E-2</v>
      </c>
      <c r="X124" s="721">
        <f t="shared" si="50"/>
        <v>9.10731760728649E-2</v>
      </c>
      <c r="Y124" s="721">
        <f t="shared" si="50"/>
        <v>9.4132481729059331E-2</v>
      </c>
    </row>
    <row r="125" spans="1:25" x14ac:dyDescent="0.25">
      <c r="A125" s="549">
        <v>76</v>
      </c>
      <c r="D125" s="697">
        <v>0.2</v>
      </c>
      <c r="E125" s="733">
        <v>0.115</v>
      </c>
      <c r="F125" s="733">
        <f t="shared" ref="F125:F133" si="51">(E125*$B$5)/100</f>
        <v>6.3305470168665634E-3</v>
      </c>
      <c r="G125" s="733">
        <f t="shared" ref="G125:G133" si="52">F125/2</f>
        <v>3.1652735084332817E-3</v>
      </c>
      <c r="N125" s="697">
        <v>0.8</v>
      </c>
      <c r="O125" s="721">
        <f t="shared" ref="O125:Y125" si="53">(B80+B105)*$J$54</f>
        <v>0</v>
      </c>
      <c r="P125" s="721">
        <f t="shared" si="53"/>
        <v>7.1672801877915356E-3</v>
      </c>
      <c r="Q125" s="721">
        <f t="shared" si="53"/>
        <v>1.384308973413451E-2</v>
      </c>
      <c r="R125" s="721">
        <f t="shared" si="53"/>
        <v>1.9965994808847847E-2</v>
      </c>
      <c r="S125" s="721">
        <f t="shared" si="53"/>
        <v>2.5699818959081078E-2</v>
      </c>
      <c r="T125" s="721">
        <f t="shared" si="53"/>
        <v>3.5938790655926131E-2</v>
      </c>
      <c r="U125" s="721">
        <f t="shared" si="53"/>
        <v>4.4676046503900571E-2</v>
      </c>
      <c r="V125" s="721">
        <f t="shared" si="53"/>
        <v>5.2116365936941307E-2</v>
      </c>
      <c r="W125" s="721">
        <f t="shared" si="53"/>
        <v>5.8157359238079888E-2</v>
      </c>
      <c r="X125" s="721">
        <f t="shared" si="53"/>
        <v>6.5768328199401385E-2</v>
      </c>
      <c r="Y125" s="721">
        <f t="shared" si="53"/>
        <v>6.8259811312300342E-2</v>
      </c>
    </row>
    <row r="126" spans="1:25" x14ac:dyDescent="0.25">
      <c r="A126" s="549">
        <v>74</v>
      </c>
      <c r="D126" s="697">
        <v>0.3</v>
      </c>
      <c r="E126" s="733">
        <v>0.105</v>
      </c>
      <c r="F126" s="733">
        <f t="shared" si="51"/>
        <v>5.7800646675738188E-3</v>
      </c>
      <c r="G126" s="733">
        <f t="shared" si="52"/>
        <v>2.8900323337869094E-3</v>
      </c>
      <c r="N126" s="697">
        <v>0.9</v>
      </c>
      <c r="O126" s="721">
        <f t="shared" ref="O126:Y126" si="54">(B81+B106)*$J$55</f>
        <v>0</v>
      </c>
      <c r="P126" s="721">
        <f t="shared" si="54"/>
        <v>4.1327462373152808E-3</v>
      </c>
      <c r="Q126" s="721">
        <f t="shared" si="54"/>
        <v>8.0535567701528546E-3</v>
      </c>
      <c r="R126" s="721">
        <f t="shared" si="54"/>
        <v>1.1762431598512722E-2</v>
      </c>
      <c r="S126" s="721">
        <f t="shared" si="54"/>
        <v>1.5259370722394881E-2</v>
      </c>
      <c r="T126" s="721">
        <f t="shared" si="54"/>
        <v>2.1617441856726084E-2</v>
      </c>
      <c r="U126" s="721">
        <f t="shared" si="54"/>
        <v>2.7127770173146458E-2</v>
      </c>
      <c r="V126" s="721">
        <f t="shared" si="54"/>
        <v>3.1790355671656001E-2</v>
      </c>
      <c r="W126" s="721">
        <f t="shared" si="54"/>
        <v>3.5605198352254723E-2</v>
      </c>
      <c r="X126" s="721">
        <f t="shared" si="54"/>
        <v>4.0691655259719683E-2</v>
      </c>
      <c r="Y126" s="721">
        <f t="shared" si="54"/>
        <v>4.2387140895541339E-2</v>
      </c>
    </row>
    <row r="127" spans="1:25" x14ac:dyDescent="0.25">
      <c r="A127" s="549">
        <v>71</v>
      </c>
      <c r="D127" s="697">
        <v>0.4</v>
      </c>
      <c r="E127" s="733">
        <v>9.5000000000000001E-2</v>
      </c>
      <c r="F127" s="733">
        <f t="shared" si="51"/>
        <v>5.2295823182810742E-3</v>
      </c>
      <c r="G127" s="733">
        <f t="shared" si="52"/>
        <v>2.6147911591405371E-3</v>
      </c>
      <c r="I127" s="549">
        <v>90</v>
      </c>
      <c r="J127" s="549">
        <v>60</v>
      </c>
      <c r="K127" s="549">
        <f>I127-J127</f>
        <v>30</v>
      </c>
      <c r="L127" s="549">
        <v>360</v>
      </c>
      <c r="M127" s="549">
        <f>L127-K127</f>
        <v>330</v>
      </c>
      <c r="N127" s="697">
        <v>1</v>
      </c>
      <c r="O127" s="721">
        <f t="shared" ref="O127:Y127" si="55">(B82+B107)*$J$56</f>
        <v>0</v>
      </c>
      <c r="P127" s="721">
        <f t="shared" si="55"/>
        <v>1.6101608716812782E-3</v>
      </c>
      <c r="Q127" s="721">
        <f t="shared" si="55"/>
        <v>3.1377493909686446E-3</v>
      </c>
      <c r="R127" s="721">
        <f t="shared" si="55"/>
        <v>4.5827655578620993E-3</v>
      </c>
      <c r="S127" s="721">
        <f t="shared" si="55"/>
        <v>5.9452093723616423E-3</v>
      </c>
      <c r="T127" s="721">
        <f t="shared" si="55"/>
        <v>8.4223799441789943E-3</v>
      </c>
      <c r="U127" s="721">
        <f t="shared" si="55"/>
        <v>1.0569261106420699E-2</v>
      </c>
      <c r="V127" s="721">
        <f t="shared" si="55"/>
        <v>1.2385852859086756E-2</v>
      </c>
      <c r="W127" s="721">
        <f t="shared" si="55"/>
        <v>1.3872155202177164E-2</v>
      </c>
      <c r="X127" s="721">
        <f t="shared" si="55"/>
        <v>1.5853891659631046E-2</v>
      </c>
      <c r="Y127" s="721">
        <f t="shared" si="55"/>
        <v>1.651447047878234E-2</v>
      </c>
    </row>
    <row r="128" spans="1:25" x14ac:dyDescent="0.25">
      <c r="A128" s="549">
        <v>69</v>
      </c>
      <c r="D128" s="697">
        <v>0.5</v>
      </c>
      <c r="E128" s="733">
        <v>8.5000000000000006E-2</v>
      </c>
      <c r="F128" s="733">
        <f t="shared" si="51"/>
        <v>4.6790999689883296E-3</v>
      </c>
      <c r="G128" s="733">
        <f t="shared" si="52"/>
        <v>2.3395499844941648E-3</v>
      </c>
    </row>
    <row r="129" spans="1:9" x14ac:dyDescent="0.25">
      <c r="A129" s="549">
        <v>65</v>
      </c>
      <c r="D129" s="697">
        <v>0.6</v>
      </c>
      <c r="E129" s="733">
        <v>7.0000000000000007E-2</v>
      </c>
      <c r="F129" s="733">
        <f t="shared" si="51"/>
        <v>3.8533764450492131E-3</v>
      </c>
      <c r="G129" s="733">
        <f t="shared" si="52"/>
        <v>1.9266882225246066E-3</v>
      </c>
    </row>
    <row r="130" spans="1:9" x14ac:dyDescent="0.25">
      <c r="A130" s="549">
        <v>61</v>
      </c>
      <c r="D130" s="697">
        <v>0.7</v>
      </c>
      <c r="E130" s="733">
        <v>5.5E-2</v>
      </c>
      <c r="F130" s="733">
        <f t="shared" si="51"/>
        <v>3.0276529211100953E-3</v>
      </c>
      <c r="G130" s="733">
        <f t="shared" si="52"/>
        <v>1.5138264605550477E-3</v>
      </c>
    </row>
    <row r="131" spans="1:9" x14ac:dyDescent="0.25">
      <c r="A131" s="549">
        <v>51</v>
      </c>
      <c r="D131" s="697">
        <v>0.8</v>
      </c>
      <c r="E131" s="733">
        <v>0.04</v>
      </c>
      <c r="F131" s="733">
        <f t="shared" si="51"/>
        <v>2.2019293971709784E-3</v>
      </c>
      <c r="G131" s="733">
        <f t="shared" si="52"/>
        <v>1.1009646985854892E-3</v>
      </c>
    </row>
    <row r="132" spans="1:9" x14ac:dyDescent="0.25">
      <c r="D132" s="697">
        <v>0.9</v>
      </c>
      <c r="E132" s="733">
        <v>0.04</v>
      </c>
      <c r="F132" s="733">
        <f t="shared" si="51"/>
        <v>2.2019293971709784E-3</v>
      </c>
      <c r="G132" s="733">
        <f t="shared" si="52"/>
        <v>1.1009646985854892E-3</v>
      </c>
    </row>
    <row r="133" spans="1:9" x14ac:dyDescent="0.25">
      <c r="D133" s="697">
        <v>1</v>
      </c>
      <c r="E133" s="733">
        <v>0.04</v>
      </c>
      <c r="F133" s="733">
        <f t="shared" si="51"/>
        <v>2.2019293971709784E-3</v>
      </c>
      <c r="G133" s="733">
        <f t="shared" si="52"/>
        <v>1.1009646985854892E-3</v>
      </c>
    </row>
    <row r="137" spans="1:9" x14ac:dyDescent="0.25">
      <c r="D137" s="549">
        <v>90</v>
      </c>
      <c r="E137" s="549">
        <v>77</v>
      </c>
      <c r="F137" s="549">
        <f t="shared" ref="F137:F145" si="56">D137-E137</f>
        <v>13</v>
      </c>
      <c r="H137" s="549">
        <v>360</v>
      </c>
      <c r="I137" s="549">
        <f t="shared" ref="I137:I145" si="57">H137-F137</f>
        <v>347</v>
      </c>
    </row>
    <row r="138" spans="1:9" x14ac:dyDescent="0.25">
      <c r="D138" s="549">
        <v>90</v>
      </c>
      <c r="E138" s="549">
        <v>76</v>
      </c>
      <c r="F138" s="549">
        <f t="shared" si="56"/>
        <v>14</v>
      </c>
      <c r="H138" s="549">
        <v>360</v>
      </c>
      <c r="I138" s="549">
        <f t="shared" si="57"/>
        <v>346</v>
      </c>
    </row>
    <row r="139" spans="1:9" x14ac:dyDescent="0.25">
      <c r="D139" s="549">
        <v>90</v>
      </c>
      <c r="E139" s="549">
        <v>74</v>
      </c>
      <c r="F139" s="549">
        <f t="shared" si="56"/>
        <v>16</v>
      </c>
      <c r="H139" s="549">
        <v>360</v>
      </c>
      <c r="I139" s="549">
        <f t="shared" si="57"/>
        <v>344</v>
      </c>
    </row>
    <row r="140" spans="1:9" x14ac:dyDescent="0.25">
      <c r="D140" s="549">
        <v>90</v>
      </c>
      <c r="E140" s="549">
        <v>72</v>
      </c>
      <c r="F140" s="549">
        <f t="shared" si="56"/>
        <v>18</v>
      </c>
      <c r="H140" s="549">
        <v>360</v>
      </c>
      <c r="I140" s="549">
        <f t="shared" si="57"/>
        <v>342</v>
      </c>
    </row>
    <row r="141" spans="1:9" x14ac:dyDescent="0.25">
      <c r="D141" s="549">
        <v>90</v>
      </c>
      <c r="E141" s="549">
        <v>70</v>
      </c>
      <c r="F141" s="549">
        <f t="shared" si="56"/>
        <v>20</v>
      </c>
      <c r="H141" s="549">
        <v>360</v>
      </c>
      <c r="I141" s="549">
        <f t="shared" si="57"/>
        <v>340</v>
      </c>
    </row>
    <row r="142" spans="1:9" x14ac:dyDescent="0.25">
      <c r="D142" s="549">
        <v>90</v>
      </c>
      <c r="E142" s="549">
        <v>66</v>
      </c>
      <c r="F142" s="549">
        <f t="shared" si="56"/>
        <v>24</v>
      </c>
      <c r="H142" s="549">
        <v>360</v>
      </c>
      <c r="I142" s="549">
        <f t="shared" si="57"/>
        <v>336</v>
      </c>
    </row>
    <row r="143" spans="1:9" x14ac:dyDescent="0.25">
      <c r="D143" s="549">
        <v>90</v>
      </c>
      <c r="E143" s="549">
        <v>62</v>
      </c>
      <c r="F143" s="549">
        <f t="shared" si="56"/>
        <v>28</v>
      </c>
      <c r="H143" s="549">
        <v>360</v>
      </c>
      <c r="I143" s="549">
        <f t="shared" si="57"/>
        <v>332</v>
      </c>
    </row>
    <row r="144" spans="1:9" x14ac:dyDescent="0.25">
      <c r="D144" s="549">
        <v>90</v>
      </c>
      <c r="E144" s="549">
        <v>57</v>
      </c>
      <c r="F144" s="549">
        <f t="shared" si="56"/>
        <v>33</v>
      </c>
      <c r="H144" s="549">
        <v>360</v>
      </c>
      <c r="I144" s="549">
        <f t="shared" si="57"/>
        <v>327</v>
      </c>
    </row>
    <row r="145" spans="4:25" x14ac:dyDescent="0.25">
      <c r="D145" s="549">
        <v>90</v>
      </c>
      <c r="E145" s="549">
        <v>48</v>
      </c>
      <c r="F145" s="549">
        <f t="shared" si="56"/>
        <v>42</v>
      </c>
      <c r="H145" s="549">
        <v>360</v>
      </c>
      <c r="I145" s="549">
        <f t="shared" si="57"/>
        <v>318</v>
      </c>
    </row>
    <row r="151" spans="4:25" x14ac:dyDescent="0.25">
      <c r="Y151" s="549">
        <f>19.05/15</f>
        <v>1.27</v>
      </c>
    </row>
  </sheetData>
  <mergeCells count="43">
    <mergeCell ref="A109:K109"/>
    <mergeCell ref="N117:N118"/>
    <mergeCell ref="O117:Y117"/>
    <mergeCell ref="A121:K121"/>
    <mergeCell ref="D123:D124"/>
    <mergeCell ref="E123:E124"/>
    <mergeCell ref="F123:F124"/>
    <mergeCell ref="G123:G124"/>
    <mergeCell ref="A97:A98"/>
    <mergeCell ref="B97:L97"/>
    <mergeCell ref="N104:Y104"/>
    <mergeCell ref="N105:N106"/>
    <mergeCell ref="O105:X105"/>
    <mergeCell ref="A84:K84"/>
    <mergeCell ref="A85:A86"/>
    <mergeCell ref="B85:K85"/>
    <mergeCell ref="N92:N93"/>
    <mergeCell ref="O92:Y92"/>
    <mergeCell ref="A70:K70"/>
    <mergeCell ref="A72:A73"/>
    <mergeCell ref="B72:L72"/>
    <mergeCell ref="N79:Y79"/>
    <mergeCell ref="N80:N81"/>
    <mergeCell ref="O80:X80"/>
    <mergeCell ref="M46:M47"/>
    <mergeCell ref="A58:K58"/>
    <mergeCell ref="N58:Y59"/>
    <mergeCell ref="A59:A60"/>
    <mergeCell ref="B59:K59"/>
    <mergeCell ref="N60:Y61"/>
    <mergeCell ref="C39:I39"/>
    <mergeCell ref="A44:K44"/>
    <mergeCell ref="A46:A47"/>
    <mergeCell ref="D46:D47"/>
    <mergeCell ref="F46:F47"/>
    <mergeCell ref="H46:I46"/>
    <mergeCell ref="A1:K1"/>
    <mergeCell ref="A3:I3"/>
    <mergeCell ref="A7:K7"/>
    <mergeCell ref="A9:A10"/>
    <mergeCell ref="C9:C10"/>
    <mergeCell ref="D9:D10"/>
    <mergeCell ref="E9:F9"/>
  </mergeCells>
  <pageMargins left="0.7" right="0.7" top="0.75" bottom="0.75" header="0.511811023622047" footer="0.511811023622047"/>
  <pageSetup fitToHeight="0"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V425"/>
  <sheetViews>
    <sheetView topLeftCell="A140" zoomScaleNormal="100" workbookViewId="0">
      <selection activeCell="F150" sqref="F150"/>
    </sheetView>
  </sheetViews>
  <sheetFormatPr defaultColWidth="8" defaultRowHeight="15.6" x14ac:dyDescent="0.3"/>
  <cols>
    <col min="1" max="1" width="3.8984375" style="529" customWidth="1"/>
    <col min="2" max="2" width="3.69921875" style="529" customWidth="1"/>
    <col min="3" max="3" width="10.09765625" style="529" customWidth="1"/>
    <col min="4" max="4" width="20.69921875" style="529" customWidth="1"/>
    <col min="5" max="5" width="12.5" style="529" customWidth="1"/>
    <col min="6" max="6" width="12.8984375" style="529" customWidth="1"/>
    <col min="7" max="7" width="13.5" style="529" customWidth="1"/>
    <col min="8" max="8" width="10" style="529" customWidth="1"/>
    <col min="9" max="9" width="11.3984375" style="529" customWidth="1"/>
    <col min="10" max="10" width="8" style="529"/>
    <col min="11" max="11" width="12.8984375" style="529" customWidth="1"/>
    <col min="12" max="16384" width="8" style="529"/>
  </cols>
  <sheetData>
    <row r="2" spans="2:10" x14ac:dyDescent="0.3">
      <c r="B2" s="1322" t="s">
        <v>116</v>
      </c>
      <c r="C2" s="1322"/>
      <c r="D2" s="1322"/>
      <c r="E2" s="1323" t="s">
        <v>330</v>
      </c>
      <c r="F2" s="1323"/>
      <c r="G2" s="497"/>
    </row>
    <row r="3" spans="2:10" x14ac:dyDescent="0.3">
      <c r="B3" s="1322" t="s">
        <v>118</v>
      </c>
      <c r="C3" s="1322"/>
      <c r="D3" s="1322"/>
      <c r="E3" s="529" t="e">
        <f>HARVARLD!F6</f>
        <v>#REF!</v>
      </c>
      <c r="G3" s="497" t="s">
        <v>11</v>
      </c>
    </row>
    <row r="4" spans="2:10" x14ac:dyDescent="0.3">
      <c r="B4" s="1322" t="s">
        <v>121</v>
      </c>
      <c r="C4" s="1322"/>
      <c r="D4" s="1322"/>
      <c r="E4" s="529" t="e">
        <f>HARVARLD!F8</f>
        <v>#REF!</v>
      </c>
      <c r="G4" s="497" t="s">
        <v>11</v>
      </c>
    </row>
    <row r="5" spans="2:10" x14ac:dyDescent="0.3">
      <c r="B5" s="1322" t="s">
        <v>124</v>
      </c>
      <c r="C5" s="1322"/>
      <c r="D5" s="1322"/>
      <c r="E5" s="740" t="e">
        <f>HARVARLD!F14</f>
        <v>#REF!</v>
      </c>
      <c r="F5" s="740"/>
      <c r="G5" s="497" t="s">
        <v>11</v>
      </c>
    </row>
    <row r="6" spans="2:10" x14ac:dyDescent="0.3">
      <c r="B6" s="1322" t="s">
        <v>12</v>
      </c>
      <c r="C6" s="1322"/>
      <c r="D6" s="1322"/>
      <c r="E6" s="529">
        <f>HARVARLD!F16</f>
        <v>23.7</v>
      </c>
      <c r="G6" s="497" t="s">
        <v>11</v>
      </c>
      <c r="I6" s="529" t="s">
        <v>1471</v>
      </c>
      <c r="J6" s="741">
        <v>5.0000000000000001E-3</v>
      </c>
    </row>
    <row r="7" spans="2:10" x14ac:dyDescent="0.3">
      <c r="B7" s="1322" t="s">
        <v>14</v>
      </c>
      <c r="C7" s="1322"/>
      <c r="D7" s="1322"/>
      <c r="E7" s="529">
        <f>HARVARLD!F23</f>
        <v>9.9469999999999992</v>
      </c>
      <c r="G7" s="497" t="s">
        <v>11</v>
      </c>
    </row>
    <row r="8" spans="2:10" x14ac:dyDescent="0.3">
      <c r="B8" s="497" t="s">
        <v>13</v>
      </c>
      <c r="C8" s="497"/>
      <c r="D8" s="497"/>
      <c r="E8" s="529">
        <f>HARVARLD!F25</f>
        <v>13.34</v>
      </c>
      <c r="G8" s="497" t="s">
        <v>11</v>
      </c>
    </row>
    <row r="9" spans="2:10" x14ac:dyDescent="0.3">
      <c r="B9" s="1322" t="s">
        <v>130</v>
      </c>
      <c r="C9" s="1322"/>
      <c r="D9" s="1322"/>
      <c r="E9" s="529">
        <f>HARVARLD!F27</f>
        <v>16</v>
      </c>
      <c r="G9" s="497" t="s">
        <v>16</v>
      </c>
    </row>
    <row r="10" spans="2:10" x14ac:dyDescent="0.3">
      <c r="B10" s="1324" t="s">
        <v>1472</v>
      </c>
      <c r="C10" s="1324"/>
      <c r="D10" s="1324"/>
      <c r="E10" s="743" t="e">
        <f>HARVARLD!F29</f>
        <v>#REF!</v>
      </c>
      <c r="F10" s="743"/>
      <c r="G10" s="497" t="s">
        <v>134</v>
      </c>
    </row>
    <row r="11" spans="2:10" x14ac:dyDescent="0.3">
      <c r="B11" s="1322" t="s">
        <v>19</v>
      </c>
      <c r="C11" s="1322"/>
      <c r="D11" s="1322"/>
      <c r="E11" s="529" t="e">
        <f>HARVARLD!F28</f>
        <v>#REF!</v>
      </c>
      <c r="G11" s="497" t="s">
        <v>20</v>
      </c>
    </row>
    <row r="12" spans="2:10" x14ac:dyDescent="0.3">
      <c r="B12" s="497" t="s">
        <v>137</v>
      </c>
      <c r="C12" s="497"/>
      <c r="D12" s="497"/>
      <c r="E12" s="529">
        <f>HARVARLD!F30</f>
        <v>0.98199999999999998</v>
      </c>
      <c r="G12" s="497"/>
    </row>
    <row r="13" spans="2:10" x14ac:dyDescent="0.3">
      <c r="B13" s="497" t="s">
        <v>140</v>
      </c>
      <c r="C13" s="497"/>
      <c r="D13" s="497"/>
      <c r="E13" s="529">
        <f>HARVARLD!F31</f>
        <v>0.68</v>
      </c>
      <c r="G13" s="497"/>
    </row>
    <row r="14" spans="2:10" x14ac:dyDescent="0.3">
      <c r="B14" s="497" t="s">
        <v>141</v>
      </c>
      <c r="C14" s="497"/>
      <c r="D14" s="497"/>
      <c r="E14" s="529">
        <f>HARVARLD!F32</f>
        <v>0.69</v>
      </c>
      <c r="G14" s="497"/>
    </row>
    <row r="15" spans="2:10" x14ac:dyDescent="0.3">
      <c r="B15" s="1324" t="s">
        <v>334</v>
      </c>
      <c r="C15" s="1324"/>
      <c r="D15" s="1324"/>
      <c r="E15" s="529" t="e">
        <f>J6*E5</f>
        <v>#REF!</v>
      </c>
      <c r="G15" s="497"/>
    </row>
    <row r="16" spans="2:10" x14ac:dyDescent="0.3">
      <c r="B16" s="1324" t="s">
        <v>335</v>
      </c>
      <c r="C16" s="1324"/>
      <c r="D16" s="1324"/>
      <c r="E16" s="1323" t="e">
        <f>'[2]Lines Plan'!$B$9</f>
        <v>#REF!</v>
      </c>
      <c r="F16" s="1323"/>
      <c r="G16" s="497"/>
    </row>
    <row r="17" spans="2:12" x14ac:dyDescent="0.3">
      <c r="B17" s="742"/>
      <c r="C17" s="742"/>
      <c r="D17" s="742"/>
      <c r="E17" s="739"/>
      <c r="F17" s="739"/>
      <c r="G17" s="497"/>
    </row>
    <row r="18" spans="2:12" x14ac:dyDescent="0.3">
      <c r="B18" s="744" t="s">
        <v>1473</v>
      </c>
      <c r="C18" s="744"/>
      <c r="D18" s="497"/>
      <c r="E18" s="497"/>
      <c r="F18" s="497"/>
      <c r="G18" s="497"/>
      <c r="I18" s="497"/>
      <c r="J18" s="497"/>
      <c r="K18" s="497"/>
      <c r="L18" s="497"/>
    </row>
    <row r="19" spans="2:12" x14ac:dyDescent="0.3">
      <c r="B19" s="745">
        <v>1</v>
      </c>
      <c r="C19" s="746" t="s">
        <v>1474</v>
      </c>
      <c r="D19" s="742"/>
      <c r="E19" s="504"/>
      <c r="F19" s="504"/>
      <c r="G19" s="497"/>
      <c r="I19" s="497"/>
      <c r="J19" s="497"/>
      <c r="K19" s="497"/>
      <c r="L19" s="497"/>
    </row>
    <row r="20" spans="2:12" ht="19.2" x14ac:dyDescent="0.4">
      <c r="B20" s="504"/>
      <c r="C20" s="518" t="s">
        <v>1475</v>
      </c>
      <c r="D20" s="497" t="s">
        <v>1476</v>
      </c>
      <c r="G20" s="497"/>
      <c r="I20" s="518"/>
      <c r="J20" s="747"/>
      <c r="K20" s="497"/>
      <c r="L20" s="497"/>
    </row>
    <row r="21" spans="2:12" x14ac:dyDescent="0.3">
      <c r="B21" s="504"/>
      <c r="C21" s="497" t="s">
        <v>107</v>
      </c>
      <c r="I21" s="748"/>
      <c r="L21" s="497"/>
    </row>
    <row r="22" spans="2:12" ht="18" x14ac:dyDescent="0.4">
      <c r="B22" s="504"/>
      <c r="C22" s="518" t="s">
        <v>1477</v>
      </c>
      <c r="D22" s="529" t="s">
        <v>1478</v>
      </c>
      <c r="F22" s="497"/>
      <c r="G22" s="497"/>
      <c r="I22" s="748"/>
      <c r="J22" s="749"/>
      <c r="L22" s="497"/>
    </row>
    <row r="23" spans="2:12" x14ac:dyDescent="0.3">
      <c r="B23" s="504"/>
      <c r="C23" s="518" t="s">
        <v>10</v>
      </c>
      <c r="D23" s="739">
        <f>'EN &amp; GEAR (2)'!C6</f>
        <v>8400</v>
      </c>
      <c r="E23" s="529" t="s">
        <v>260</v>
      </c>
      <c r="F23" s="497"/>
      <c r="G23" s="497"/>
      <c r="I23" s="748"/>
      <c r="J23" s="749"/>
      <c r="L23" s="497"/>
    </row>
    <row r="24" spans="2:12" ht="18" x14ac:dyDescent="0.4">
      <c r="B24" s="504"/>
      <c r="C24" s="518" t="s">
        <v>1479</v>
      </c>
      <c r="D24" s="497" t="s">
        <v>1480</v>
      </c>
      <c r="E24" s="740"/>
      <c r="F24" s="740"/>
      <c r="G24" s="497"/>
      <c r="I24" s="748"/>
      <c r="J24" s="750"/>
      <c r="K24" s="497"/>
    </row>
    <row r="25" spans="2:12" x14ac:dyDescent="0.3">
      <c r="B25" s="504"/>
      <c r="C25" s="518" t="s">
        <v>10</v>
      </c>
      <c r="D25" s="504">
        <v>183.4</v>
      </c>
      <c r="E25" s="740" t="s">
        <v>1481</v>
      </c>
      <c r="F25" s="740"/>
      <c r="G25" s="497"/>
      <c r="I25" s="748"/>
      <c r="J25" s="750"/>
      <c r="K25" s="497"/>
    </row>
    <row r="26" spans="2:12" x14ac:dyDescent="0.3">
      <c r="B26" s="504"/>
      <c r="C26" s="518" t="s">
        <v>152</v>
      </c>
      <c r="D26" s="497" t="s">
        <v>1482</v>
      </c>
      <c r="G26" s="497"/>
      <c r="I26" s="518"/>
      <c r="J26" s="497"/>
      <c r="K26" s="497"/>
      <c r="L26" s="497"/>
    </row>
    <row r="27" spans="2:12" x14ac:dyDescent="0.3">
      <c r="B27" s="504"/>
      <c r="C27" s="518" t="s">
        <v>10</v>
      </c>
      <c r="D27" s="504">
        <v>2910</v>
      </c>
      <c r="E27" s="529" t="s">
        <v>1483</v>
      </c>
      <c r="G27" s="497"/>
      <c r="I27" s="518"/>
      <c r="J27" s="497"/>
      <c r="K27" s="497"/>
      <c r="L27" s="497"/>
    </row>
    <row r="28" spans="2:12" x14ac:dyDescent="0.3">
      <c r="B28" s="504"/>
      <c r="C28" s="518" t="s">
        <v>823</v>
      </c>
      <c r="D28" s="497" t="s">
        <v>1484</v>
      </c>
      <c r="G28" s="497"/>
      <c r="I28" s="518"/>
      <c r="J28" s="751"/>
      <c r="K28" s="497"/>
      <c r="L28" s="497"/>
    </row>
    <row r="29" spans="2:12" x14ac:dyDescent="0.3">
      <c r="B29" s="504"/>
      <c r="C29" s="518" t="s">
        <v>10</v>
      </c>
      <c r="D29" s="504">
        <f>E9</f>
        <v>16</v>
      </c>
      <c r="E29" s="529" t="s">
        <v>16</v>
      </c>
      <c r="G29" s="497"/>
      <c r="I29" s="518"/>
      <c r="J29" s="751"/>
      <c r="K29" s="497"/>
      <c r="L29" s="497"/>
    </row>
    <row r="30" spans="2:12" x14ac:dyDescent="0.3">
      <c r="B30" s="504"/>
      <c r="C30" s="518" t="s">
        <v>1485</v>
      </c>
      <c r="D30" s="742" t="s">
        <v>1486</v>
      </c>
      <c r="G30" s="497"/>
    </row>
    <row r="31" spans="2:12" x14ac:dyDescent="0.3">
      <c r="B31" s="504"/>
      <c r="C31" s="518" t="s">
        <v>10</v>
      </c>
      <c r="D31" s="504">
        <v>1.4</v>
      </c>
      <c r="G31" s="497"/>
    </row>
    <row r="32" spans="2:12" x14ac:dyDescent="0.3">
      <c r="B32" s="504"/>
      <c r="C32" s="518"/>
      <c r="D32" s="497"/>
      <c r="G32" s="497"/>
    </row>
    <row r="33" spans="2:17" ht="18" x14ac:dyDescent="0.4">
      <c r="B33" s="504"/>
      <c r="C33" s="518" t="s">
        <v>1475</v>
      </c>
      <c r="D33" s="752">
        <f>D23*D25*(D27/D29)*(10^-6)*D31</f>
        <v>392.26508999999999</v>
      </c>
      <c r="E33" s="529" t="s">
        <v>134</v>
      </c>
      <c r="G33" s="497"/>
    </row>
    <row r="34" spans="2:17" x14ac:dyDescent="0.3">
      <c r="B34" s="504"/>
      <c r="C34" s="497"/>
      <c r="D34" s="497"/>
      <c r="G34" s="497"/>
    </row>
    <row r="35" spans="2:17" x14ac:dyDescent="0.3">
      <c r="B35" s="504"/>
      <c r="C35" s="742" t="s">
        <v>1487</v>
      </c>
      <c r="D35" s="742"/>
      <c r="G35" s="497"/>
    </row>
    <row r="36" spans="2:17" x14ac:dyDescent="0.3">
      <c r="B36" s="504"/>
      <c r="C36" s="742"/>
      <c r="D36" s="742"/>
      <c r="G36" s="497"/>
    </row>
    <row r="37" spans="2:17" ht="19.2" x14ac:dyDescent="0.4">
      <c r="B37" s="504"/>
      <c r="C37" s="518" t="s">
        <v>1488</v>
      </c>
      <c r="D37" s="742" t="s">
        <v>1489</v>
      </c>
      <c r="G37" s="497"/>
    </row>
    <row r="38" spans="2:17" x14ac:dyDescent="0.3">
      <c r="B38" s="739"/>
      <c r="C38" s="529" t="s">
        <v>107</v>
      </c>
    </row>
    <row r="39" spans="2:17" ht="18" x14ac:dyDescent="0.3">
      <c r="B39" s="739"/>
      <c r="C39" s="748" t="s">
        <v>782</v>
      </c>
      <c r="D39" s="739">
        <v>0.95</v>
      </c>
      <c r="E39" s="529" t="s">
        <v>1490</v>
      </c>
    </row>
    <row r="40" spans="2:17" x14ac:dyDescent="0.3">
      <c r="B40" s="739"/>
      <c r="D40" s="739"/>
    </row>
    <row r="41" spans="2:17" ht="18" x14ac:dyDescent="0.4">
      <c r="B41" s="739"/>
      <c r="C41" s="518" t="s">
        <v>1488</v>
      </c>
      <c r="D41" s="752">
        <f>D33/D39</f>
        <v>412.9106210526316</v>
      </c>
      <c r="E41" s="529" t="s">
        <v>1491</v>
      </c>
    </row>
    <row r="42" spans="2:17" x14ac:dyDescent="0.3">
      <c r="B42" s="739"/>
      <c r="D42" s="739"/>
    </row>
    <row r="43" spans="2:17" ht="15.75" customHeight="1" x14ac:dyDescent="0.3">
      <c r="B43" s="739"/>
      <c r="C43" s="529" t="s">
        <v>1492</v>
      </c>
      <c r="D43" s="739"/>
    </row>
    <row r="44" spans="2:17" ht="14.25" customHeight="1" x14ac:dyDescent="0.3">
      <c r="B44" s="739"/>
      <c r="C44" s="529" t="s">
        <v>1493</v>
      </c>
      <c r="D44" s="739"/>
      <c r="Q44" s="749"/>
    </row>
    <row r="45" spans="2:17" ht="14.25" customHeight="1" x14ac:dyDescent="0.3">
      <c r="B45" s="739"/>
      <c r="C45" s="748" t="s">
        <v>1494</v>
      </c>
      <c r="D45" s="753">
        <f>D41*2%</f>
        <v>8.2582124210526313</v>
      </c>
      <c r="E45" s="529" t="s">
        <v>1491</v>
      </c>
      <c r="Q45" s="749"/>
    </row>
    <row r="46" spans="2:17" ht="14.25" customHeight="1" x14ac:dyDescent="0.3">
      <c r="B46" s="739"/>
      <c r="D46" s="739"/>
      <c r="Q46" s="749"/>
    </row>
    <row r="47" spans="2:17" ht="14.25" customHeight="1" x14ac:dyDescent="0.3">
      <c r="B47" s="739"/>
      <c r="C47" s="529" t="s">
        <v>1495</v>
      </c>
      <c r="D47" s="739"/>
      <c r="F47" s="496"/>
      <c r="G47" s="496"/>
      <c r="H47" s="496"/>
    </row>
    <row r="48" spans="2:17" ht="14.25" customHeight="1" x14ac:dyDescent="0.3">
      <c r="B48" s="739"/>
      <c r="C48" s="748" t="s">
        <v>1494</v>
      </c>
      <c r="D48" s="753">
        <f>D41*2%</f>
        <v>8.2582124210526313</v>
      </c>
      <c r="E48" s="529" t="s">
        <v>1491</v>
      </c>
    </row>
    <row r="49" spans="2:22" ht="15.75" customHeight="1" x14ac:dyDescent="0.3">
      <c r="B49" s="739"/>
      <c r="D49" s="739"/>
      <c r="U49" s="529">
        <v>170</v>
      </c>
      <c r="V49" s="529">
        <v>4.9470588235294198E-3</v>
      </c>
    </row>
    <row r="50" spans="2:22" ht="15.75" customHeight="1" x14ac:dyDescent="0.3">
      <c r="B50" s="739"/>
      <c r="C50" s="529" t="s">
        <v>1496</v>
      </c>
      <c r="D50" s="739"/>
      <c r="K50" s="754"/>
      <c r="U50" s="529">
        <f>U49*V49</f>
        <v>0.84100000000000141</v>
      </c>
    </row>
    <row r="51" spans="2:22" ht="15.75" customHeight="1" x14ac:dyDescent="0.4">
      <c r="B51" s="739"/>
      <c r="C51" s="518" t="s">
        <v>1497</v>
      </c>
      <c r="D51" s="753">
        <f>D41+D45+D48</f>
        <v>429.42704589473686</v>
      </c>
      <c r="E51" s="529" t="s">
        <v>1491</v>
      </c>
      <c r="K51" s="743"/>
    </row>
    <row r="52" spans="2:22" ht="15.75" customHeight="1" x14ac:dyDescent="0.3">
      <c r="B52" s="739"/>
      <c r="C52" s="749"/>
      <c r="D52" s="739"/>
      <c r="K52" s="743"/>
    </row>
    <row r="53" spans="2:22" ht="15.75" customHeight="1" x14ac:dyDescent="0.3">
      <c r="B53" s="755">
        <v>2</v>
      </c>
      <c r="C53" s="756" t="s">
        <v>1498</v>
      </c>
      <c r="D53" s="739"/>
    </row>
    <row r="54" spans="2:22" ht="15.75" customHeight="1" x14ac:dyDescent="0.3">
      <c r="B54" s="739"/>
      <c r="C54" s="748" t="s">
        <v>1499</v>
      </c>
      <c r="D54" s="739" t="s">
        <v>1500</v>
      </c>
    </row>
    <row r="55" spans="2:22" ht="15.75" customHeight="1" x14ac:dyDescent="0.3">
      <c r="B55" s="739"/>
      <c r="C55" s="748" t="s">
        <v>10</v>
      </c>
      <c r="D55" s="753">
        <f>0.15*D33</f>
        <v>58.839763499999997</v>
      </c>
      <c r="E55" s="529" t="s">
        <v>134</v>
      </c>
    </row>
    <row r="56" spans="2:22" ht="15.75" customHeight="1" x14ac:dyDescent="0.3">
      <c r="B56" s="739"/>
      <c r="D56" s="739"/>
    </row>
    <row r="57" spans="2:22" ht="15.75" customHeight="1" x14ac:dyDescent="0.3">
      <c r="B57" s="739"/>
      <c r="C57" s="529" t="s">
        <v>1501</v>
      </c>
      <c r="D57" s="739"/>
    </row>
    <row r="58" spans="2:22" ht="15.75" customHeight="1" x14ac:dyDescent="0.3">
      <c r="B58" s="739"/>
      <c r="C58" s="748" t="s">
        <v>1502</v>
      </c>
      <c r="D58" s="749" t="s">
        <v>1503</v>
      </c>
    </row>
    <row r="59" spans="2:22" x14ac:dyDescent="0.3">
      <c r="B59" s="739"/>
    </row>
    <row r="60" spans="2:22" x14ac:dyDescent="0.3">
      <c r="B60" s="739"/>
      <c r="C60" s="529" t="s">
        <v>107</v>
      </c>
    </row>
    <row r="61" spans="2:22" ht="18" x14ac:dyDescent="0.3">
      <c r="B61" s="739"/>
      <c r="C61" s="748" t="s">
        <v>782</v>
      </c>
      <c r="D61" s="739">
        <v>0.95</v>
      </c>
      <c r="E61" s="529" t="s">
        <v>1490</v>
      </c>
    </row>
    <row r="62" spans="2:22" x14ac:dyDescent="0.3">
      <c r="B62" s="739"/>
    </row>
    <row r="63" spans="2:22" ht="15.75" customHeight="1" x14ac:dyDescent="0.3">
      <c r="B63" s="739"/>
      <c r="C63" s="748" t="s">
        <v>1502</v>
      </c>
      <c r="D63" s="753">
        <f>D55/D39</f>
        <v>61.936593157894734</v>
      </c>
      <c r="E63" s="529" t="s">
        <v>1491</v>
      </c>
      <c r="I63" s="739"/>
      <c r="J63" s="739"/>
      <c r="K63" s="739"/>
      <c r="L63" s="739"/>
      <c r="M63" s="739"/>
    </row>
    <row r="64" spans="2:22" x14ac:dyDescent="0.3">
      <c r="B64" s="739"/>
    </row>
    <row r="65" spans="2:6" ht="18" x14ac:dyDescent="0.3">
      <c r="B65" s="520"/>
      <c r="C65" s="529" t="s">
        <v>1504</v>
      </c>
      <c r="D65" s="749"/>
    </row>
    <row r="66" spans="2:6" ht="18" x14ac:dyDescent="0.3">
      <c r="B66" s="520"/>
      <c r="C66" s="748" t="s">
        <v>1505</v>
      </c>
      <c r="D66" s="753">
        <f>D63*4%</f>
        <v>2.4774637263157895</v>
      </c>
      <c r="E66" s="529" t="s">
        <v>1491</v>
      </c>
    </row>
    <row r="67" spans="2:6" x14ac:dyDescent="0.3">
      <c r="B67" s="739"/>
      <c r="D67" s="757"/>
    </row>
    <row r="68" spans="2:6" x14ac:dyDescent="0.3">
      <c r="B68" s="520"/>
      <c r="C68" s="529" t="s">
        <v>1506</v>
      </c>
      <c r="D68" s="739"/>
    </row>
    <row r="69" spans="2:6" ht="18" x14ac:dyDescent="0.3">
      <c r="B69" s="739"/>
      <c r="C69" s="529" t="s">
        <v>1507</v>
      </c>
      <c r="D69" s="753">
        <f>D63+D66</f>
        <v>64.414056884210524</v>
      </c>
      <c r="E69" s="529" t="s">
        <v>1491</v>
      </c>
    </row>
    <row r="70" spans="2:6" x14ac:dyDescent="0.3">
      <c r="B70" s="739"/>
      <c r="D70" s="739"/>
    </row>
    <row r="71" spans="2:6" x14ac:dyDescent="0.3">
      <c r="B71" s="758">
        <v>3</v>
      </c>
      <c r="C71" s="528" t="s">
        <v>1508</v>
      </c>
    </row>
    <row r="72" spans="2:6" ht="19.2" x14ac:dyDescent="0.4">
      <c r="B72" s="739"/>
      <c r="C72" s="748" t="s">
        <v>1509</v>
      </c>
      <c r="D72" s="497" t="s">
        <v>1510</v>
      </c>
      <c r="E72" s="496"/>
      <c r="F72" s="496"/>
    </row>
    <row r="73" spans="2:6" x14ac:dyDescent="0.3">
      <c r="B73" s="739"/>
      <c r="C73" s="497" t="s">
        <v>107</v>
      </c>
      <c r="D73" s="739"/>
    </row>
    <row r="74" spans="2:6" ht="18" x14ac:dyDescent="0.4">
      <c r="B74" s="739"/>
      <c r="C74" s="518" t="s">
        <v>1511</v>
      </c>
      <c r="D74" s="497" t="s">
        <v>1512</v>
      </c>
    </row>
    <row r="75" spans="2:6" x14ac:dyDescent="0.3">
      <c r="B75" s="739"/>
      <c r="C75" s="748" t="s">
        <v>10</v>
      </c>
      <c r="D75" s="739">
        <v>1.4</v>
      </c>
    </row>
    <row r="76" spans="2:6" x14ac:dyDescent="0.3">
      <c r="B76" s="739"/>
      <c r="D76" s="739"/>
    </row>
    <row r="77" spans="2:6" ht="18" x14ac:dyDescent="0.3">
      <c r="B77" s="739"/>
      <c r="C77" s="748" t="s">
        <v>1509</v>
      </c>
      <c r="D77" s="752">
        <f>D23*D75*(D27/D29)*(10^-6)*D31</f>
        <v>2.9943899999999992</v>
      </c>
      <c r="E77" s="529" t="s">
        <v>134</v>
      </c>
    </row>
    <row r="78" spans="2:6" x14ac:dyDescent="0.3">
      <c r="B78" s="739"/>
      <c r="C78" s="739"/>
      <c r="D78" s="739"/>
    </row>
    <row r="79" spans="2:6" x14ac:dyDescent="0.3">
      <c r="B79" s="739"/>
      <c r="C79" s="742" t="s">
        <v>1513</v>
      </c>
      <c r="D79" s="742"/>
    </row>
    <row r="80" spans="2:6" x14ac:dyDescent="0.3">
      <c r="B80" s="739"/>
      <c r="C80" s="742"/>
      <c r="D80" s="742"/>
    </row>
    <row r="81" spans="2:9" ht="19.2" x14ac:dyDescent="0.4">
      <c r="B81" s="739"/>
      <c r="C81" s="518" t="s">
        <v>1514</v>
      </c>
      <c r="D81" s="742" t="s">
        <v>1515</v>
      </c>
    </row>
    <row r="82" spans="2:9" x14ac:dyDescent="0.3">
      <c r="B82" s="739"/>
      <c r="C82" s="529" t="s">
        <v>107</v>
      </c>
    </row>
    <row r="83" spans="2:9" ht="18" x14ac:dyDescent="0.3">
      <c r="B83" s="739"/>
      <c r="C83" s="748" t="s">
        <v>782</v>
      </c>
      <c r="D83" s="739">
        <v>0.9</v>
      </c>
      <c r="E83" s="529" t="s">
        <v>1490</v>
      </c>
    </row>
    <row r="84" spans="2:9" x14ac:dyDescent="0.3">
      <c r="B84" s="739"/>
      <c r="D84" s="739"/>
    </row>
    <row r="85" spans="2:9" ht="18" x14ac:dyDescent="0.4">
      <c r="B85" s="739"/>
      <c r="C85" s="518" t="s">
        <v>1514</v>
      </c>
      <c r="D85" s="752">
        <f>D77/D83</f>
        <v>3.3270999999999988</v>
      </c>
      <c r="E85" s="529" t="s">
        <v>1491</v>
      </c>
    </row>
    <row r="86" spans="2:9" x14ac:dyDescent="0.3">
      <c r="B86" s="739"/>
      <c r="D86" s="739"/>
    </row>
    <row r="87" spans="2:9" ht="18" x14ac:dyDescent="0.3">
      <c r="B87" s="739"/>
      <c r="C87" s="529" t="s">
        <v>1516</v>
      </c>
      <c r="D87" s="749"/>
    </row>
    <row r="88" spans="2:9" ht="18" x14ac:dyDescent="0.3">
      <c r="B88" s="739"/>
      <c r="C88" s="748" t="s">
        <v>1517</v>
      </c>
      <c r="D88" s="753">
        <f>D85*4%</f>
        <v>0.13308399999999995</v>
      </c>
      <c r="E88" s="529" t="s">
        <v>1491</v>
      </c>
    </row>
    <row r="89" spans="2:9" x14ac:dyDescent="0.3">
      <c r="B89" s="739"/>
      <c r="C89" s="748"/>
    </row>
    <row r="90" spans="2:9" x14ac:dyDescent="0.3">
      <c r="B90" s="739"/>
      <c r="C90" s="529" t="s">
        <v>1518</v>
      </c>
      <c r="D90" s="739"/>
    </row>
    <row r="91" spans="2:9" ht="18" x14ac:dyDescent="0.3">
      <c r="B91" s="739"/>
      <c r="C91" s="529" t="s">
        <v>1519</v>
      </c>
      <c r="D91" s="753">
        <f>(D85+D88)</f>
        <v>3.4601839999999986</v>
      </c>
      <c r="E91" s="529" t="s">
        <v>1491</v>
      </c>
    </row>
    <row r="92" spans="2:9" x14ac:dyDescent="0.3">
      <c r="B92" s="739"/>
      <c r="C92" s="748"/>
      <c r="D92" s="749"/>
      <c r="E92" s="759"/>
    </row>
    <row r="93" spans="2:9" ht="18" x14ac:dyDescent="0.3">
      <c r="B93" s="755">
        <v>4</v>
      </c>
      <c r="C93" s="528" t="s">
        <v>1520</v>
      </c>
    </row>
    <row r="94" spans="2:9" x14ac:dyDescent="0.3">
      <c r="B94" s="739"/>
      <c r="C94" s="1325" t="s">
        <v>1521</v>
      </c>
      <c r="D94" s="1325"/>
      <c r="E94" s="529" t="s">
        <v>1522</v>
      </c>
    </row>
    <row r="95" spans="2:9" x14ac:dyDescent="0.3">
      <c r="B95" s="739"/>
      <c r="C95" s="749"/>
      <c r="D95" s="748" t="s">
        <v>10</v>
      </c>
      <c r="E95" s="529" t="s">
        <v>1523</v>
      </c>
    </row>
    <row r="96" spans="2:9" x14ac:dyDescent="0.3">
      <c r="B96" s="739"/>
      <c r="C96" s="749"/>
      <c r="D96" s="748" t="s">
        <v>10</v>
      </c>
      <c r="E96" s="753">
        <f>(20*ABK!F41*D27)/(24*D29)</f>
        <v>3031.25</v>
      </c>
      <c r="F96" s="529" t="s">
        <v>648</v>
      </c>
      <c r="I96" s="529" t="s">
        <v>1096</v>
      </c>
    </row>
    <row r="97" spans="2:6" x14ac:dyDescent="0.3">
      <c r="B97" s="739"/>
      <c r="C97" s="749"/>
      <c r="D97" s="748" t="s">
        <v>10</v>
      </c>
      <c r="E97" s="753">
        <f>E96/1000</f>
        <v>3.03125</v>
      </c>
      <c r="F97" s="529" t="s">
        <v>134</v>
      </c>
    </row>
    <row r="98" spans="2:6" x14ac:dyDescent="0.3">
      <c r="B98" s="739"/>
      <c r="C98" s="1325" t="s">
        <v>1524</v>
      </c>
      <c r="D98" s="1325"/>
      <c r="E98" s="529" t="s">
        <v>1525</v>
      </c>
    </row>
    <row r="99" spans="2:6" x14ac:dyDescent="0.3">
      <c r="B99" s="739"/>
      <c r="C99" s="749"/>
      <c r="D99" s="748" t="s">
        <v>10</v>
      </c>
      <c r="E99" s="529" t="s">
        <v>1526</v>
      </c>
    </row>
    <row r="100" spans="2:6" x14ac:dyDescent="0.3">
      <c r="B100" s="739"/>
      <c r="C100" s="749"/>
      <c r="D100" s="748" t="s">
        <v>10</v>
      </c>
      <c r="E100" s="753">
        <f>(140*ABK!F41*D27)/(24*D29)</f>
        <v>21218.75</v>
      </c>
      <c r="F100" s="529" t="s">
        <v>648</v>
      </c>
    </row>
    <row r="101" spans="2:6" x14ac:dyDescent="0.3">
      <c r="B101" s="739"/>
      <c r="C101" s="749"/>
      <c r="D101" s="748" t="s">
        <v>10</v>
      </c>
      <c r="E101" s="753">
        <f>E100/1000</f>
        <v>21.21875</v>
      </c>
      <c r="F101" s="529" t="s">
        <v>134</v>
      </c>
    </row>
    <row r="102" spans="2:6" x14ac:dyDescent="0.3">
      <c r="B102" s="739"/>
      <c r="C102" s="1323" t="s">
        <v>1527</v>
      </c>
      <c r="D102" s="1323"/>
      <c r="E102" s="529" t="s">
        <v>1528</v>
      </c>
    </row>
    <row r="103" spans="2:6" x14ac:dyDescent="0.3">
      <c r="B103" s="739"/>
      <c r="D103" s="748" t="s">
        <v>10</v>
      </c>
      <c r="E103" s="739">
        <f>3.5*D23</f>
        <v>29400</v>
      </c>
      <c r="F103" s="529" t="s">
        <v>648</v>
      </c>
    </row>
    <row r="104" spans="2:6" x14ac:dyDescent="0.3">
      <c r="B104" s="739"/>
      <c r="C104" s="760"/>
      <c r="D104" s="761" t="s">
        <v>10</v>
      </c>
      <c r="E104" s="529">
        <f>E103/1000</f>
        <v>29.4</v>
      </c>
      <c r="F104" s="529" t="s">
        <v>134</v>
      </c>
    </row>
    <row r="105" spans="2:6" x14ac:dyDescent="0.3">
      <c r="B105" s="739"/>
      <c r="C105" s="760"/>
      <c r="D105" s="762"/>
    </row>
    <row r="106" spans="2:6" x14ac:dyDescent="0.3">
      <c r="B106" s="739"/>
      <c r="C106" s="749" t="s">
        <v>1529</v>
      </c>
      <c r="D106" s="762"/>
      <c r="E106" s="762">
        <f>(E96+E100+E103)/1000</f>
        <v>53.65</v>
      </c>
      <c r="F106" s="529" t="s">
        <v>134</v>
      </c>
    </row>
    <row r="107" spans="2:6" x14ac:dyDescent="0.3">
      <c r="B107" s="739"/>
      <c r="C107" s="749"/>
      <c r="D107" s="762"/>
      <c r="E107" s="762"/>
    </row>
    <row r="108" spans="2:6" x14ac:dyDescent="0.3">
      <c r="B108" s="739"/>
      <c r="C108" s="742" t="s">
        <v>1530</v>
      </c>
      <c r="D108" s="742"/>
    </row>
    <row r="109" spans="2:6" x14ac:dyDescent="0.3">
      <c r="B109" s="739"/>
      <c r="C109" s="742"/>
      <c r="D109" s="742"/>
    </row>
    <row r="110" spans="2:6" ht="19.2" x14ac:dyDescent="0.4">
      <c r="B110" s="739"/>
      <c r="C110" s="518" t="s">
        <v>1531</v>
      </c>
      <c r="D110" s="742" t="s">
        <v>1515</v>
      </c>
    </row>
    <row r="111" spans="2:6" x14ac:dyDescent="0.3">
      <c r="B111" s="739"/>
      <c r="C111" s="529" t="s">
        <v>107</v>
      </c>
    </row>
    <row r="112" spans="2:6" ht="18" x14ac:dyDescent="0.3">
      <c r="B112" s="739"/>
      <c r="C112" s="748" t="s">
        <v>782</v>
      </c>
      <c r="D112" s="739">
        <v>1</v>
      </c>
      <c r="E112" s="529" t="s">
        <v>1490</v>
      </c>
    </row>
    <row r="113" spans="2:6" x14ac:dyDescent="0.3">
      <c r="B113" s="739"/>
      <c r="D113" s="739"/>
    </row>
    <row r="114" spans="2:6" ht="18" x14ac:dyDescent="0.4">
      <c r="B114" s="739"/>
      <c r="C114" s="518" t="s">
        <v>1531</v>
      </c>
      <c r="D114" s="752">
        <f>E106/D112</f>
        <v>53.65</v>
      </c>
      <c r="E114" s="529" t="s">
        <v>1491</v>
      </c>
    </row>
    <row r="115" spans="2:6" x14ac:dyDescent="0.3">
      <c r="B115" s="739"/>
      <c r="C115" s="749"/>
      <c r="D115" s="762"/>
      <c r="E115" s="762"/>
    </row>
    <row r="116" spans="2:6" ht="18" x14ac:dyDescent="0.3">
      <c r="B116" s="755">
        <v>5</v>
      </c>
      <c r="C116" s="756" t="s">
        <v>1532</v>
      </c>
    </row>
    <row r="117" spans="2:6" ht="18" x14ac:dyDescent="0.3">
      <c r="B117" s="739"/>
      <c r="C117" s="748" t="s">
        <v>1533</v>
      </c>
      <c r="D117" s="529" t="s">
        <v>1534</v>
      </c>
    </row>
    <row r="118" spans="2:6" x14ac:dyDescent="0.3">
      <c r="B118" s="739"/>
      <c r="C118" s="748" t="s">
        <v>10</v>
      </c>
      <c r="D118" s="529" t="s">
        <v>1535</v>
      </c>
    </row>
    <row r="119" spans="2:6" x14ac:dyDescent="0.3">
      <c r="B119" s="739"/>
      <c r="C119" s="748" t="s">
        <v>10</v>
      </c>
      <c r="D119" s="762">
        <f>(5*ABK!F41*D27)/(24*D29)</f>
        <v>757.8125</v>
      </c>
    </row>
    <row r="120" spans="2:6" x14ac:dyDescent="0.3">
      <c r="B120" s="739"/>
      <c r="C120" s="748" t="s">
        <v>10</v>
      </c>
      <c r="D120" s="762">
        <f>D119/1000</f>
        <v>0.7578125</v>
      </c>
    </row>
    <row r="121" spans="2:6" x14ac:dyDescent="0.3">
      <c r="B121" s="739"/>
    </row>
    <row r="122" spans="2:6" ht="18" x14ac:dyDescent="0.3">
      <c r="B122" s="745">
        <v>6</v>
      </c>
      <c r="C122" s="528" t="s">
        <v>1536</v>
      </c>
    </row>
    <row r="123" spans="2:6" x14ac:dyDescent="0.3">
      <c r="B123" s="739"/>
      <c r="C123" s="1325" t="s">
        <v>1537</v>
      </c>
      <c r="D123" s="1325"/>
      <c r="E123" s="529" t="s">
        <v>1538</v>
      </c>
    </row>
    <row r="124" spans="2:6" x14ac:dyDescent="0.3">
      <c r="B124" s="739"/>
      <c r="C124" s="749"/>
      <c r="D124" s="748" t="s">
        <v>10</v>
      </c>
      <c r="E124" s="529" t="s">
        <v>1539</v>
      </c>
    </row>
    <row r="125" spans="2:6" x14ac:dyDescent="0.3">
      <c r="B125" s="739"/>
      <c r="D125" s="748" t="s">
        <v>10</v>
      </c>
      <c r="E125" s="762">
        <f>(75*ABK!F41*(10^-3))</f>
        <v>1.5</v>
      </c>
      <c r="F125" s="529" t="s">
        <v>134</v>
      </c>
    </row>
    <row r="126" spans="2:6" x14ac:dyDescent="0.3">
      <c r="B126" s="739"/>
      <c r="D126" s="748"/>
      <c r="E126" s="762"/>
    </row>
    <row r="127" spans="2:6" x14ac:dyDescent="0.3">
      <c r="B127" s="739"/>
      <c r="C127" s="1325" t="s">
        <v>1540</v>
      </c>
      <c r="D127" s="1325"/>
      <c r="E127" s="529" t="s">
        <v>1541</v>
      </c>
    </row>
    <row r="128" spans="2:6" x14ac:dyDescent="0.3">
      <c r="B128" s="739"/>
      <c r="C128" s="749"/>
      <c r="D128" s="748" t="s">
        <v>10</v>
      </c>
      <c r="E128" s="529" t="s">
        <v>1542</v>
      </c>
    </row>
    <row r="129" spans="2:11" x14ac:dyDescent="0.3">
      <c r="B129" s="739"/>
      <c r="C129" s="748"/>
      <c r="D129" s="748" t="s">
        <v>10</v>
      </c>
      <c r="E129" s="762">
        <f>(25*ABK!F41*(10^-3))</f>
        <v>0.5</v>
      </c>
      <c r="F129" s="529" t="s">
        <v>134</v>
      </c>
    </row>
    <row r="130" spans="2:11" x14ac:dyDescent="0.3">
      <c r="B130" s="739"/>
      <c r="D130" s="748"/>
      <c r="E130" s="762"/>
    </row>
    <row r="131" spans="2:11" x14ac:dyDescent="0.3">
      <c r="B131" s="739"/>
    </row>
    <row r="132" spans="2:11" ht="15" customHeight="1" x14ac:dyDescent="0.3">
      <c r="B132" s="739"/>
      <c r="C132" s="520" t="s">
        <v>1543</v>
      </c>
      <c r="D132" s="763" t="s">
        <v>1544</v>
      </c>
      <c r="E132" s="520"/>
      <c r="F132" s="520"/>
      <c r="G132" s="520"/>
      <c r="H132" s="520"/>
      <c r="I132" s="520"/>
      <c r="J132" s="520"/>
      <c r="K132" s="520"/>
    </row>
    <row r="133" spans="2:11" x14ac:dyDescent="0.3">
      <c r="B133" s="739"/>
      <c r="C133" s="520" t="s">
        <v>10</v>
      </c>
      <c r="D133" s="507">
        <f>(E125+E129)</f>
        <v>2</v>
      </c>
      <c r="E133" s="517" t="s">
        <v>134</v>
      </c>
      <c r="F133" s="764"/>
      <c r="G133" s="764"/>
      <c r="H133" s="520"/>
      <c r="I133" s="516"/>
      <c r="J133" s="516"/>
      <c r="K133" s="765"/>
    </row>
    <row r="134" spans="2:11" x14ac:dyDescent="0.3">
      <c r="B134" s="739"/>
      <c r="C134" s="520"/>
      <c r="D134" s="506"/>
      <c r="E134" s="520"/>
      <c r="F134" s="764"/>
      <c r="G134" s="764"/>
      <c r="H134" s="520"/>
      <c r="I134" s="516"/>
      <c r="J134" s="516"/>
      <c r="K134" s="765"/>
    </row>
    <row r="135" spans="2:11" x14ac:dyDescent="0.3">
      <c r="B135" s="755">
        <v>7</v>
      </c>
      <c r="C135" s="766" t="s">
        <v>1545</v>
      </c>
      <c r="D135" s="506"/>
      <c r="E135" s="520"/>
      <c r="F135" s="764"/>
      <c r="G135" s="764"/>
      <c r="H135" s="520"/>
      <c r="I135" s="516"/>
      <c r="J135" s="516"/>
      <c r="K135" s="765"/>
    </row>
    <row r="136" spans="2:11" x14ac:dyDescent="0.3">
      <c r="B136" s="739"/>
      <c r="C136" s="517" t="s">
        <v>1546</v>
      </c>
      <c r="D136" s="506"/>
      <c r="E136" s="520"/>
      <c r="F136" s="764"/>
      <c r="G136" s="764"/>
      <c r="H136" s="520"/>
      <c r="I136" s="516"/>
      <c r="J136" s="516"/>
      <c r="K136" s="765"/>
    </row>
    <row r="137" spans="2:11" x14ac:dyDescent="0.3">
      <c r="B137" s="739"/>
      <c r="C137" s="517" t="s">
        <v>1547</v>
      </c>
      <c r="D137" s="506"/>
      <c r="E137" s="520"/>
      <c r="F137" s="764"/>
      <c r="G137" s="764"/>
      <c r="H137" s="520"/>
      <c r="I137" s="516"/>
      <c r="J137" s="516"/>
      <c r="K137" s="765"/>
    </row>
    <row r="138" spans="2:11" x14ac:dyDescent="0.3">
      <c r="B138" s="739"/>
      <c r="C138" s="517" t="s">
        <v>1548</v>
      </c>
      <c r="D138" s="506"/>
      <c r="E138" s="520"/>
      <c r="F138" s="764"/>
      <c r="G138" s="764"/>
      <c r="H138" s="520"/>
      <c r="I138" s="516"/>
      <c r="J138" s="516"/>
      <c r="K138" s="765"/>
    </row>
    <row r="139" spans="2:11" x14ac:dyDescent="0.3">
      <c r="B139" s="739"/>
      <c r="C139" s="749" t="s">
        <v>1549</v>
      </c>
      <c r="D139" s="506"/>
      <c r="E139" s="520"/>
      <c r="F139" s="764"/>
      <c r="G139" s="764"/>
      <c r="H139" s="520"/>
      <c r="I139" s="516"/>
      <c r="J139" s="516"/>
      <c r="K139" s="765"/>
    </row>
    <row r="140" spans="2:11" x14ac:dyDescent="0.3">
      <c r="B140" s="739"/>
      <c r="C140" s="520"/>
      <c r="D140" s="506"/>
      <c r="E140" s="520"/>
      <c r="F140" s="764"/>
      <c r="G140" s="764"/>
      <c r="H140" s="520"/>
      <c r="I140" s="516"/>
      <c r="J140" s="516"/>
      <c r="K140" s="765"/>
    </row>
    <row r="141" spans="2:11" ht="18" x14ac:dyDescent="0.3">
      <c r="B141" s="739"/>
      <c r="C141" s="748" t="s">
        <v>1550</v>
      </c>
      <c r="D141" s="767" t="s">
        <v>1551</v>
      </c>
      <c r="E141" s="520"/>
      <c r="F141" s="764"/>
      <c r="G141" s="764"/>
      <c r="H141" s="520"/>
      <c r="I141" s="516"/>
      <c r="J141" s="516"/>
      <c r="K141" s="765"/>
    </row>
    <row r="142" spans="2:11" x14ac:dyDescent="0.3">
      <c r="B142" s="739"/>
      <c r="C142" s="514" t="s">
        <v>10</v>
      </c>
      <c r="D142" s="768" t="e">
        <f>E10*1%</f>
        <v>#REF!</v>
      </c>
      <c r="E142" s="517" t="s">
        <v>134</v>
      </c>
      <c r="F142" s="764"/>
      <c r="G142" s="764"/>
      <c r="H142" s="520"/>
      <c r="I142" s="516"/>
      <c r="J142" s="516"/>
      <c r="K142" s="765"/>
    </row>
    <row r="143" spans="2:11" x14ac:dyDescent="0.3">
      <c r="B143" s="739"/>
      <c r="C143" s="520"/>
      <c r="D143" s="506"/>
      <c r="E143" s="520"/>
      <c r="F143" s="764"/>
      <c r="G143" s="764"/>
      <c r="H143" s="520"/>
      <c r="I143" s="516"/>
      <c r="J143" s="516"/>
      <c r="K143" s="765"/>
    </row>
    <row r="144" spans="2:11" x14ac:dyDescent="0.3">
      <c r="B144" s="755">
        <v>8</v>
      </c>
      <c r="C144" s="766" t="s">
        <v>1552</v>
      </c>
      <c r="D144" s="506"/>
      <c r="E144" s="520"/>
      <c r="F144" s="764"/>
      <c r="G144" s="764"/>
      <c r="H144" s="520"/>
      <c r="I144" s="516"/>
      <c r="J144" s="516"/>
      <c r="K144" s="765"/>
    </row>
    <row r="145" spans="2:11" ht="18" x14ac:dyDescent="0.4">
      <c r="B145" s="739"/>
      <c r="C145" s="514" t="s">
        <v>1553</v>
      </c>
      <c r="D145" s="506" t="s">
        <v>1554</v>
      </c>
      <c r="E145" s="520"/>
      <c r="F145" s="764"/>
      <c r="G145" s="764"/>
      <c r="H145" s="520"/>
      <c r="I145" s="516"/>
      <c r="J145" s="516"/>
      <c r="K145" s="765"/>
    </row>
    <row r="146" spans="2:11" x14ac:dyDescent="0.3">
      <c r="B146" s="739"/>
      <c r="C146" s="520" t="s">
        <v>107</v>
      </c>
      <c r="D146" s="506"/>
      <c r="E146" s="520"/>
      <c r="F146" s="764"/>
      <c r="G146" s="764"/>
      <c r="H146" s="520"/>
      <c r="I146" s="516"/>
      <c r="J146" s="516"/>
      <c r="K146" s="765"/>
    </row>
    <row r="147" spans="2:11" ht="18" x14ac:dyDescent="0.4">
      <c r="B147" s="739"/>
      <c r="C147" s="748" t="s">
        <v>1555</v>
      </c>
      <c r="D147" s="767" t="s">
        <v>1556</v>
      </c>
      <c r="E147" s="520"/>
      <c r="F147" s="764"/>
      <c r="G147" s="764"/>
      <c r="H147" s="520"/>
      <c r="I147" s="516"/>
      <c r="J147" s="516"/>
      <c r="K147" s="765"/>
    </row>
    <row r="148" spans="2:11" x14ac:dyDescent="0.3">
      <c r="B148" s="739"/>
      <c r="C148" s="748"/>
      <c r="D148" s="506"/>
      <c r="E148" s="520"/>
      <c r="F148" s="764"/>
      <c r="G148" s="764"/>
      <c r="H148" s="520"/>
      <c r="I148" s="516"/>
      <c r="J148" s="516"/>
      <c r="K148" s="765"/>
    </row>
    <row r="149" spans="2:11" x14ac:dyDescent="0.3">
      <c r="B149" s="739"/>
      <c r="C149" s="748" t="s">
        <v>108</v>
      </c>
      <c r="D149" s="769" t="s">
        <v>1557</v>
      </c>
      <c r="E149" s="769"/>
      <c r="F149" s="769"/>
      <c r="G149" s="769"/>
      <c r="H149" s="769"/>
      <c r="I149" s="769"/>
      <c r="J149" s="516"/>
      <c r="K149" s="765"/>
    </row>
    <row r="150" spans="2:11" x14ac:dyDescent="0.3">
      <c r="B150" s="739"/>
      <c r="C150" s="748" t="s">
        <v>10</v>
      </c>
      <c r="D150" s="770" t="e">
        <f>E10-(1/3*E10)</f>
        <v>#REF!</v>
      </c>
      <c r="E150" s="770" t="s">
        <v>134</v>
      </c>
      <c r="F150" s="764" t="e">
        <f>SIMPSON!#REF!</f>
        <v>#REF!</v>
      </c>
      <c r="G150" s="764"/>
      <c r="H150" s="520"/>
      <c r="I150" s="516"/>
      <c r="J150" s="516"/>
      <c r="K150" s="765"/>
    </row>
    <row r="151" spans="2:11" x14ac:dyDescent="0.3">
      <c r="B151" s="739"/>
      <c r="C151" s="748"/>
      <c r="D151" s="771"/>
      <c r="E151" s="771"/>
      <c r="F151" s="764"/>
      <c r="G151" s="764"/>
      <c r="H151" s="520"/>
      <c r="I151" s="516"/>
      <c r="J151" s="516"/>
      <c r="K151" s="765"/>
    </row>
    <row r="152" spans="2:11" x14ac:dyDescent="0.3">
      <c r="B152" s="739"/>
      <c r="C152" s="748" t="s">
        <v>1558</v>
      </c>
      <c r="D152" s="772" t="s">
        <v>1559</v>
      </c>
      <c r="E152" s="773"/>
    </row>
    <row r="153" spans="2:11" x14ac:dyDescent="0.3">
      <c r="B153" s="739"/>
      <c r="C153" s="518" t="s">
        <v>10</v>
      </c>
      <c r="D153" s="774" t="e">
        <f>D33+D55+D77+E106+D120+D133+D142+F150</f>
        <v>#REF!</v>
      </c>
      <c r="E153" s="497" t="s">
        <v>134</v>
      </c>
      <c r="F153" s="749"/>
    </row>
    <row r="154" spans="2:11" x14ac:dyDescent="0.3">
      <c r="B154" s="739"/>
      <c r="C154" s="518"/>
      <c r="D154" s="497"/>
      <c r="E154" s="497"/>
      <c r="F154" s="749"/>
    </row>
    <row r="155" spans="2:11" x14ac:dyDescent="0.3">
      <c r="B155" s="739"/>
      <c r="C155" s="518" t="s">
        <v>110</v>
      </c>
      <c r="D155" s="497" t="s">
        <v>1560</v>
      </c>
      <c r="E155" s="497"/>
      <c r="F155" s="749"/>
      <c r="G155" s="749"/>
    </row>
    <row r="156" spans="2:11" x14ac:dyDescent="0.3">
      <c r="B156" s="739"/>
      <c r="C156" s="518" t="s">
        <v>10</v>
      </c>
      <c r="D156" s="774" t="e">
        <f>E10-D153</f>
        <v>#REF!</v>
      </c>
      <c r="E156" s="497" t="s">
        <v>134</v>
      </c>
      <c r="G156" s="775"/>
    </row>
    <row r="157" spans="2:11" x14ac:dyDescent="0.3">
      <c r="B157" s="739"/>
      <c r="C157" s="518"/>
      <c r="D157" s="497"/>
      <c r="E157" s="497"/>
    </row>
    <row r="158" spans="2:11" x14ac:dyDescent="0.3">
      <c r="B158" s="739"/>
      <c r="C158" s="497" t="s">
        <v>1561</v>
      </c>
      <c r="D158" s="497"/>
      <c r="E158" s="497"/>
    </row>
    <row r="159" spans="2:11" x14ac:dyDescent="0.3">
      <c r="B159" s="739"/>
      <c r="C159" s="497"/>
      <c r="D159" s="776" t="e">
        <f>D150-D153</f>
        <v>#REF!</v>
      </c>
      <c r="E159" s="497"/>
      <c r="F159" s="777"/>
      <c r="G159" s="777"/>
      <c r="H159" s="777"/>
      <c r="I159" s="778"/>
      <c r="J159" s="778"/>
    </row>
    <row r="160" spans="2:11" x14ac:dyDescent="0.3">
      <c r="B160" s="739"/>
      <c r="C160" s="497"/>
      <c r="D160" s="497"/>
      <c r="E160" s="497"/>
      <c r="F160" s="777"/>
      <c r="G160" s="779"/>
      <c r="H160" s="777"/>
      <c r="I160" s="778"/>
      <c r="J160" s="778"/>
    </row>
    <row r="161" spans="2:10" x14ac:dyDescent="0.3">
      <c r="B161" s="739"/>
      <c r="C161" s="497"/>
      <c r="D161" s="780" t="e">
        <f>D150+D153+D159</f>
        <v>#REF!</v>
      </c>
      <c r="E161" s="497"/>
      <c r="F161" s="777"/>
      <c r="G161" s="777"/>
      <c r="H161" s="778"/>
      <c r="I161" s="781"/>
      <c r="J161" s="778"/>
    </row>
    <row r="162" spans="2:10" x14ac:dyDescent="0.3">
      <c r="B162" s="739"/>
      <c r="C162" s="497"/>
      <c r="D162" s="750" t="e">
        <f>E10</f>
        <v>#REF!</v>
      </c>
      <c r="E162" s="497"/>
      <c r="F162" s="777"/>
      <c r="G162" s="777"/>
      <c r="H162" s="778"/>
      <c r="I162" s="781"/>
      <c r="J162" s="778"/>
    </row>
    <row r="163" spans="2:10" x14ac:dyDescent="0.3">
      <c r="B163" s="739"/>
      <c r="C163" s="497"/>
      <c r="D163" s="497"/>
      <c r="E163" s="497"/>
      <c r="F163" s="777"/>
      <c r="G163" s="777"/>
      <c r="H163" s="778"/>
      <c r="I163" s="781"/>
      <c r="J163" s="778"/>
    </row>
    <row r="164" spans="2:10" x14ac:dyDescent="0.3">
      <c r="B164" s="739"/>
      <c r="C164" s="497"/>
      <c r="D164" s="497" t="e">
        <f>D156/(E3*E6*E13*1.004*1.025)</f>
        <v>#REF!</v>
      </c>
      <c r="E164" s="497"/>
      <c r="F164" s="777"/>
      <c r="G164" s="777"/>
      <c r="H164" s="777"/>
      <c r="I164" s="778"/>
      <c r="J164" s="778"/>
    </row>
    <row r="165" spans="2:10" x14ac:dyDescent="0.3">
      <c r="B165" s="739"/>
      <c r="C165" s="497"/>
      <c r="D165" s="497" t="e">
        <f>(E8+2.4)-D164</f>
        <v>#REF!</v>
      </c>
      <c r="E165" s="497"/>
      <c r="F165" s="778"/>
      <c r="G165" s="778"/>
      <c r="H165" s="777"/>
      <c r="I165" s="778"/>
      <c r="J165" s="778"/>
    </row>
    <row r="166" spans="2:10" x14ac:dyDescent="0.3">
      <c r="B166" s="739"/>
      <c r="D166" s="777" t="e">
        <f>D165/F166</f>
        <v>#REF!</v>
      </c>
      <c r="E166" s="777"/>
      <c r="F166" s="777">
        <v>0.70710678118654702</v>
      </c>
      <c r="G166" s="777"/>
      <c r="H166" s="779"/>
      <c r="I166" s="778"/>
      <c r="J166" s="778"/>
    </row>
    <row r="167" spans="2:10" x14ac:dyDescent="0.3">
      <c r="B167" s="739"/>
      <c r="C167" s="497"/>
      <c r="D167" s="782"/>
      <c r="E167" s="782"/>
      <c r="F167" s="777"/>
      <c r="G167" s="777"/>
      <c r="H167" s="777"/>
      <c r="I167" s="778"/>
      <c r="J167" s="778"/>
    </row>
    <row r="168" spans="2:10" x14ac:dyDescent="0.3">
      <c r="B168" s="739"/>
      <c r="D168" s="777"/>
      <c r="E168" s="783"/>
      <c r="F168" s="777"/>
      <c r="G168" s="777"/>
      <c r="H168" s="777"/>
      <c r="I168" s="778"/>
      <c r="J168" s="778"/>
    </row>
    <row r="169" spans="2:10" ht="15.75" customHeight="1" x14ac:dyDescent="0.3">
      <c r="B169" s="739"/>
      <c r="C169" s="784"/>
      <c r="D169" s="784"/>
      <c r="E169" s="784"/>
      <c r="F169" s="784"/>
      <c r="G169" s="520"/>
      <c r="H169" s="520"/>
      <c r="I169" s="778"/>
      <c r="J169" s="778"/>
    </row>
    <row r="170" spans="2:10" x14ac:dyDescent="0.3">
      <c r="B170" s="739"/>
      <c r="C170" s="785"/>
      <c r="D170" s="764"/>
      <c r="E170" s="786"/>
      <c r="F170" s="786"/>
      <c r="G170" s="787"/>
      <c r="H170" s="788"/>
      <c r="I170" s="778"/>
      <c r="J170" s="778"/>
    </row>
    <row r="171" spans="2:10" x14ac:dyDescent="0.3">
      <c r="B171" s="739"/>
      <c r="C171" s="785"/>
      <c r="D171" s="764"/>
      <c r="E171" s="786"/>
      <c r="F171" s="786"/>
      <c r="G171" s="787"/>
      <c r="H171" s="788"/>
      <c r="I171" s="778"/>
      <c r="J171" s="778"/>
    </row>
    <row r="172" spans="2:10" x14ac:dyDescent="0.3">
      <c r="B172" s="739"/>
      <c r="C172" s="785"/>
      <c r="D172" s="764"/>
      <c r="E172" s="786"/>
      <c r="F172" s="786"/>
      <c r="G172" s="787"/>
      <c r="H172" s="788"/>
      <c r="I172" s="778"/>
      <c r="J172" s="778"/>
    </row>
    <row r="173" spans="2:10" x14ac:dyDescent="0.3">
      <c r="B173" s="739"/>
      <c r="C173" s="785"/>
      <c r="D173" s="764"/>
      <c r="E173" s="786"/>
      <c r="F173" s="786"/>
      <c r="G173" s="787"/>
      <c r="H173" s="788"/>
      <c r="I173" s="778"/>
      <c r="J173" s="778"/>
    </row>
    <row r="174" spans="2:10" x14ac:dyDescent="0.3">
      <c r="B174" s="739"/>
      <c r="C174" s="785"/>
      <c r="D174" s="764"/>
      <c r="E174" s="786"/>
      <c r="F174" s="786"/>
      <c r="G174" s="787"/>
      <c r="H174" s="788"/>
      <c r="I174" s="778"/>
      <c r="J174" s="778"/>
    </row>
    <row r="175" spans="2:10" x14ac:dyDescent="0.3">
      <c r="B175" s="739"/>
      <c r="C175" s="785"/>
      <c r="D175" s="764"/>
      <c r="E175" s="786"/>
      <c r="F175" s="786"/>
      <c r="G175" s="787"/>
      <c r="H175" s="788"/>
      <c r="I175" s="778"/>
      <c r="J175" s="778"/>
    </row>
    <row r="176" spans="2:10" x14ac:dyDescent="0.3">
      <c r="B176" s="739"/>
      <c r="C176" s="785"/>
      <c r="D176" s="764"/>
      <c r="E176" s="786"/>
      <c r="F176" s="786"/>
      <c r="G176" s="787"/>
      <c r="H176" s="788"/>
      <c r="J176" s="778"/>
    </row>
    <row r="177" spans="2:8" x14ac:dyDescent="0.3">
      <c r="B177" s="739"/>
      <c r="C177" s="785"/>
      <c r="D177" s="764"/>
      <c r="E177" s="786"/>
      <c r="F177" s="786"/>
      <c r="G177" s="787"/>
      <c r="H177" s="788"/>
    </row>
    <row r="178" spans="2:8" x14ac:dyDescent="0.3">
      <c r="B178" s="739"/>
      <c r="C178" s="785"/>
      <c r="D178" s="764"/>
      <c r="E178" s="786"/>
      <c r="F178" s="786"/>
      <c r="G178" s="787"/>
      <c r="H178" s="788"/>
    </row>
    <row r="179" spans="2:8" x14ac:dyDescent="0.3">
      <c r="B179" s="739"/>
      <c r="C179" s="520"/>
      <c r="D179" s="764"/>
      <c r="E179" s="786"/>
      <c r="F179" s="786"/>
      <c r="G179" s="787"/>
      <c r="H179" s="788"/>
    </row>
    <row r="180" spans="2:8" x14ac:dyDescent="0.3">
      <c r="B180" s="739"/>
      <c r="C180" s="520"/>
      <c r="D180" s="764"/>
      <c r="E180" s="786"/>
      <c r="F180" s="786"/>
      <c r="G180" s="787"/>
      <c r="H180" s="788"/>
    </row>
    <row r="181" spans="2:8" x14ac:dyDescent="0.3">
      <c r="B181" s="739"/>
      <c r="C181" s="520"/>
      <c r="D181" s="764"/>
      <c r="E181" s="786"/>
      <c r="F181" s="786"/>
      <c r="G181" s="787"/>
      <c r="H181" s="788"/>
    </row>
    <row r="182" spans="2:8" x14ac:dyDescent="0.3">
      <c r="B182" s="739"/>
      <c r="C182" s="520"/>
      <c r="D182" s="764"/>
      <c r="E182" s="786"/>
      <c r="F182" s="786"/>
      <c r="G182" s="787"/>
      <c r="H182" s="788"/>
    </row>
    <row r="183" spans="2:8" x14ac:dyDescent="0.3">
      <c r="B183" s="739"/>
      <c r="C183" s="520"/>
      <c r="D183" s="764"/>
      <c r="E183" s="786"/>
      <c r="F183" s="786"/>
      <c r="G183" s="787"/>
      <c r="H183" s="788"/>
    </row>
    <row r="184" spans="2:8" x14ac:dyDescent="0.3">
      <c r="B184" s="739"/>
      <c r="C184" s="739"/>
      <c r="D184" s="764"/>
      <c r="E184" s="764"/>
      <c r="F184" s="764"/>
      <c r="G184" s="789"/>
      <c r="H184" s="507"/>
    </row>
    <row r="185" spans="2:8" x14ac:dyDescent="0.3">
      <c r="B185" s="739"/>
      <c r="C185" s="739"/>
      <c r="D185" s="764"/>
      <c r="E185" s="764"/>
      <c r="F185" s="764"/>
      <c r="G185" s="789"/>
      <c r="H185" s="507"/>
    </row>
    <row r="186" spans="2:8" x14ac:dyDescent="0.3">
      <c r="B186" s="739"/>
      <c r="C186" s="739"/>
      <c r="D186" s="764"/>
      <c r="E186" s="764"/>
      <c r="F186" s="764"/>
      <c r="G186" s="789"/>
      <c r="H186" s="507"/>
    </row>
    <row r="187" spans="2:8" x14ac:dyDescent="0.3">
      <c r="B187" s="739"/>
      <c r="C187" s="739"/>
      <c r="D187" s="764"/>
      <c r="E187" s="764"/>
      <c r="F187" s="764"/>
      <c r="G187" s="789"/>
      <c r="H187" s="507"/>
    </row>
    <row r="188" spans="2:8" x14ac:dyDescent="0.3">
      <c r="B188" s="739"/>
    </row>
    <row r="189" spans="2:8" x14ac:dyDescent="0.3">
      <c r="B189" s="739"/>
      <c r="C189" s="749"/>
      <c r="D189" s="749"/>
      <c r="E189" s="749"/>
    </row>
    <row r="190" spans="2:8" x14ac:dyDescent="0.3">
      <c r="B190" s="739"/>
      <c r="C190" s="497"/>
      <c r="D190" s="497"/>
      <c r="E190" s="497"/>
    </row>
    <row r="191" spans="2:8" x14ac:dyDescent="0.3">
      <c r="B191" s="739"/>
      <c r="C191" s="749"/>
      <c r="D191" s="749"/>
      <c r="E191" s="749"/>
    </row>
    <row r="192" spans="2:8" x14ac:dyDescent="0.3">
      <c r="B192" s="739"/>
      <c r="C192" s="749"/>
      <c r="D192" s="749"/>
      <c r="E192" s="749"/>
    </row>
    <row r="193" spans="2:10" x14ac:dyDescent="0.3">
      <c r="B193" s="739"/>
      <c r="C193" s="790"/>
      <c r="D193" s="520"/>
      <c r="E193" s="520"/>
    </row>
    <row r="194" spans="2:10" x14ac:dyDescent="0.3">
      <c r="B194" s="739"/>
      <c r="C194" s="791"/>
      <c r="D194" s="792"/>
      <c r="E194" s="522"/>
      <c r="F194" s="793"/>
      <c r="G194" s="793"/>
      <c r="H194" s="793"/>
      <c r="I194" s="793"/>
      <c r="J194" s="793"/>
    </row>
    <row r="195" spans="2:10" x14ac:dyDescent="0.3">
      <c r="B195" s="739"/>
      <c r="C195" s="791"/>
      <c r="D195" s="794"/>
      <c r="E195" s="522"/>
      <c r="F195" s="793"/>
      <c r="G195" s="793"/>
      <c r="H195" s="793"/>
      <c r="I195" s="793"/>
      <c r="J195" s="793"/>
    </row>
    <row r="196" spans="2:10" x14ac:dyDescent="0.3">
      <c r="B196" s="739"/>
      <c r="C196" s="795"/>
      <c r="D196" s="794"/>
      <c r="E196" s="522"/>
      <c r="F196" s="793"/>
      <c r="G196" s="793"/>
      <c r="H196" s="793"/>
      <c r="I196" s="793"/>
      <c r="J196" s="793"/>
    </row>
    <row r="197" spans="2:10" x14ac:dyDescent="0.3">
      <c r="B197" s="739"/>
      <c r="C197" s="796"/>
      <c r="D197" s="522"/>
      <c r="E197" s="522"/>
      <c r="F197" s="793"/>
      <c r="G197" s="793"/>
      <c r="H197" s="793"/>
      <c r="I197" s="793"/>
      <c r="J197" s="793"/>
    </row>
    <row r="198" spans="2:10" x14ac:dyDescent="0.3">
      <c r="B198" s="739"/>
      <c r="C198" s="796"/>
      <c r="D198" s="522"/>
      <c r="E198" s="522"/>
      <c r="F198" s="793"/>
      <c r="G198" s="793"/>
      <c r="H198" s="793"/>
      <c r="I198" s="793"/>
      <c r="J198" s="793"/>
    </row>
    <row r="199" spans="2:10" x14ac:dyDescent="0.3">
      <c r="B199" s="739"/>
      <c r="C199" s="796"/>
      <c r="D199" s="522"/>
      <c r="E199" s="522"/>
    </row>
    <row r="200" spans="2:10" x14ac:dyDescent="0.3">
      <c r="B200" s="739"/>
      <c r="C200" s="796"/>
      <c r="D200" s="522"/>
      <c r="E200" s="522"/>
    </row>
    <row r="201" spans="2:10" x14ac:dyDescent="0.3">
      <c r="B201" s="739"/>
      <c r="C201" s="791"/>
      <c r="D201" s="792"/>
      <c r="E201" s="522"/>
    </row>
    <row r="202" spans="2:10" x14ac:dyDescent="0.3">
      <c r="B202" s="739"/>
      <c r="C202" s="791"/>
      <c r="D202" s="794"/>
      <c r="E202" s="522"/>
    </row>
    <row r="203" spans="2:10" x14ac:dyDescent="0.3">
      <c r="B203" s="739"/>
      <c r="C203" s="795"/>
      <c r="D203" s="794"/>
      <c r="E203" s="522"/>
    </row>
    <row r="204" spans="2:10" x14ac:dyDescent="0.3">
      <c r="B204" s="739"/>
      <c r="C204" s="796"/>
      <c r="D204" s="797"/>
      <c r="E204" s="522"/>
      <c r="F204" s="739"/>
    </row>
    <row r="205" spans="2:10" x14ac:dyDescent="0.3">
      <c r="B205" s="739"/>
      <c r="E205" s="739"/>
      <c r="F205" s="739"/>
    </row>
    <row r="206" spans="2:10" x14ac:dyDescent="0.3">
      <c r="B206" s="739"/>
      <c r="C206" s="520"/>
      <c r="D206" s="520"/>
      <c r="E206" s="520"/>
      <c r="F206" s="520"/>
      <c r="G206" s="520"/>
      <c r="H206" s="520"/>
      <c r="I206" s="520"/>
    </row>
    <row r="207" spans="2:10" x14ac:dyDescent="0.3">
      <c r="B207" s="739"/>
      <c r="C207" s="785"/>
      <c r="D207" s="798"/>
      <c r="E207" s="798"/>
      <c r="F207" s="798"/>
      <c r="G207" s="799"/>
      <c r="H207" s="798"/>
      <c r="I207" s="800"/>
    </row>
    <row r="208" spans="2:10" x14ac:dyDescent="0.3">
      <c r="B208" s="739"/>
      <c r="C208" s="785"/>
      <c r="D208" s="798"/>
      <c r="E208" s="798"/>
      <c r="F208" s="798"/>
      <c r="G208" s="799"/>
      <c r="H208" s="799"/>
      <c r="I208" s="801"/>
    </row>
    <row r="209" spans="2:13" x14ac:dyDescent="0.3">
      <c r="B209" s="739"/>
      <c r="C209" s="785"/>
      <c r="D209" s="798"/>
      <c r="E209" s="798"/>
      <c r="F209" s="798"/>
      <c r="G209" s="799"/>
      <c r="H209" s="799"/>
      <c r="I209" s="801"/>
    </row>
    <row r="210" spans="2:13" x14ac:dyDescent="0.3">
      <c r="B210" s="739"/>
      <c r="C210" s="785"/>
      <c r="D210" s="798"/>
      <c r="E210" s="798"/>
      <c r="F210" s="798"/>
      <c r="G210" s="799"/>
      <c r="H210" s="799"/>
      <c r="I210" s="801"/>
    </row>
    <row r="211" spans="2:13" x14ac:dyDescent="0.3">
      <c r="B211" s="739"/>
      <c r="C211" s="785"/>
      <c r="D211" s="798"/>
      <c r="E211" s="798"/>
      <c r="F211" s="798"/>
      <c r="G211" s="799"/>
      <c r="H211" s="799"/>
      <c r="I211" s="801"/>
    </row>
    <row r="212" spans="2:13" x14ac:dyDescent="0.3">
      <c r="B212" s="739"/>
      <c r="C212" s="785"/>
      <c r="D212" s="798"/>
      <c r="E212" s="798"/>
      <c r="F212" s="798"/>
      <c r="G212" s="799"/>
      <c r="H212" s="799"/>
      <c r="I212" s="801"/>
    </row>
    <row r="213" spans="2:13" x14ac:dyDescent="0.3">
      <c r="B213" s="739"/>
      <c r="C213" s="785"/>
      <c r="D213" s="798"/>
      <c r="E213" s="798"/>
      <c r="F213" s="798"/>
      <c r="G213" s="799"/>
      <c r="H213" s="799"/>
      <c r="I213" s="801"/>
    </row>
    <row r="214" spans="2:13" x14ac:dyDescent="0.3">
      <c r="B214" s="739"/>
      <c r="C214" s="785"/>
      <c r="D214" s="798"/>
      <c r="E214" s="798"/>
      <c r="F214" s="798"/>
      <c r="G214" s="799"/>
      <c r="H214" s="799"/>
      <c r="I214" s="801"/>
    </row>
    <row r="215" spans="2:13" x14ac:dyDescent="0.3">
      <c r="B215" s="739"/>
      <c r="C215" s="785"/>
      <c r="D215" s="798"/>
      <c r="E215" s="798"/>
      <c r="F215" s="798"/>
      <c r="G215" s="799"/>
      <c r="H215" s="799"/>
      <c r="I215" s="801"/>
    </row>
    <row r="216" spans="2:13" ht="15.75" customHeight="1" x14ac:dyDescent="0.3">
      <c r="B216" s="739"/>
      <c r="C216" s="520"/>
      <c r="D216" s="798"/>
      <c r="E216" s="798"/>
      <c r="F216" s="798"/>
      <c r="G216" s="799"/>
      <c r="H216" s="799"/>
      <c r="I216" s="801"/>
      <c r="J216" s="739"/>
      <c r="K216" s="739"/>
      <c r="L216" s="739"/>
      <c r="M216" s="739"/>
    </row>
    <row r="217" spans="2:13" x14ac:dyDescent="0.3">
      <c r="B217" s="739"/>
      <c r="C217" s="520"/>
      <c r="D217" s="798"/>
      <c r="E217" s="798"/>
      <c r="F217" s="798"/>
      <c r="G217" s="799"/>
      <c r="H217" s="799"/>
      <c r="I217" s="801"/>
    </row>
    <row r="218" spans="2:13" x14ac:dyDescent="0.3">
      <c r="B218" s="739"/>
      <c r="C218" s="520"/>
      <c r="D218" s="798"/>
      <c r="E218" s="798"/>
      <c r="F218" s="798"/>
      <c r="G218" s="799"/>
      <c r="H218" s="799"/>
      <c r="I218" s="801"/>
    </row>
    <row r="219" spans="2:13" x14ac:dyDescent="0.3">
      <c r="B219" s="739"/>
      <c r="C219" s="520"/>
      <c r="D219" s="798"/>
      <c r="E219" s="798"/>
      <c r="F219" s="798"/>
      <c r="G219" s="799"/>
      <c r="H219" s="799"/>
      <c r="I219" s="801"/>
    </row>
    <row r="220" spans="2:13" x14ac:dyDescent="0.3">
      <c r="B220" s="739"/>
      <c r="C220" s="520"/>
      <c r="D220" s="798"/>
      <c r="E220" s="798"/>
      <c r="F220" s="798"/>
      <c r="G220" s="799"/>
      <c r="H220" s="799"/>
      <c r="I220" s="801"/>
    </row>
    <row r="221" spans="2:13" x14ac:dyDescent="0.3">
      <c r="B221" s="739"/>
      <c r="C221" s="739"/>
      <c r="D221" s="798"/>
      <c r="E221" s="798"/>
      <c r="F221" s="798"/>
      <c r="G221" s="799"/>
      <c r="H221" s="798"/>
      <c r="I221" s="800"/>
    </row>
    <row r="222" spans="2:13" x14ac:dyDescent="0.3">
      <c r="B222" s="739"/>
      <c r="C222" s="739"/>
      <c r="D222" s="798"/>
      <c r="E222" s="798"/>
      <c r="F222" s="798"/>
      <c r="G222" s="799"/>
      <c r="H222" s="799"/>
      <c r="I222" s="801"/>
    </row>
    <row r="223" spans="2:13" x14ac:dyDescent="0.3">
      <c r="B223" s="739"/>
      <c r="C223" s="739"/>
      <c r="D223" s="798"/>
      <c r="E223" s="798"/>
      <c r="F223" s="798"/>
      <c r="G223" s="799"/>
      <c r="H223" s="799"/>
      <c r="I223" s="801"/>
    </row>
    <row r="224" spans="2:13" x14ac:dyDescent="0.3">
      <c r="B224" s="739"/>
      <c r="C224" s="739"/>
      <c r="D224" s="798"/>
      <c r="E224" s="798"/>
      <c r="F224" s="798"/>
      <c r="G224" s="799"/>
      <c r="H224" s="799"/>
      <c r="I224" s="801"/>
    </row>
    <row r="225" spans="2:8" x14ac:dyDescent="0.3">
      <c r="B225" s="739"/>
    </row>
    <row r="226" spans="2:8" x14ac:dyDescent="0.3">
      <c r="B226" s="739"/>
      <c r="C226" s="793"/>
      <c r="D226" s="793"/>
      <c r="E226" s="793"/>
      <c r="F226" s="793"/>
      <c r="G226" s="791"/>
      <c r="H226" s="791"/>
    </row>
    <row r="227" spans="2:8" ht="15.75" customHeight="1" x14ac:dyDescent="0.3">
      <c r="B227" s="739"/>
      <c r="C227" s="793"/>
      <c r="D227" s="793"/>
      <c r="E227" s="793"/>
      <c r="F227" s="793"/>
      <c r="G227" s="791"/>
      <c r="H227" s="791"/>
    </row>
    <row r="228" spans="2:8" ht="15.75" customHeight="1" x14ac:dyDescent="0.3">
      <c r="B228" s="739"/>
      <c r="C228" s="785"/>
      <c r="D228" s="786"/>
      <c r="E228" s="787"/>
      <c r="F228" s="802"/>
      <c r="G228" s="802"/>
      <c r="H228" s="803"/>
    </row>
    <row r="229" spans="2:8" ht="15.75" customHeight="1" x14ac:dyDescent="0.3">
      <c r="B229" s="739"/>
      <c r="C229" s="785"/>
      <c r="D229" s="764"/>
      <c r="E229" s="789"/>
      <c r="F229" s="804"/>
      <c r="G229" s="804"/>
      <c r="H229" s="805"/>
    </row>
    <row r="230" spans="2:8" ht="15.75" customHeight="1" x14ac:dyDescent="0.3">
      <c r="B230" s="739"/>
      <c r="C230" s="785"/>
      <c r="D230" s="764"/>
      <c r="E230" s="789"/>
      <c r="F230" s="804"/>
      <c r="G230" s="804"/>
      <c r="H230" s="805"/>
    </row>
    <row r="231" spans="2:8" ht="15.75" customHeight="1" x14ac:dyDescent="0.3">
      <c r="B231" s="739"/>
      <c r="C231" s="785"/>
      <c r="D231" s="764"/>
      <c r="E231" s="789"/>
      <c r="F231" s="804"/>
      <c r="G231" s="804"/>
      <c r="H231" s="805"/>
    </row>
    <row r="232" spans="2:8" ht="15.75" customHeight="1" x14ac:dyDescent="0.3">
      <c r="B232" s="739"/>
      <c r="C232" s="785"/>
      <c r="D232" s="764"/>
      <c r="E232" s="789"/>
      <c r="F232" s="804"/>
      <c r="G232" s="804"/>
      <c r="H232" s="805"/>
    </row>
    <row r="233" spans="2:8" ht="15.75" customHeight="1" x14ac:dyDescent="0.3">
      <c r="B233" s="739"/>
      <c r="C233" s="785"/>
      <c r="D233" s="764"/>
      <c r="E233" s="789"/>
      <c r="F233" s="804"/>
      <c r="G233" s="804"/>
      <c r="H233" s="805"/>
    </row>
    <row r="234" spans="2:8" ht="15.75" customHeight="1" x14ac:dyDescent="0.3">
      <c r="B234" s="739"/>
      <c r="C234" s="785"/>
      <c r="D234" s="764"/>
      <c r="E234" s="789"/>
      <c r="F234" s="804"/>
      <c r="G234" s="804"/>
      <c r="H234" s="805"/>
    </row>
    <row r="235" spans="2:8" ht="15.75" customHeight="1" x14ac:dyDescent="0.3">
      <c r="B235" s="739"/>
      <c r="C235" s="806"/>
      <c r="D235" s="764"/>
      <c r="E235" s="789"/>
      <c r="F235" s="804"/>
      <c r="G235" s="804"/>
      <c r="H235" s="805"/>
    </row>
    <row r="236" spans="2:8" ht="15.75" customHeight="1" x14ac:dyDescent="0.3">
      <c r="B236" s="739"/>
      <c r="C236" s="806"/>
      <c r="D236" s="764"/>
      <c r="E236" s="789"/>
      <c r="F236" s="804"/>
      <c r="G236" s="804"/>
      <c r="H236" s="805"/>
    </row>
    <row r="237" spans="2:8" ht="16.5" customHeight="1" x14ac:dyDescent="0.3">
      <c r="B237" s="739"/>
      <c r="C237" s="739"/>
      <c r="D237" s="764"/>
      <c r="E237" s="789"/>
      <c r="F237" s="804"/>
      <c r="G237" s="804"/>
      <c r="H237" s="805"/>
    </row>
    <row r="238" spans="2:8" ht="15.75" customHeight="1" x14ac:dyDescent="0.3">
      <c r="B238" s="739"/>
      <c r="C238" s="520"/>
      <c r="D238" s="764"/>
      <c r="E238" s="789"/>
      <c r="F238" s="804"/>
      <c r="G238" s="804"/>
      <c r="H238" s="805"/>
    </row>
    <row r="239" spans="2:8" ht="15.75" customHeight="1" x14ac:dyDescent="0.3">
      <c r="B239" s="739"/>
      <c r="C239" s="520"/>
      <c r="D239" s="764"/>
      <c r="E239" s="789"/>
      <c r="F239" s="804"/>
      <c r="G239" s="804"/>
      <c r="H239" s="805"/>
    </row>
    <row r="240" spans="2:8" ht="15.75" customHeight="1" x14ac:dyDescent="0.3">
      <c r="B240" s="739"/>
      <c r="C240" s="520"/>
      <c r="D240" s="764"/>
      <c r="E240" s="789"/>
      <c r="F240" s="804"/>
      <c r="G240" s="804"/>
      <c r="H240" s="805"/>
    </row>
    <row r="241" spans="2:8" ht="15.75" customHeight="1" x14ac:dyDescent="0.3">
      <c r="B241" s="739"/>
      <c r="C241" s="520"/>
      <c r="D241" s="764"/>
      <c r="E241" s="789"/>
      <c r="F241" s="804"/>
      <c r="G241" s="804"/>
      <c r="H241" s="805"/>
    </row>
    <row r="242" spans="2:8" ht="15.75" customHeight="1" x14ac:dyDescent="0.3">
      <c r="B242" s="739"/>
      <c r="C242" s="739"/>
      <c r="D242" s="764"/>
      <c r="E242" s="789"/>
      <c r="F242" s="804"/>
      <c r="G242" s="804"/>
      <c r="H242" s="805"/>
    </row>
    <row r="243" spans="2:8" ht="15.75" customHeight="1" x14ac:dyDescent="0.3">
      <c r="B243" s="739"/>
      <c r="C243" s="739"/>
      <c r="D243" s="764"/>
      <c r="E243" s="789"/>
      <c r="F243" s="804"/>
      <c r="G243" s="804"/>
      <c r="H243" s="805"/>
    </row>
    <row r="244" spans="2:8" ht="15.75" customHeight="1" x14ac:dyDescent="0.3">
      <c r="B244" s="739"/>
      <c r="C244" s="739"/>
      <c r="D244" s="764"/>
      <c r="E244" s="789"/>
      <c r="F244" s="804"/>
      <c r="G244" s="804"/>
      <c r="H244" s="805"/>
    </row>
    <row r="245" spans="2:8" ht="15.75" customHeight="1" x14ac:dyDescent="0.3">
      <c r="B245" s="739"/>
      <c r="C245" s="739"/>
      <c r="D245" s="764"/>
      <c r="E245" s="789"/>
      <c r="F245" s="804"/>
      <c r="G245" s="804"/>
      <c r="H245" s="805"/>
    </row>
    <row r="246" spans="2:8" x14ac:dyDescent="0.3">
      <c r="B246" s="739"/>
    </row>
    <row r="247" spans="2:8" x14ac:dyDescent="0.3">
      <c r="B247" s="739"/>
      <c r="C247" s="522"/>
      <c r="D247" s="522"/>
      <c r="E247" s="794"/>
      <c r="F247" s="794"/>
      <c r="G247" s="794"/>
    </row>
    <row r="248" spans="2:8" x14ac:dyDescent="0.3">
      <c r="B248" s="739"/>
      <c r="C248" s="497"/>
      <c r="D248" s="497"/>
      <c r="E248" s="497"/>
      <c r="F248" s="497"/>
      <c r="G248" s="497"/>
    </row>
    <row r="249" spans="2:8" x14ac:dyDescent="0.3">
      <c r="B249" s="739"/>
      <c r="C249" s="518"/>
      <c r="D249" s="497"/>
      <c r="E249" s="522"/>
      <c r="F249" s="522"/>
      <c r="G249" s="522"/>
    </row>
    <row r="250" spans="2:8" x14ac:dyDescent="0.3">
      <c r="B250" s="739"/>
      <c r="C250" s="522"/>
      <c r="D250" s="522"/>
      <c r="E250" s="522"/>
      <c r="F250" s="522"/>
      <c r="G250" s="522"/>
    </row>
    <row r="251" spans="2:8" x14ac:dyDescent="0.3">
      <c r="B251" s="739"/>
      <c r="C251" s="497"/>
      <c r="D251" s="497"/>
      <c r="E251" s="497"/>
      <c r="F251" s="522"/>
      <c r="G251" s="522"/>
    </row>
    <row r="252" spans="2:8" x14ac:dyDescent="0.3">
      <c r="B252" s="739"/>
      <c r="C252" s="518"/>
      <c r="D252" s="497"/>
      <c r="E252" s="497"/>
      <c r="F252" s="522"/>
      <c r="G252" s="522"/>
    </row>
    <row r="253" spans="2:8" x14ac:dyDescent="0.3">
      <c r="B253" s="739"/>
      <c r="C253" s="518"/>
      <c r="D253" s="742"/>
      <c r="E253" s="497"/>
      <c r="F253" s="522"/>
      <c r="G253" s="522"/>
    </row>
    <row r="254" spans="2:8" x14ac:dyDescent="0.3">
      <c r="B254" s="739"/>
      <c r="C254" s="518"/>
      <c r="D254" s="794"/>
      <c r="E254" s="497"/>
      <c r="F254" s="522"/>
      <c r="G254" s="522"/>
    </row>
    <row r="255" spans="2:8" x14ac:dyDescent="0.3">
      <c r="B255" s="739"/>
      <c r="C255" s="794"/>
      <c r="D255" s="807"/>
      <c r="E255" s="808"/>
      <c r="F255" s="807"/>
      <c r="G255" s="807"/>
    </row>
    <row r="256" spans="2:8" x14ac:dyDescent="0.3">
      <c r="B256" s="739"/>
      <c r="C256" s="522"/>
      <c r="D256" s="807"/>
      <c r="E256" s="808"/>
      <c r="F256" s="807"/>
      <c r="G256" s="807"/>
    </row>
    <row r="257" spans="2:12" x14ac:dyDescent="0.3">
      <c r="B257" s="739"/>
      <c r="C257" s="796"/>
      <c r="D257" s="522"/>
      <c r="E257" s="522"/>
      <c r="F257" s="522"/>
      <c r="G257" s="522"/>
      <c r="H257" s="749"/>
      <c r="I257" s="749"/>
      <c r="J257" s="749"/>
    </row>
    <row r="258" spans="2:12" x14ac:dyDescent="0.3">
      <c r="B258" s="739"/>
      <c r="C258" s="522"/>
      <c r="E258" s="522"/>
      <c r="F258" s="522"/>
      <c r="G258" s="763"/>
    </row>
    <row r="259" spans="2:12" x14ac:dyDescent="0.3">
      <c r="B259" s="739"/>
      <c r="C259" s="796"/>
      <c r="D259" s="808"/>
      <c r="E259" s="497"/>
      <c r="G259" s="763"/>
    </row>
    <row r="260" spans="2:12" x14ac:dyDescent="0.3">
      <c r="B260" s="739"/>
      <c r="C260" s="796"/>
      <c r="D260" s="808"/>
      <c r="E260" s="497"/>
      <c r="G260" s="763"/>
    </row>
    <row r="261" spans="2:12" x14ac:dyDescent="0.3">
      <c r="B261" s="739"/>
      <c r="C261" s="796"/>
      <c r="D261" s="808"/>
      <c r="E261" s="497"/>
      <c r="G261" s="763"/>
    </row>
    <row r="262" spans="2:12" x14ac:dyDescent="0.3">
      <c r="B262" s="739"/>
      <c r="C262" s="796"/>
      <c r="D262" s="522"/>
      <c r="E262" s="522"/>
      <c r="F262" s="808"/>
      <c r="G262" s="763"/>
    </row>
    <row r="263" spans="2:12" x14ac:dyDescent="0.3">
      <c r="B263" s="739"/>
      <c r="C263" s="796"/>
      <c r="D263" s="809"/>
      <c r="E263" s="522"/>
      <c r="F263" s="810"/>
      <c r="G263" s="522"/>
      <c r="L263" s="793"/>
    </row>
    <row r="264" spans="2:12" x14ac:dyDescent="0.3">
      <c r="B264" s="739"/>
      <c r="G264" s="517"/>
      <c r="H264" s="517"/>
      <c r="I264" s="517"/>
      <c r="J264" s="517"/>
      <c r="K264" s="517"/>
      <c r="L264" s="793"/>
    </row>
    <row r="265" spans="2:12" x14ac:dyDescent="0.3">
      <c r="B265" s="739"/>
      <c r="C265" s="522"/>
      <c r="E265" s="773"/>
      <c r="G265" s="793"/>
      <c r="H265" s="514"/>
      <c r="I265" s="793"/>
      <c r="J265" s="793"/>
      <c r="K265" s="793"/>
    </row>
    <row r="266" spans="2:12" x14ac:dyDescent="0.3">
      <c r="C266" s="796"/>
      <c r="D266" s="522"/>
      <c r="E266" s="522"/>
      <c r="F266" s="522"/>
      <c r="G266" s="497"/>
      <c r="H266" s="522"/>
    </row>
    <row r="267" spans="2:12" x14ac:dyDescent="0.3">
      <c r="C267" s="796"/>
      <c r="D267" s="522"/>
      <c r="E267" s="794"/>
      <c r="F267" s="522"/>
      <c r="G267" s="522"/>
    </row>
    <row r="268" spans="2:12" x14ac:dyDescent="0.3">
      <c r="C268" s="796"/>
      <c r="D268" s="522"/>
      <c r="E268" s="522"/>
      <c r="F268" s="522"/>
      <c r="G268" s="522"/>
    </row>
    <row r="269" spans="2:12" x14ac:dyDescent="0.3">
      <c r="C269" s="796"/>
      <c r="D269" s="507"/>
      <c r="E269" s="522"/>
      <c r="F269" s="522"/>
      <c r="G269" s="522"/>
    </row>
    <row r="270" spans="2:12" x14ac:dyDescent="0.3">
      <c r="C270" s="796"/>
      <c r="D270" s="507"/>
      <c r="E270" s="522"/>
      <c r="F270" s="807"/>
      <c r="G270" s="811"/>
    </row>
    <row r="271" spans="2:12" x14ac:dyDescent="0.3">
      <c r="C271" s="796"/>
      <c r="D271" s="522"/>
      <c r="E271" s="522"/>
      <c r="F271" s="522"/>
      <c r="G271" s="522"/>
    </row>
    <row r="272" spans="2:12" x14ac:dyDescent="0.3">
      <c r="C272" s="796"/>
      <c r="D272" s="794"/>
      <c r="E272" s="522"/>
      <c r="F272" s="522"/>
      <c r="G272" s="522"/>
    </row>
    <row r="273" spans="3:11" x14ac:dyDescent="0.3">
      <c r="C273" s="796"/>
      <c r="D273" s="522"/>
      <c r="E273" s="807"/>
      <c r="F273" s="808"/>
      <c r="G273" s="808"/>
    </row>
    <row r="274" spans="3:11" x14ac:dyDescent="0.3">
      <c r="C274" s="796"/>
      <c r="D274" s="522"/>
      <c r="E274" s="522"/>
      <c r="F274" s="522"/>
      <c r="G274" s="522"/>
    </row>
    <row r="275" spans="3:11" x14ac:dyDescent="0.3">
      <c r="C275" s="796"/>
      <c r="D275" s="522"/>
      <c r="E275" s="522"/>
      <c r="F275" s="522"/>
      <c r="G275" s="522"/>
    </row>
    <row r="276" spans="3:11" x14ac:dyDescent="0.3">
      <c r="C276" s="522"/>
      <c r="D276" s="796"/>
      <c r="E276" s="522"/>
      <c r="F276" s="522"/>
      <c r="G276" s="522"/>
      <c r="H276" s="522"/>
    </row>
    <row r="277" spans="3:11" x14ac:dyDescent="0.3">
      <c r="C277" s="522"/>
      <c r="D277" s="796"/>
      <c r="E277" s="522"/>
      <c r="F277" s="522"/>
      <c r="G277" s="522"/>
      <c r="H277" s="522"/>
    </row>
    <row r="278" spans="3:11" x14ac:dyDescent="0.3">
      <c r="E278" s="743"/>
    </row>
    <row r="279" spans="3:11" x14ac:dyDescent="0.3">
      <c r="C279" s="794"/>
      <c r="D279" s="794"/>
      <c r="E279" s="794"/>
      <c r="F279" s="794"/>
      <c r="G279" s="794"/>
      <c r="H279" s="794"/>
      <c r="I279" s="794"/>
      <c r="J279" s="794"/>
      <c r="K279" s="794"/>
    </row>
    <row r="280" spans="3:11" x14ac:dyDescent="0.3">
      <c r="C280" s="785"/>
      <c r="D280" s="808"/>
      <c r="E280" s="808"/>
      <c r="F280" s="808"/>
      <c r="G280" s="812"/>
      <c r="H280" s="807"/>
      <c r="I280" s="808"/>
      <c r="J280" s="794"/>
      <c r="K280" s="807"/>
    </row>
    <row r="281" spans="3:11" x14ac:dyDescent="0.3">
      <c r="C281" s="785"/>
      <c r="D281" s="808"/>
      <c r="E281" s="808"/>
      <c r="F281" s="808"/>
      <c r="G281" s="812"/>
      <c r="H281" s="807"/>
      <c r="I281" s="808"/>
      <c r="J281" s="807"/>
      <c r="K281" s="807"/>
    </row>
    <row r="282" spans="3:11" x14ac:dyDescent="0.3">
      <c r="C282" s="785"/>
      <c r="D282" s="808"/>
      <c r="E282" s="808"/>
      <c r="F282" s="808"/>
      <c r="G282" s="812"/>
      <c r="H282" s="807"/>
      <c r="I282" s="808"/>
      <c r="J282" s="807"/>
      <c r="K282" s="807"/>
    </row>
    <row r="283" spans="3:11" x14ac:dyDescent="0.3">
      <c r="C283" s="785"/>
      <c r="D283" s="808"/>
      <c r="E283" s="808"/>
      <c r="F283" s="808"/>
      <c r="G283" s="812"/>
      <c r="H283" s="807"/>
      <c r="I283" s="808"/>
      <c r="J283" s="807"/>
      <c r="K283" s="807"/>
    </row>
    <row r="284" spans="3:11" x14ac:dyDescent="0.3">
      <c r="C284" s="785"/>
      <c r="D284" s="808"/>
      <c r="E284" s="808"/>
      <c r="F284" s="808"/>
      <c r="G284" s="812"/>
      <c r="H284" s="807"/>
      <c r="I284" s="808"/>
      <c r="J284" s="807"/>
      <c r="K284" s="807"/>
    </row>
    <row r="285" spans="3:11" x14ac:dyDescent="0.3">
      <c r="C285" s="785"/>
      <c r="D285" s="808"/>
      <c r="E285" s="808"/>
      <c r="F285" s="808"/>
      <c r="G285" s="812"/>
      <c r="H285" s="807"/>
      <c r="I285" s="808"/>
      <c r="J285" s="807"/>
      <c r="K285" s="807"/>
    </row>
    <row r="286" spans="3:11" x14ac:dyDescent="0.3">
      <c r="C286" s="785"/>
      <c r="D286" s="808"/>
      <c r="E286" s="808"/>
      <c r="F286" s="808"/>
      <c r="G286" s="812"/>
      <c r="H286" s="807"/>
      <c r="I286" s="808"/>
      <c r="J286" s="807"/>
      <c r="K286" s="807"/>
    </row>
    <row r="287" spans="3:11" x14ac:dyDescent="0.3">
      <c r="C287" s="785"/>
      <c r="D287" s="808"/>
      <c r="E287" s="808"/>
      <c r="F287" s="808"/>
      <c r="G287" s="812"/>
      <c r="H287" s="807"/>
      <c r="I287" s="808"/>
      <c r="J287" s="807"/>
      <c r="K287" s="807"/>
    </row>
    <row r="288" spans="3:11" x14ac:dyDescent="0.3">
      <c r="C288" s="785"/>
      <c r="D288" s="808"/>
      <c r="E288" s="808"/>
      <c r="F288" s="808"/>
      <c r="G288" s="812"/>
      <c r="H288" s="807"/>
      <c r="I288" s="808"/>
      <c r="J288" s="807"/>
      <c r="K288" s="807"/>
    </row>
    <row r="289" spans="3:11" x14ac:dyDescent="0.3">
      <c r="C289" s="520"/>
      <c r="D289" s="808"/>
      <c r="E289" s="808"/>
      <c r="F289" s="808"/>
      <c r="G289" s="812"/>
      <c r="H289" s="807"/>
      <c r="I289" s="808"/>
      <c r="J289" s="807"/>
      <c r="K289" s="807"/>
    </row>
    <row r="290" spans="3:11" x14ac:dyDescent="0.3">
      <c r="C290" s="520"/>
      <c r="D290" s="808"/>
      <c r="E290" s="808"/>
      <c r="F290" s="808"/>
      <c r="G290" s="812"/>
      <c r="H290" s="807"/>
      <c r="I290" s="808"/>
      <c r="J290" s="807"/>
      <c r="K290" s="807"/>
    </row>
    <row r="291" spans="3:11" x14ac:dyDescent="0.3">
      <c r="C291" s="520"/>
      <c r="D291" s="808"/>
      <c r="E291" s="808"/>
      <c r="F291" s="808"/>
      <c r="G291" s="812"/>
      <c r="H291" s="807"/>
      <c r="I291" s="808"/>
      <c r="J291" s="807"/>
      <c r="K291" s="807"/>
    </row>
    <row r="292" spans="3:11" x14ac:dyDescent="0.3">
      <c r="C292" s="520"/>
      <c r="D292" s="808"/>
      <c r="E292" s="808"/>
      <c r="F292" s="808"/>
      <c r="G292" s="812"/>
      <c r="H292" s="807"/>
      <c r="I292" s="808"/>
      <c r="J292" s="807"/>
      <c r="K292" s="807"/>
    </row>
    <row r="293" spans="3:11" x14ac:dyDescent="0.3">
      <c r="C293" s="520"/>
      <c r="D293" s="808"/>
      <c r="E293" s="808"/>
      <c r="F293" s="808"/>
      <c r="G293" s="812"/>
      <c r="H293" s="807"/>
      <c r="I293" s="808"/>
      <c r="J293" s="807"/>
      <c r="K293" s="807"/>
    </row>
    <row r="294" spans="3:11" x14ac:dyDescent="0.3">
      <c r="C294" s="739"/>
      <c r="D294" s="808"/>
      <c r="E294" s="808"/>
      <c r="F294" s="808"/>
      <c r="G294" s="812"/>
      <c r="H294" s="807"/>
      <c r="I294" s="808"/>
      <c r="J294" s="807"/>
      <c r="K294" s="807"/>
    </row>
    <row r="295" spans="3:11" x14ac:dyDescent="0.3">
      <c r="C295" s="739"/>
      <c r="D295" s="808"/>
      <c r="E295" s="808"/>
      <c r="F295" s="808"/>
      <c r="G295" s="812"/>
      <c r="H295" s="807"/>
      <c r="I295" s="808"/>
      <c r="J295" s="807"/>
      <c r="K295" s="807"/>
    </row>
    <row r="296" spans="3:11" x14ac:dyDescent="0.3">
      <c r="C296" s="739"/>
      <c r="D296" s="808"/>
      <c r="E296" s="808"/>
      <c r="F296" s="808"/>
      <c r="G296" s="812"/>
      <c r="H296" s="807"/>
      <c r="I296" s="808"/>
      <c r="J296" s="807"/>
      <c r="K296" s="807"/>
    </row>
    <row r="297" spans="3:11" x14ac:dyDescent="0.3">
      <c r="C297" s="739"/>
      <c r="D297" s="808"/>
      <c r="E297" s="808"/>
      <c r="F297" s="808"/>
      <c r="G297" s="812"/>
      <c r="H297" s="807"/>
      <c r="I297" s="808"/>
      <c r="J297" s="807"/>
      <c r="K297" s="807"/>
    </row>
    <row r="298" spans="3:11" x14ac:dyDescent="0.3">
      <c r="D298" s="514"/>
      <c r="E298" s="813"/>
      <c r="F298" s="793"/>
      <c r="G298" s="793"/>
      <c r="H298" s="793"/>
      <c r="I298" s="793"/>
      <c r="J298" s="793"/>
      <c r="K298" s="793"/>
    </row>
    <row r="299" spans="3:11" x14ac:dyDescent="0.3">
      <c r="C299" s="522"/>
      <c r="D299" s="522"/>
      <c r="E299" s="794"/>
      <c r="F299" s="794"/>
      <c r="G299" s="794"/>
      <c r="H299" s="793"/>
      <c r="I299" s="793"/>
      <c r="J299" s="793"/>
      <c r="K299" s="793"/>
    </row>
    <row r="300" spans="3:11" x14ac:dyDescent="0.3">
      <c r="C300" s="497"/>
      <c r="D300" s="497"/>
      <c r="E300" s="497"/>
      <c r="F300" s="497"/>
      <c r="G300" s="497"/>
    </row>
    <row r="301" spans="3:11" x14ac:dyDescent="0.3">
      <c r="C301" s="522"/>
      <c r="D301" s="522"/>
      <c r="E301" s="522"/>
      <c r="F301" s="522"/>
      <c r="G301" s="522"/>
      <c r="H301" s="793"/>
      <c r="I301" s="793"/>
      <c r="J301" s="793"/>
      <c r="K301" s="793"/>
    </row>
    <row r="302" spans="3:11" x14ac:dyDescent="0.3">
      <c r="C302" s="522"/>
      <c r="D302" s="522"/>
      <c r="E302" s="522"/>
      <c r="F302" s="522"/>
      <c r="G302" s="522"/>
      <c r="H302" s="793"/>
      <c r="I302" s="793"/>
      <c r="J302" s="793"/>
      <c r="K302" s="793"/>
    </row>
    <row r="303" spans="3:11" x14ac:dyDescent="0.3">
      <c r="C303" s="763"/>
      <c r="D303" s="522"/>
      <c r="E303" s="522"/>
      <c r="F303" s="522"/>
      <c r="G303" s="522"/>
      <c r="H303" s="793"/>
      <c r="I303" s="793"/>
      <c r="J303" s="793"/>
      <c r="K303" s="793"/>
    </row>
    <row r="304" spans="3:11" x14ac:dyDescent="0.3">
      <c r="C304" s="763"/>
      <c r="D304" s="522"/>
      <c r="E304" s="522"/>
      <c r="F304" s="522"/>
      <c r="G304" s="522"/>
      <c r="H304" s="793"/>
      <c r="I304" s="793"/>
      <c r="J304" s="793"/>
      <c r="K304" s="793"/>
    </row>
    <row r="305" spans="3:11" x14ac:dyDescent="0.3">
      <c r="C305" s="763"/>
      <c r="D305" s="522"/>
      <c r="E305" s="522"/>
      <c r="F305" s="522"/>
      <c r="G305" s="522"/>
      <c r="H305" s="793"/>
      <c r="I305" s="793"/>
      <c r="J305" s="793"/>
      <c r="K305" s="793"/>
    </row>
    <row r="306" spans="3:11" ht="15" customHeight="1" x14ac:dyDescent="0.3">
      <c r="C306" s="763"/>
      <c r="D306" s="522"/>
      <c r="E306" s="522"/>
      <c r="F306" s="522"/>
      <c r="G306" s="522"/>
      <c r="H306" s="793"/>
      <c r="I306" s="793"/>
      <c r="J306" s="793"/>
      <c r="K306" s="793"/>
    </row>
    <row r="307" spans="3:11" x14ac:dyDescent="0.3">
      <c r="C307" s="794"/>
      <c r="D307" s="807"/>
      <c r="E307" s="808"/>
      <c r="F307" s="807"/>
      <c r="G307" s="807"/>
      <c r="H307" s="517"/>
      <c r="I307" s="517"/>
      <c r="J307" s="517"/>
      <c r="K307" s="793"/>
    </row>
    <row r="308" spans="3:11" x14ac:dyDescent="0.3">
      <c r="C308" s="522"/>
      <c r="D308" s="807"/>
      <c r="E308" s="808"/>
      <c r="F308" s="807"/>
      <c r="G308" s="807"/>
    </row>
    <row r="309" spans="3:11" x14ac:dyDescent="0.3">
      <c r="C309" s="522"/>
      <c r="D309" s="522"/>
      <c r="E309" s="522"/>
      <c r="F309" s="522"/>
      <c r="G309" s="522"/>
    </row>
    <row r="310" spans="3:11" x14ac:dyDescent="0.3">
      <c r="C310" s="796"/>
      <c r="D310" s="797"/>
      <c r="E310" s="763"/>
      <c r="G310" s="763"/>
    </row>
    <row r="311" spans="3:11" x14ac:dyDescent="0.3">
      <c r="C311" s="796"/>
      <c r="D311" s="797"/>
      <c r="E311" s="763"/>
      <c r="G311" s="763"/>
      <c r="H311" s="496"/>
      <c r="K311" s="793"/>
    </row>
    <row r="312" spans="3:11" x14ac:dyDescent="0.3">
      <c r="C312" s="796"/>
      <c r="D312" s="797"/>
      <c r="E312" s="811"/>
      <c r="G312" s="763"/>
      <c r="H312" s="793"/>
      <c r="I312" s="793"/>
      <c r="J312" s="791"/>
      <c r="K312" s="791"/>
    </row>
    <row r="313" spans="3:11" x14ac:dyDescent="0.3">
      <c r="C313" s="796"/>
      <c r="D313" s="797"/>
      <c r="E313" s="811"/>
      <c r="G313" s="763"/>
      <c r="J313" s="791"/>
    </row>
    <row r="314" spans="3:11" x14ac:dyDescent="0.3">
      <c r="C314" s="796"/>
      <c r="D314" s="797"/>
      <c r="E314" s="814"/>
      <c r="G314" s="522"/>
      <c r="H314" s="793"/>
    </row>
    <row r="315" spans="3:11" x14ac:dyDescent="0.3">
      <c r="E315" s="514"/>
      <c r="F315" s="739"/>
      <c r="G315" s="793"/>
    </row>
    <row r="316" spans="3:11" x14ac:dyDescent="0.3">
      <c r="E316" s="514"/>
      <c r="F316" s="815"/>
      <c r="G316" s="816"/>
      <c r="H316" s="793"/>
      <c r="I316" s="793"/>
    </row>
    <row r="326" spans="3:7" x14ac:dyDescent="0.3">
      <c r="C326" s="794"/>
      <c r="D326" s="794"/>
      <c r="E326" s="794"/>
      <c r="F326" s="794"/>
      <c r="G326" s="739"/>
    </row>
    <row r="327" spans="3:7" x14ac:dyDescent="0.3">
      <c r="C327" s="785"/>
      <c r="D327" s="817"/>
      <c r="E327" s="773"/>
      <c r="F327" s="783"/>
      <c r="G327" s="773"/>
    </row>
    <row r="328" spans="3:7" x14ac:dyDescent="0.3">
      <c r="C328" s="785"/>
      <c r="D328" s="762"/>
      <c r="F328" s="743"/>
    </row>
    <row r="329" spans="3:7" x14ac:dyDescent="0.3">
      <c r="C329" s="785"/>
      <c r="D329" s="762"/>
      <c r="F329" s="743"/>
    </row>
    <row r="330" spans="3:7" x14ac:dyDescent="0.3">
      <c r="C330" s="785"/>
      <c r="D330" s="762"/>
      <c r="F330" s="743"/>
    </row>
    <row r="331" spans="3:7" x14ac:dyDescent="0.3">
      <c r="C331" s="785"/>
      <c r="D331" s="762"/>
      <c r="F331" s="743"/>
    </row>
    <row r="332" spans="3:7" x14ac:dyDescent="0.3">
      <c r="C332" s="785"/>
      <c r="D332" s="762"/>
      <c r="F332" s="743"/>
    </row>
    <row r="333" spans="3:7" x14ac:dyDescent="0.3">
      <c r="C333" s="785"/>
      <c r="D333" s="762"/>
      <c r="F333" s="743"/>
    </row>
    <row r="334" spans="3:7" x14ac:dyDescent="0.3">
      <c r="C334" s="785"/>
      <c r="D334" s="762"/>
      <c r="F334" s="743"/>
    </row>
    <row r="335" spans="3:7" x14ac:dyDescent="0.3">
      <c r="C335" s="785"/>
      <c r="D335" s="762"/>
      <c r="F335" s="743"/>
    </row>
    <row r="336" spans="3:7" x14ac:dyDescent="0.3">
      <c r="C336" s="520"/>
      <c r="D336" s="762"/>
      <c r="F336" s="743"/>
    </row>
    <row r="337" spans="2:9" x14ac:dyDescent="0.3">
      <c r="C337" s="520"/>
      <c r="D337" s="762"/>
      <c r="F337" s="743"/>
    </row>
    <row r="338" spans="2:9" x14ac:dyDescent="0.3">
      <c r="C338" s="520"/>
      <c r="D338" s="762"/>
      <c r="F338" s="743"/>
    </row>
    <row r="339" spans="2:9" x14ac:dyDescent="0.3">
      <c r="C339" s="520"/>
      <c r="D339" s="762"/>
      <c r="F339" s="743"/>
    </row>
    <row r="340" spans="2:9" x14ac:dyDescent="0.3">
      <c r="C340" s="520"/>
      <c r="D340" s="762"/>
      <c r="F340" s="743"/>
    </row>
    <row r="341" spans="2:9" x14ac:dyDescent="0.3">
      <c r="C341" s="739"/>
      <c r="D341" s="762"/>
      <c r="F341" s="743"/>
    </row>
    <row r="342" spans="2:9" x14ac:dyDescent="0.3">
      <c r="C342" s="739"/>
      <c r="D342" s="762"/>
      <c r="F342" s="743"/>
    </row>
    <row r="343" spans="2:9" x14ac:dyDescent="0.3">
      <c r="C343" s="739"/>
      <c r="D343" s="762"/>
      <c r="F343" s="743"/>
    </row>
    <row r="344" spans="2:9" x14ac:dyDescent="0.3">
      <c r="C344" s="739"/>
      <c r="D344" s="762"/>
      <c r="F344" s="743"/>
    </row>
    <row r="347" spans="2:9" x14ac:dyDescent="0.3">
      <c r="B347" s="522"/>
      <c r="C347" s="522"/>
      <c r="D347" s="522"/>
      <c r="E347" s="522"/>
      <c r="F347" s="522"/>
      <c r="G347" s="522"/>
      <c r="H347" s="522"/>
      <c r="I347" s="497"/>
    </row>
    <row r="348" spans="2:9" x14ac:dyDescent="0.3">
      <c r="B348" s="522"/>
      <c r="C348" s="522"/>
      <c r="D348" s="522"/>
      <c r="E348" s="522"/>
      <c r="F348" s="522"/>
      <c r="G348" s="522"/>
      <c r="H348" s="522"/>
      <c r="I348" s="497"/>
    </row>
    <row r="349" spans="2:9" x14ac:dyDescent="0.3">
      <c r="B349" s="522"/>
      <c r="C349" s="522"/>
      <c r="D349" s="522"/>
      <c r="E349" s="522"/>
      <c r="F349" s="522"/>
      <c r="G349" s="522"/>
      <c r="H349" s="522"/>
      <c r="I349" s="497"/>
    </row>
    <row r="350" spans="2:9" x14ac:dyDescent="0.3">
      <c r="B350" s="794"/>
      <c r="C350" s="522"/>
      <c r="D350" s="794"/>
      <c r="E350" s="522"/>
      <c r="F350" s="522"/>
      <c r="G350" s="522"/>
      <c r="H350" s="522"/>
      <c r="I350" s="497"/>
    </row>
    <row r="351" spans="2:9" x14ac:dyDescent="0.3">
      <c r="B351" s="796"/>
      <c r="C351" s="796"/>
      <c r="D351" s="522"/>
      <c r="E351" s="522"/>
      <c r="F351" s="522"/>
      <c r="G351" s="522"/>
      <c r="H351" s="522"/>
      <c r="I351" s="497"/>
    </row>
    <row r="352" spans="2:9" x14ac:dyDescent="0.3">
      <c r="B352" s="522"/>
      <c r="C352" s="796"/>
      <c r="D352" s="809"/>
      <c r="E352" s="522"/>
    </row>
    <row r="353" spans="2:9" x14ac:dyDescent="0.3">
      <c r="B353" s="522"/>
      <c r="C353" s="796"/>
      <c r="D353" s="818"/>
      <c r="E353" s="819"/>
      <c r="F353" s="794"/>
      <c r="G353" s="808"/>
    </row>
    <row r="354" spans="2:9" x14ac:dyDescent="0.3">
      <c r="B354" s="522"/>
      <c r="C354" s="522"/>
      <c r="E354" s="794"/>
      <c r="H354" s="522"/>
      <c r="I354" s="497"/>
    </row>
    <row r="355" spans="2:9" x14ac:dyDescent="0.3">
      <c r="B355" s="522"/>
      <c r="C355" s="796"/>
      <c r="D355" s="507"/>
      <c r="E355" s="522"/>
      <c r="H355" s="522"/>
      <c r="I355" s="497"/>
    </row>
    <row r="356" spans="2:9" x14ac:dyDescent="0.3">
      <c r="B356" s="522"/>
      <c r="C356" s="796"/>
      <c r="D356" s="808"/>
      <c r="E356" s="497"/>
      <c r="F356" s="794"/>
      <c r="G356" s="808"/>
      <c r="H356" s="522"/>
      <c r="I356" s="497"/>
    </row>
    <row r="357" spans="2:9" x14ac:dyDescent="0.3">
      <c r="B357" s="522"/>
      <c r="C357" s="796"/>
      <c r="D357" s="522"/>
      <c r="E357" s="796"/>
      <c r="F357" s="794"/>
      <c r="G357" s="808"/>
      <c r="H357" s="522"/>
      <c r="I357" s="497"/>
    </row>
    <row r="358" spans="2:9" x14ac:dyDescent="0.3">
      <c r="B358" s="522"/>
      <c r="F358" s="794"/>
      <c r="G358" s="522"/>
      <c r="H358" s="794"/>
      <c r="I358" s="497"/>
    </row>
    <row r="359" spans="2:9" x14ac:dyDescent="0.3">
      <c r="B359" s="522"/>
      <c r="F359" s="522"/>
      <c r="G359" s="522"/>
      <c r="H359" s="522"/>
      <c r="I359" s="497"/>
    </row>
    <row r="360" spans="2:9" x14ac:dyDescent="0.3">
      <c r="B360" s="522"/>
      <c r="F360" s="820"/>
      <c r="G360" s="522"/>
      <c r="H360" s="522"/>
      <c r="I360" s="497"/>
    </row>
    <row r="361" spans="2:9" x14ac:dyDescent="0.3">
      <c r="B361" s="794"/>
      <c r="C361" s="522"/>
      <c r="D361" s="742"/>
      <c r="E361" s="742"/>
      <c r="F361" s="742"/>
      <c r="G361" s="742"/>
      <c r="H361" s="742"/>
      <c r="I361" s="497"/>
    </row>
    <row r="362" spans="2:9" x14ac:dyDescent="0.3">
      <c r="C362" s="796"/>
      <c r="D362" s="522"/>
      <c r="E362" s="522"/>
      <c r="F362" s="522"/>
      <c r="G362" s="522"/>
      <c r="H362" s="497"/>
      <c r="I362" s="497"/>
    </row>
    <row r="363" spans="2:9" x14ac:dyDescent="0.3">
      <c r="C363" s="796"/>
      <c r="D363" s="522"/>
      <c r="E363" s="522"/>
      <c r="F363" s="522"/>
      <c r="G363" s="522"/>
      <c r="H363" s="497"/>
      <c r="I363" s="497"/>
    </row>
    <row r="364" spans="2:9" x14ac:dyDescent="0.3">
      <c r="C364" s="796"/>
      <c r="D364" s="821"/>
      <c r="E364" s="821"/>
      <c r="F364" s="821"/>
      <c r="G364" s="821"/>
      <c r="H364" s="821"/>
      <c r="I364" s="497"/>
    </row>
    <row r="365" spans="2:9" x14ac:dyDescent="0.3">
      <c r="C365" s="796"/>
      <c r="D365" s="517"/>
      <c r="E365" s="522"/>
      <c r="F365" s="522"/>
      <c r="G365" s="522"/>
      <c r="H365" s="497"/>
      <c r="I365" s="497"/>
    </row>
    <row r="366" spans="2:9" x14ac:dyDescent="0.3">
      <c r="C366" s="796"/>
      <c r="D366" s="517"/>
      <c r="E366" s="522"/>
      <c r="F366" s="522"/>
      <c r="G366" s="522"/>
      <c r="H366" s="497"/>
      <c r="I366" s="497"/>
    </row>
    <row r="367" spans="2:9" x14ac:dyDescent="0.3">
      <c r="C367" s="796"/>
      <c r="D367" s="522"/>
      <c r="E367" s="794"/>
      <c r="F367" s="522"/>
      <c r="G367" s="522"/>
      <c r="H367" s="497"/>
      <c r="I367" s="497"/>
    </row>
    <row r="368" spans="2:9" x14ac:dyDescent="0.3">
      <c r="C368" s="796"/>
      <c r="D368" s="797"/>
      <c r="E368" s="522"/>
      <c r="F368" s="522"/>
      <c r="G368" s="522"/>
      <c r="H368" s="497"/>
      <c r="I368" s="497"/>
    </row>
    <row r="369" spans="2:9" x14ac:dyDescent="0.3">
      <c r="C369" s="796"/>
      <c r="D369" s="797"/>
      <c r="E369" s="522"/>
      <c r="F369" s="522"/>
      <c r="G369" s="522"/>
      <c r="H369" s="497"/>
      <c r="I369" s="497"/>
    </row>
    <row r="370" spans="2:9" x14ac:dyDescent="0.3">
      <c r="C370" s="796"/>
      <c r="D370" s="522"/>
      <c r="E370" s="822"/>
      <c r="F370" s="522"/>
      <c r="G370" s="522"/>
      <c r="H370" s="497"/>
      <c r="I370" s="497"/>
    </row>
    <row r="371" spans="2:9" x14ac:dyDescent="0.3">
      <c r="B371" s="522"/>
      <c r="C371" s="796"/>
      <c r="D371" s="522"/>
      <c r="E371" s="522"/>
      <c r="F371" s="522"/>
      <c r="G371" s="522"/>
      <c r="H371" s="497"/>
      <c r="I371" s="497"/>
    </row>
    <row r="372" spans="2:9" x14ac:dyDescent="0.3">
      <c r="B372" s="522"/>
      <c r="C372" s="796"/>
      <c r="D372" s="797"/>
      <c r="E372" s="522"/>
      <c r="F372" s="522"/>
      <c r="G372" s="522"/>
      <c r="H372" s="497"/>
      <c r="I372" s="497"/>
    </row>
    <row r="373" spans="2:9" x14ac:dyDescent="0.3">
      <c r="B373" s="763"/>
      <c r="C373" s="763"/>
      <c r="D373" s="763"/>
      <c r="E373" s="763"/>
      <c r="F373" s="763"/>
      <c r="G373" s="763"/>
      <c r="H373" s="797"/>
      <c r="I373" s="497"/>
    </row>
    <row r="374" spans="2:9" x14ac:dyDescent="0.3">
      <c r="B374" s="763"/>
      <c r="C374" s="763"/>
      <c r="D374" s="763"/>
      <c r="E374" s="763"/>
      <c r="G374" s="763"/>
      <c r="H374" s="797"/>
      <c r="I374" s="497"/>
    </row>
    <row r="375" spans="2:9" x14ac:dyDescent="0.3">
      <c r="B375" s="763"/>
      <c r="C375" s="796"/>
      <c r="D375" s="763"/>
      <c r="E375" s="763"/>
      <c r="G375" s="763"/>
      <c r="H375" s="797"/>
      <c r="I375" s="497"/>
    </row>
    <row r="376" spans="2:9" x14ac:dyDescent="0.3">
      <c r="B376" s="763"/>
      <c r="C376" s="796"/>
      <c r="D376" s="797"/>
      <c r="E376" s="763"/>
      <c r="G376" s="763"/>
      <c r="H376" s="797"/>
      <c r="I376" s="497"/>
    </row>
    <row r="377" spans="2:9" x14ac:dyDescent="0.3">
      <c r="B377" s="763"/>
      <c r="C377" s="796"/>
      <c r="E377" s="763"/>
      <c r="G377" s="763"/>
      <c r="H377" s="797"/>
      <c r="I377" s="497"/>
    </row>
    <row r="378" spans="2:9" x14ac:dyDescent="0.3">
      <c r="B378" s="763"/>
      <c r="C378" s="763"/>
      <c r="D378" s="763"/>
      <c r="E378" s="763"/>
      <c r="F378" s="763"/>
      <c r="G378" s="763"/>
      <c r="H378" s="797"/>
      <c r="I378" s="497"/>
    </row>
    <row r="379" spans="2:9" x14ac:dyDescent="0.3">
      <c r="B379" s="763"/>
      <c r="C379" s="763"/>
      <c r="E379" s="763"/>
      <c r="I379" s="497"/>
    </row>
    <row r="380" spans="2:9" x14ac:dyDescent="0.3">
      <c r="B380" s="763"/>
      <c r="C380" s="796"/>
      <c r="D380" s="763"/>
      <c r="E380" s="797"/>
      <c r="I380" s="497"/>
    </row>
    <row r="381" spans="2:9" x14ac:dyDescent="0.3">
      <c r="B381" s="763"/>
      <c r="C381" s="796"/>
      <c r="D381" s="809"/>
      <c r="E381" s="797"/>
      <c r="I381" s="497"/>
    </row>
    <row r="382" spans="2:9" x14ac:dyDescent="0.3">
      <c r="B382" s="763"/>
      <c r="C382" s="796"/>
      <c r="D382" s="809"/>
      <c r="E382" s="797"/>
      <c r="I382" s="497"/>
    </row>
    <row r="383" spans="2:9" x14ac:dyDescent="0.3">
      <c r="B383" s="763"/>
      <c r="F383" s="796"/>
      <c r="G383" s="809"/>
      <c r="H383" s="797"/>
      <c r="I383" s="497"/>
    </row>
    <row r="384" spans="2:9" x14ac:dyDescent="0.3">
      <c r="B384" s="794"/>
      <c r="C384" s="763"/>
      <c r="D384" s="763"/>
      <c r="E384" s="763"/>
      <c r="F384" s="763"/>
      <c r="G384" s="763"/>
      <c r="H384" s="797"/>
      <c r="I384" s="497"/>
    </row>
    <row r="385" spans="2:9" x14ac:dyDescent="0.3">
      <c r="B385" s="794"/>
      <c r="C385" s="763"/>
      <c r="D385" s="763"/>
      <c r="E385" s="763"/>
      <c r="F385" s="763"/>
      <c r="G385" s="763"/>
      <c r="H385" s="797"/>
      <c r="I385" s="497"/>
    </row>
    <row r="386" spans="2:9" x14ac:dyDescent="0.3">
      <c r="B386" s="794"/>
      <c r="C386" s="796"/>
      <c r="D386" s="763"/>
      <c r="E386" s="763"/>
      <c r="F386" s="763"/>
      <c r="G386" s="763"/>
      <c r="H386" s="797"/>
      <c r="I386" s="497"/>
    </row>
    <row r="387" spans="2:9" x14ac:dyDescent="0.3">
      <c r="B387" s="794"/>
      <c r="C387" s="796"/>
      <c r="D387" s="809"/>
      <c r="E387" s="763"/>
      <c r="F387" s="763"/>
      <c r="G387" s="763"/>
      <c r="H387" s="797"/>
      <c r="I387" s="497"/>
    </row>
    <row r="388" spans="2:9" x14ac:dyDescent="0.3">
      <c r="B388" s="794"/>
      <c r="C388" s="796"/>
      <c r="D388" s="809"/>
      <c r="E388" s="763"/>
      <c r="F388" s="763"/>
      <c r="G388" s="763"/>
      <c r="H388" s="797"/>
      <c r="I388" s="497"/>
    </row>
    <row r="389" spans="2:9" x14ac:dyDescent="0.3">
      <c r="B389" s="794"/>
      <c r="F389" s="763"/>
      <c r="G389" s="763"/>
      <c r="H389" s="797"/>
      <c r="I389" s="497"/>
    </row>
    <row r="390" spans="2:9" x14ac:dyDescent="0.3">
      <c r="B390" s="794"/>
      <c r="C390" s="796"/>
      <c r="D390" s="763"/>
      <c r="E390" s="763"/>
      <c r="F390" s="763"/>
      <c r="G390" s="763"/>
      <c r="H390" s="797"/>
      <c r="I390" s="497"/>
    </row>
    <row r="391" spans="2:9" x14ac:dyDescent="0.3">
      <c r="B391" s="794"/>
      <c r="C391" s="763"/>
      <c r="D391" s="763"/>
      <c r="E391" s="763"/>
      <c r="F391" s="763"/>
      <c r="G391" s="763"/>
      <c r="H391" s="797"/>
      <c r="I391" s="497"/>
    </row>
    <row r="392" spans="2:9" x14ac:dyDescent="0.3">
      <c r="B392" s="763"/>
      <c r="C392" s="497"/>
      <c r="D392" s="497"/>
      <c r="E392" s="497"/>
      <c r="F392" s="497"/>
      <c r="G392" s="497"/>
      <c r="H392" s="497"/>
      <c r="I392" s="497"/>
    </row>
    <row r="393" spans="2:9" x14ac:dyDescent="0.3">
      <c r="B393" s="763"/>
      <c r="C393" s="497"/>
      <c r="D393" s="497"/>
      <c r="E393" s="497"/>
      <c r="F393" s="497"/>
      <c r="G393" s="497"/>
      <c r="H393" s="497"/>
      <c r="I393" s="497"/>
    </row>
    <row r="394" spans="2:9" x14ac:dyDescent="0.3">
      <c r="B394" s="794"/>
      <c r="C394" s="796"/>
      <c r="D394" s="763"/>
      <c r="E394" s="763"/>
      <c r="F394" s="763"/>
      <c r="G394" s="763"/>
      <c r="H394" s="522"/>
      <c r="I394" s="497"/>
    </row>
    <row r="395" spans="2:9" x14ac:dyDescent="0.3">
      <c r="B395" s="794"/>
      <c r="C395" s="796"/>
      <c r="D395" s="763"/>
      <c r="E395" s="763"/>
      <c r="F395" s="763"/>
      <c r="G395" s="763"/>
      <c r="H395" s="763"/>
      <c r="I395" s="497"/>
    </row>
    <row r="396" spans="2:9" x14ac:dyDescent="0.3">
      <c r="B396" s="794"/>
      <c r="C396" s="796"/>
      <c r="D396" s="809"/>
      <c r="E396" s="522"/>
      <c r="F396" s="820"/>
      <c r="G396" s="820"/>
      <c r="H396" s="763"/>
      <c r="I396" s="497"/>
    </row>
    <row r="397" spans="2:9" x14ac:dyDescent="0.3">
      <c r="B397" s="794"/>
      <c r="C397" s="796"/>
      <c r="D397" s="809"/>
      <c r="E397" s="522"/>
      <c r="F397" s="794"/>
      <c r="G397" s="794"/>
      <c r="H397" s="811"/>
      <c r="I397" s="497"/>
    </row>
    <row r="398" spans="2:9" x14ac:dyDescent="0.3">
      <c r="B398" s="794"/>
      <c r="C398" s="796"/>
      <c r="D398" s="794"/>
      <c r="E398" s="522"/>
      <c r="F398" s="794"/>
      <c r="G398" s="794"/>
      <c r="H398" s="811"/>
      <c r="I398" s="497"/>
    </row>
    <row r="399" spans="2:9" x14ac:dyDescent="0.3">
      <c r="B399" s="794"/>
      <c r="C399" s="522"/>
      <c r="D399" s="794"/>
      <c r="E399" s="796"/>
      <c r="F399" s="794"/>
      <c r="G399" s="522"/>
      <c r="H399" s="522"/>
      <c r="I399" s="497"/>
    </row>
    <row r="400" spans="2:9" x14ac:dyDescent="0.3">
      <c r="B400" s="794"/>
      <c r="C400" s="497"/>
      <c r="D400" s="497"/>
      <c r="E400" s="497"/>
      <c r="F400" s="497"/>
      <c r="G400" s="497"/>
      <c r="H400" s="497"/>
      <c r="I400" s="497"/>
    </row>
    <row r="401" spans="2:9" x14ac:dyDescent="0.3">
      <c r="B401" s="794"/>
      <c r="C401" s="497"/>
      <c r="D401" s="497"/>
      <c r="E401" s="497"/>
      <c r="F401" s="497"/>
      <c r="G401" s="497"/>
      <c r="H401" s="497"/>
      <c r="I401" s="497"/>
    </row>
    <row r="402" spans="2:9" x14ac:dyDescent="0.3">
      <c r="B402" s="794"/>
      <c r="C402" s="497"/>
      <c r="D402" s="497"/>
      <c r="E402" s="497"/>
      <c r="F402" s="497"/>
      <c r="G402" s="497"/>
      <c r="H402" s="497"/>
      <c r="I402" s="497"/>
    </row>
    <row r="403" spans="2:9" x14ac:dyDescent="0.3">
      <c r="B403" s="794"/>
      <c r="C403" s="497"/>
      <c r="D403" s="497"/>
      <c r="E403" s="497"/>
      <c r="F403" s="497"/>
      <c r="G403" s="497"/>
      <c r="H403" s="497"/>
      <c r="I403" s="497"/>
    </row>
    <row r="404" spans="2:9" x14ac:dyDescent="0.3">
      <c r="B404" s="794"/>
      <c r="C404" s="497"/>
      <c r="D404" s="497"/>
      <c r="E404" s="497"/>
      <c r="F404" s="497"/>
      <c r="G404" s="497"/>
      <c r="H404" s="497"/>
      <c r="I404" s="497"/>
    </row>
    <row r="405" spans="2:9" x14ac:dyDescent="0.3">
      <c r="B405" s="794"/>
      <c r="C405" s="497"/>
      <c r="D405" s="497"/>
      <c r="E405" s="497"/>
      <c r="F405" s="497"/>
      <c r="G405" s="497"/>
      <c r="H405" s="497"/>
      <c r="I405" s="497"/>
    </row>
    <row r="406" spans="2:9" x14ac:dyDescent="0.3">
      <c r="B406" s="794"/>
      <c r="C406" s="497"/>
      <c r="D406" s="497"/>
      <c r="E406" s="497"/>
      <c r="F406" s="497"/>
      <c r="G406" s="497"/>
      <c r="H406" s="497"/>
      <c r="I406" s="497"/>
    </row>
    <row r="407" spans="2:9" x14ac:dyDescent="0.3">
      <c r="B407" s="794"/>
      <c r="C407" s="497"/>
      <c r="D407" s="497"/>
      <c r="E407" s="497"/>
      <c r="F407" s="497"/>
      <c r="G407" s="497"/>
      <c r="H407" s="497"/>
      <c r="I407" s="497"/>
    </row>
    <row r="408" spans="2:9" x14ac:dyDescent="0.3">
      <c r="B408" s="794"/>
      <c r="C408" s="497"/>
      <c r="D408" s="497"/>
      <c r="E408" s="497"/>
      <c r="F408" s="497"/>
      <c r="G408" s="497"/>
      <c r="H408" s="497"/>
      <c r="I408" s="497"/>
    </row>
    <row r="409" spans="2:9" x14ac:dyDescent="0.3">
      <c r="B409" s="794"/>
      <c r="C409" s="796"/>
      <c r="D409" s="763"/>
      <c r="E409" s="497"/>
      <c r="F409" s="497"/>
      <c r="G409" s="497"/>
      <c r="H409" s="497"/>
      <c r="I409" s="497"/>
    </row>
    <row r="410" spans="2:9" x14ac:dyDescent="0.3">
      <c r="B410" s="794"/>
      <c r="C410" s="796"/>
      <c r="D410" s="809"/>
      <c r="E410" s="522"/>
      <c r="F410" s="497"/>
      <c r="G410" s="497"/>
      <c r="H410" s="497"/>
      <c r="I410" s="497"/>
    </row>
    <row r="411" spans="2:9" x14ac:dyDescent="0.3">
      <c r="B411" s="794"/>
      <c r="C411" s="796"/>
      <c r="D411" s="809"/>
      <c r="E411" s="522"/>
      <c r="F411" s="497"/>
      <c r="G411" s="497"/>
      <c r="H411" s="497"/>
      <c r="I411" s="497"/>
    </row>
    <row r="412" spans="2:9" x14ac:dyDescent="0.3">
      <c r="B412" s="794"/>
      <c r="F412" s="497"/>
      <c r="G412" s="497"/>
      <c r="H412" s="497"/>
      <c r="I412" s="497"/>
    </row>
    <row r="413" spans="2:9" x14ac:dyDescent="0.3">
      <c r="B413" s="794"/>
      <c r="C413" s="522"/>
      <c r="D413" s="522"/>
      <c r="E413" s="522"/>
      <c r="F413" s="522"/>
      <c r="G413" s="522"/>
      <c r="H413" s="522"/>
      <c r="I413" s="497"/>
    </row>
    <row r="414" spans="2:9" x14ac:dyDescent="0.3">
      <c r="B414" s="794"/>
      <c r="C414" s="497"/>
      <c r="D414" s="497"/>
      <c r="E414" s="497"/>
      <c r="F414" s="497"/>
      <c r="G414" s="497"/>
      <c r="H414" s="497"/>
      <c r="I414" s="497"/>
    </row>
    <row r="415" spans="2:9" x14ac:dyDescent="0.3">
      <c r="B415" s="794"/>
      <c r="C415" s="497"/>
      <c r="D415" s="497"/>
      <c r="E415" s="497"/>
      <c r="F415" s="497"/>
      <c r="G415" s="497"/>
      <c r="H415" s="497"/>
      <c r="I415" s="497"/>
    </row>
    <row r="416" spans="2:9" x14ac:dyDescent="0.3">
      <c r="B416" s="794"/>
      <c r="C416" s="497"/>
      <c r="D416" s="497"/>
      <c r="E416" s="497"/>
      <c r="F416" s="497"/>
      <c r="G416" s="497"/>
      <c r="H416" s="497"/>
      <c r="I416" s="497"/>
    </row>
    <row r="417" spans="2:9" x14ac:dyDescent="0.3">
      <c r="B417" s="794"/>
      <c r="C417" s="796"/>
      <c r="D417" s="522"/>
      <c r="E417" s="522"/>
      <c r="F417" s="522"/>
      <c r="G417" s="522"/>
      <c r="H417" s="522"/>
      <c r="I417" s="497"/>
    </row>
    <row r="418" spans="2:9" x14ac:dyDescent="0.3">
      <c r="B418" s="794"/>
      <c r="C418" s="796"/>
      <c r="D418" s="809"/>
      <c r="E418" s="522"/>
      <c r="F418" s="522"/>
      <c r="G418" s="522"/>
      <c r="H418" s="796"/>
      <c r="I418" s="497"/>
    </row>
    <row r="419" spans="2:9" x14ac:dyDescent="0.3">
      <c r="B419" s="794"/>
      <c r="C419" s="796"/>
      <c r="D419" s="809"/>
      <c r="E419" s="522"/>
      <c r="F419" s="522"/>
      <c r="G419" s="522"/>
      <c r="H419" s="796"/>
      <c r="I419" s="497"/>
    </row>
    <row r="420" spans="2:9" x14ac:dyDescent="0.3">
      <c r="B420" s="794"/>
      <c r="F420" s="522"/>
      <c r="G420" s="522"/>
      <c r="H420" s="522"/>
      <c r="I420" s="497"/>
    </row>
    <row r="421" spans="2:9" x14ac:dyDescent="0.3">
      <c r="B421" s="742"/>
      <c r="C421" s="742"/>
      <c r="D421" s="742"/>
      <c r="E421" s="742"/>
      <c r="F421" s="742"/>
      <c r="G421" s="742"/>
      <c r="H421" s="742"/>
      <c r="I421" s="497"/>
    </row>
    <row r="422" spans="2:9" x14ac:dyDescent="0.3">
      <c r="B422" s="742"/>
      <c r="C422" s="742"/>
      <c r="D422" s="742"/>
      <c r="E422" s="742"/>
      <c r="F422" s="742"/>
      <c r="G422" s="742"/>
      <c r="H422" s="742"/>
      <c r="I422" s="497"/>
    </row>
    <row r="423" spans="2:9" x14ac:dyDescent="0.3">
      <c r="B423" s="742"/>
      <c r="C423" s="742"/>
      <c r="D423" s="742"/>
      <c r="E423" s="742"/>
      <c r="F423" s="742"/>
      <c r="G423" s="742"/>
      <c r="H423" s="742"/>
      <c r="I423" s="497"/>
    </row>
    <row r="424" spans="2:9" x14ac:dyDescent="0.3">
      <c r="B424" s="497"/>
      <c r="C424" s="497"/>
      <c r="D424" s="497"/>
      <c r="E424" s="497"/>
      <c r="F424" s="497"/>
      <c r="G424" s="497"/>
      <c r="H424" s="497"/>
      <c r="I424" s="497"/>
    </row>
    <row r="425" spans="2:9" x14ac:dyDescent="0.3">
      <c r="B425" s="497"/>
      <c r="C425" s="497"/>
      <c r="D425" s="497"/>
      <c r="E425" s="497"/>
      <c r="F425" s="497"/>
      <c r="G425" s="497"/>
      <c r="H425" s="497"/>
      <c r="I425" s="497"/>
    </row>
  </sheetData>
  <mergeCells count="18">
    <mergeCell ref="C102:D102"/>
    <mergeCell ref="C123:D123"/>
    <mergeCell ref="C127:D127"/>
    <mergeCell ref="B15:D15"/>
    <mergeCell ref="B16:D16"/>
    <mergeCell ref="E16:F16"/>
    <mergeCell ref="C94:D94"/>
    <mergeCell ref="C98:D98"/>
    <mergeCell ref="B6:D6"/>
    <mergeCell ref="B7:D7"/>
    <mergeCell ref="B9:D9"/>
    <mergeCell ref="B10:D10"/>
    <mergeCell ref="B11:D11"/>
    <mergeCell ref="B2:D2"/>
    <mergeCell ref="E2:F2"/>
    <mergeCell ref="B3:D3"/>
    <mergeCell ref="B4:D4"/>
    <mergeCell ref="B5:D5"/>
  </mergeCells>
  <pageMargins left="1" right="1" top="1" bottom="1" header="0.511811023622047" footer="0.511811023622047"/>
  <pageSetup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G414"/>
  <sheetViews>
    <sheetView topLeftCell="A405" zoomScale="115" zoomScaleNormal="115" workbookViewId="0">
      <selection activeCell="D415" sqref="D415"/>
    </sheetView>
  </sheetViews>
  <sheetFormatPr defaultColWidth="9" defaultRowHeight="13.8" x14ac:dyDescent="0.3"/>
  <cols>
    <col min="1" max="1" width="9" style="823"/>
    <col min="2" max="2" width="6.5" style="823" customWidth="1"/>
    <col min="3" max="3" width="7.09765625" style="823" customWidth="1"/>
    <col min="4" max="4" width="7.3984375" style="823" customWidth="1"/>
    <col min="5" max="5" width="18.59765625" style="823" customWidth="1"/>
    <col min="6" max="9" width="7.3984375" style="823" customWidth="1"/>
    <col min="10" max="11" width="7.59765625" style="823" customWidth="1"/>
    <col min="12" max="12" width="8.59765625" style="823" customWidth="1"/>
    <col min="13" max="16384" width="9" style="823"/>
  </cols>
  <sheetData>
    <row r="3" spans="1:7" x14ac:dyDescent="0.3">
      <c r="E3" s="824"/>
      <c r="F3" s="825"/>
    </row>
    <row r="4" spans="1:7" ht="27.6" x14ac:dyDescent="0.3">
      <c r="A4" s="823" t="s">
        <v>1562</v>
      </c>
      <c r="B4" s="826" t="s">
        <v>1563</v>
      </c>
      <c r="E4" s="824"/>
      <c r="F4" s="825"/>
    </row>
    <row r="5" spans="1:7" ht="27.6" x14ac:dyDescent="0.3">
      <c r="C5" s="827" t="s">
        <v>1564</v>
      </c>
      <c r="D5" s="827" t="s">
        <v>1565</v>
      </c>
      <c r="E5" s="828" t="s">
        <v>1566</v>
      </c>
      <c r="F5" s="829" t="s">
        <v>1567</v>
      </c>
    </row>
    <row r="6" spans="1:7" x14ac:dyDescent="0.3">
      <c r="C6" s="830">
        <v>34</v>
      </c>
      <c r="D6" s="830">
        <v>1</v>
      </c>
      <c r="E6" s="828">
        <v>21.573899999999998</v>
      </c>
      <c r="F6" s="829">
        <f t="shared" ref="F6:F13" si="0">D6 * E6</f>
        <v>21.573899999999998</v>
      </c>
    </row>
    <row r="7" spans="1:7" x14ac:dyDescent="0.3">
      <c r="C7" s="830">
        <v>36</v>
      </c>
      <c r="D7" s="830">
        <v>4</v>
      </c>
      <c r="E7" s="828">
        <v>23.435700000000001</v>
      </c>
      <c r="F7" s="829">
        <f t="shared" si="0"/>
        <v>93.742800000000003</v>
      </c>
    </row>
    <row r="8" spans="1:7" x14ac:dyDescent="0.3">
      <c r="C8" s="830">
        <v>38</v>
      </c>
      <c r="D8" s="830">
        <v>2</v>
      </c>
      <c r="E8" s="828">
        <v>24.978200000000001</v>
      </c>
      <c r="F8" s="829">
        <f t="shared" si="0"/>
        <v>49.956400000000002</v>
      </c>
    </row>
    <row r="9" spans="1:7" x14ac:dyDescent="0.3">
      <c r="C9" s="830">
        <v>40</v>
      </c>
      <c r="D9" s="830">
        <v>4</v>
      </c>
      <c r="E9" s="828">
        <v>26.2258</v>
      </c>
      <c r="F9" s="829">
        <f t="shared" si="0"/>
        <v>104.9032</v>
      </c>
    </row>
    <row r="10" spans="1:7" x14ac:dyDescent="0.3">
      <c r="C10" s="830">
        <v>42</v>
      </c>
      <c r="D10" s="830">
        <v>2</v>
      </c>
      <c r="E10" s="828">
        <v>27.235099999999999</v>
      </c>
      <c r="F10" s="829">
        <f t="shared" si="0"/>
        <v>54.470199999999998</v>
      </c>
    </row>
    <row r="11" spans="1:7" x14ac:dyDescent="0.3">
      <c r="C11" s="830">
        <v>44</v>
      </c>
      <c r="D11" s="830">
        <v>4</v>
      </c>
      <c r="E11" s="828">
        <v>28.057700000000001</v>
      </c>
      <c r="F11" s="829">
        <f t="shared" si="0"/>
        <v>112.2308</v>
      </c>
    </row>
    <row r="12" spans="1:7" x14ac:dyDescent="0.3">
      <c r="C12" s="830">
        <v>46</v>
      </c>
      <c r="D12" s="830">
        <v>2</v>
      </c>
      <c r="E12" s="831">
        <v>28.741199999999999</v>
      </c>
      <c r="F12" s="829">
        <f t="shared" si="0"/>
        <v>57.482399999999998</v>
      </c>
    </row>
    <row r="13" spans="1:7" x14ac:dyDescent="0.3">
      <c r="C13" s="830">
        <v>48</v>
      </c>
      <c r="D13" s="823">
        <v>4</v>
      </c>
      <c r="E13" s="831">
        <v>29.329799999999999</v>
      </c>
      <c r="F13" s="829">
        <f t="shared" si="0"/>
        <v>117.3192</v>
      </c>
    </row>
    <row r="14" spans="1:7" x14ac:dyDescent="0.3">
      <c r="E14" s="828" t="s">
        <v>1568</v>
      </c>
      <c r="F14" s="829">
        <f>SUM(F6:F13)</f>
        <v>611.67889999999989</v>
      </c>
    </row>
    <row r="15" spans="1:7" x14ac:dyDescent="0.3">
      <c r="C15" s="823" t="s">
        <v>1569</v>
      </c>
      <c r="D15" s="823" t="s">
        <v>10</v>
      </c>
      <c r="E15" s="824">
        <v>38</v>
      </c>
      <c r="F15" s="825"/>
    </row>
    <row r="16" spans="1:7" x14ac:dyDescent="0.3">
      <c r="C16" s="823" t="s">
        <v>1570</v>
      </c>
      <c r="D16" s="823" t="s">
        <v>10</v>
      </c>
      <c r="E16" s="824">
        <v>50</v>
      </c>
      <c r="F16" s="825"/>
      <c r="G16" s="823">
        <f>(E15+E16)/2</f>
        <v>44</v>
      </c>
    </row>
    <row r="17" spans="1:6" x14ac:dyDescent="0.3">
      <c r="C17" s="823" t="s">
        <v>1571</v>
      </c>
      <c r="D17" s="823" t="s">
        <v>10</v>
      </c>
      <c r="E17" s="824">
        <f>E16-E15</f>
        <v>12</v>
      </c>
      <c r="F17" s="825"/>
    </row>
    <row r="18" spans="1:6" x14ac:dyDescent="0.3">
      <c r="D18" s="823" t="s">
        <v>10</v>
      </c>
      <c r="E18" s="824">
        <v>7</v>
      </c>
      <c r="F18" s="825"/>
    </row>
    <row r="19" spans="1:6" ht="41.4" x14ac:dyDescent="0.3">
      <c r="C19" s="826" t="s">
        <v>1572</v>
      </c>
      <c r="D19" s="823" t="s">
        <v>10</v>
      </c>
      <c r="E19" s="824">
        <v>2</v>
      </c>
      <c r="F19" s="825" t="s">
        <v>11</v>
      </c>
    </row>
    <row r="20" spans="1:6" x14ac:dyDescent="0.3">
      <c r="C20" s="823" t="s">
        <v>1573</v>
      </c>
      <c r="D20" s="823" t="s">
        <v>10</v>
      </c>
      <c r="E20" s="824" t="s">
        <v>1574</v>
      </c>
      <c r="F20" s="825"/>
    </row>
    <row r="21" spans="1:6" x14ac:dyDescent="0.3">
      <c r="D21" s="823" t="s">
        <v>10</v>
      </c>
      <c r="E21" s="824">
        <f>1/3 * E19 * F14</f>
        <v>407.78593333333322</v>
      </c>
      <c r="F21" s="825" t="s">
        <v>1575</v>
      </c>
    </row>
    <row r="22" spans="1:6" x14ac:dyDescent="0.3">
      <c r="E22" s="824"/>
      <c r="F22" s="825"/>
    </row>
    <row r="23" spans="1:6" x14ac:dyDescent="0.3">
      <c r="E23" s="824"/>
      <c r="F23" s="825"/>
    </row>
    <row r="24" spans="1:6" ht="27.6" x14ac:dyDescent="0.3">
      <c r="A24" s="826" t="s">
        <v>1576</v>
      </c>
      <c r="B24" s="826" t="s">
        <v>1563</v>
      </c>
      <c r="E24" s="824"/>
      <c r="F24" s="825"/>
    </row>
    <row r="25" spans="1:6" x14ac:dyDescent="0.3">
      <c r="B25" s="832" t="s">
        <v>1577</v>
      </c>
      <c r="C25" s="833" t="s">
        <v>10</v>
      </c>
      <c r="D25" s="833">
        <v>13.34</v>
      </c>
      <c r="E25" s="834" t="s">
        <v>11</v>
      </c>
      <c r="F25" s="825"/>
    </row>
    <row r="26" spans="1:6" ht="27.6" x14ac:dyDescent="0.3">
      <c r="B26" s="835" t="s">
        <v>1578</v>
      </c>
      <c r="C26" s="833" t="s">
        <v>10</v>
      </c>
      <c r="D26" s="833">
        <v>1.41</v>
      </c>
      <c r="E26" s="834" t="s">
        <v>11</v>
      </c>
      <c r="F26" s="825"/>
    </row>
    <row r="27" spans="1:6" ht="27.6" x14ac:dyDescent="0.3">
      <c r="B27" s="835" t="s">
        <v>1579</v>
      </c>
      <c r="C27" s="833" t="s">
        <v>10</v>
      </c>
      <c r="D27" s="833">
        <f>D25-D26</f>
        <v>11.93</v>
      </c>
      <c r="E27" s="834" t="s">
        <v>11</v>
      </c>
      <c r="F27" s="825"/>
    </row>
    <row r="28" spans="1:6" x14ac:dyDescent="0.3">
      <c r="B28" s="832" t="s">
        <v>1580</v>
      </c>
      <c r="C28" s="833" t="s">
        <v>10</v>
      </c>
      <c r="D28" s="833">
        <f>D27/4</f>
        <v>2.9824999999999999</v>
      </c>
      <c r="E28" s="834" t="s">
        <v>11</v>
      </c>
      <c r="F28" s="825"/>
    </row>
    <row r="29" spans="1:6" ht="27.6" x14ac:dyDescent="0.3">
      <c r="B29" s="836" t="s">
        <v>1581</v>
      </c>
      <c r="C29" s="837" t="s">
        <v>10</v>
      </c>
      <c r="D29" s="837" t="s">
        <v>1582</v>
      </c>
      <c r="E29" s="838" t="s">
        <v>11</v>
      </c>
      <c r="F29" s="825"/>
    </row>
    <row r="30" spans="1:6" x14ac:dyDescent="0.3">
      <c r="B30" s="839"/>
      <c r="C30" s="840" t="s">
        <v>10</v>
      </c>
      <c r="D30" s="840">
        <f>VRM!D51/(D27*(HARVARLD!F16-1.5352*2))</f>
        <v>1.7448501796096636</v>
      </c>
      <c r="E30" s="841" t="s">
        <v>11</v>
      </c>
      <c r="F30" s="825"/>
    </row>
    <row r="31" spans="1:6" ht="27.6" x14ac:dyDescent="0.3">
      <c r="C31" s="842" t="s">
        <v>1583</v>
      </c>
      <c r="D31" s="842" t="s">
        <v>1565</v>
      </c>
      <c r="E31" s="843" t="s">
        <v>1566</v>
      </c>
      <c r="F31" s="829" t="s">
        <v>1567</v>
      </c>
    </row>
    <row r="32" spans="1:6" x14ac:dyDescent="0.3">
      <c r="B32" s="823">
        <f t="shared" ref="B32:B38" si="1">$D$28</f>
        <v>2.9824999999999999</v>
      </c>
      <c r="C32" s="830">
        <f>D26</f>
        <v>1.41</v>
      </c>
      <c r="D32" s="830">
        <v>1</v>
      </c>
      <c r="E32" s="828">
        <v>19.087499999999999</v>
      </c>
      <c r="F32" s="829">
        <f t="shared" ref="F32:F38" si="2">D32 * E32</f>
        <v>19.087499999999999</v>
      </c>
    </row>
    <row r="33" spans="2:6" x14ac:dyDescent="0.3">
      <c r="B33" s="823">
        <f t="shared" si="1"/>
        <v>2.9824999999999999</v>
      </c>
      <c r="C33" s="830">
        <f t="shared" ref="C33:C38" si="3">C32+B33</f>
        <v>4.3925000000000001</v>
      </c>
      <c r="D33" s="830">
        <v>4</v>
      </c>
      <c r="E33" s="828">
        <v>17.811299999999999</v>
      </c>
      <c r="F33" s="829">
        <f t="shared" si="2"/>
        <v>71.245199999999997</v>
      </c>
    </row>
    <row r="34" spans="2:6" x14ac:dyDescent="0.3">
      <c r="B34" s="823">
        <f t="shared" si="1"/>
        <v>2.9824999999999999</v>
      </c>
      <c r="C34" s="830">
        <f t="shared" si="3"/>
        <v>7.375</v>
      </c>
      <c r="D34" s="830">
        <v>2</v>
      </c>
      <c r="E34" s="828">
        <v>18.185500000000001</v>
      </c>
      <c r="F34" s="829">
        <f t="shared" si="2"/>
        <v>36.371000000000002</v>
      </c>
    </row>
    <row r="35" spans="2:6" x14ac:dyDescent="0.3">
      <c r="B35" s="823">
        <f t="shared" si="1"/>
        <v>2.9824999999999999</v>
      </c>
      <c r="C35" s="830">
        <f t="shared" si="3"/>
        <v>10.3575</v>
      </c>
      <c r="D35" s="830">
        <v>4</v>
      </c>
      <c r="E35" s="828">
        <v>19.648800000000001</v>
      </c>
      <c r="F35" s="829">
        <f t="shared" si="2"/>
        <v>78.595200000000006</v>
      </c>
    </row>
    <row r="36" spans="2:6" x14ac:dyDescent="0.3">
      <c r="B36" s="823">
        <f t="shared" si="1"/>
        <v>2.9824999999999999</v>
      </c>
      <c r="C36" s="830">
        <f t="shared" si="3"/>
        <v>13.34</v>
      </c>
      <c r="D36" s="830">
        <v>1</v>
      </c>
      <c r="E36" s="828">
        <v>22.415400000000002</v>
      </c>
      <c r="F36" s="829">
        <f t="shared" si="2"/>
        <v>22.415400000000002</v>
      </c>
    </row>
    <row r="37" spans="2:6" x14ac:dyDescent="0.3">
      <c r="B37" s="823">
        <f t="shared" si="1"/>
        <v>2.9824999999999999</v>
      </c>
      <c r="C37" s="830">
        <f t="shared" si="3"/>
        <v>16.322499999999998</v>
      </c>
      <c r="D37" s="830"/>
      <c r="E37" s="828"/>
      <c r="F37" s="829">
        <f t="shared" si="2"/>
        <v>0</v>
      </c>
    </row>
    <row r="38" spans="2:6" x14ac:dyDescent="0.3">
      <c r="B38" s="823">
        <f t="shared" si="1"/>
        <v>2.9824999999999999</v>
      </c>
      <c r="C38" s="830">
        <f t="shared" si="3"/>
        <v>19.305</v>
      </c>
      <c r="D38" s="830"/>
      <c r="E38" s="828"/>
      <c r="F38" s="829">
        <f t="shared" si="2"/>
        <v>0</v>
      </c>
    </row>
    <row r="39" spans="2:6" x14ac:dyDescent="0.3">
      <c r="E39" s="828" t="s">
        <v>1568</v>
      </c>
      <c r="F39" s="829">
        <f>SUM(F32:F38)</f>
        <v>227.71430000000001</v>
      </c>
    </row>
    <row r="40" spans="2:6" x14ac:dyDescent="0.3">
      <c r="C40" s="823" t="s">
        <v>1569</v>
      </c>
      <c r="D40" s="823" t="s">
        <v>10</v>
      </c>
      <c r="E40" s="824">
        <v>38</v>
      </c>
      <c r="F40" s="825"/>
    </row>
    <row r="41" spans="2:6" x14ac:dyDescent="0.3">
      <c r="C41" s="823" t="s">
        <v>1570</v>
      </c>
      <c r="D41" s="823" t="s">
        <v>10</v>
      </c>
      <c r="E41" s="824">
        <v>40</v>
      </c>
      <c r="F41" s="825"/>
    </row>
    <row r="42" spans="2:6" x14ac:dyDescent="0.3">
      <c r="C42" s="823" t="s">
        <v>1571</v>
      </c>
      <c r="D42" s="823" t="s">
        <v>10</v>
      </c>
      <c r="E42" s="824">
        <f>E41-E40</f>
        <v>2</v>
      </c>
      <c r="F42" s="825"/>
    </row>
    <row r="43" spans="2:6" x14ac:dyDescent="0.3">
      <c r="D43" s="823" t="s">
        <v>10</v>
      </c>
      <c r="E43" s="824">
        <v>7</v>
      </c>
      <c r="F43" s="825"/>
    </row>
    <row r="44" spans="2:6" ht="41.4" x14ac:dyDescent="0.3">
      <c r="C44" s="826" t="s">
        <v>1572</v>
      </c>
      <c r="D44" s="823" t="s">
        <v>10</v>
      </c>
      <c r="E44" s="824">
        <f>D28</f>
        <v>2.9824999999999999</v>
      </c>
      <c r="F44" s="825" t="s">
        <v>11</v>
      </c>
    </row>
    <row r="45" spans="2:6" x14ac:dyDescent="0.3">
      <c r="C45" s="823" t="s">
        <v>1584</v>
      </c>
      <c r="D45" s="823" t="s">
        <v>10</v>
      </c>
      <c r="E45" s="824" t="s">
        <v>1574</v>
      </c>
      <c r="F45" s="825"/>
    </row>
    <row r="46" spans="2:6" x14ac:dyDescent="0.3">
      <c r="D46" s="823" t="s">
        <v>10</v>
      </c>
      <c r="E46" s="824">
        <f>1/3 * E44 * F39</f>
        <v>226.38596658333333</v>
      </c>
      <c r="F46" s="825" t="s">
        <v>1575</v>
      </c>
    </row>
    <row r="47" spans="2:6" x14ac:dyDescent="0.3">
      <c r="C47" s="823" t="s">
        <v>1585</v>
      </c>
      <c r="D47" s="823" t="s">
        <v>10</v>
      </c>
      <c r="E47" s="824">
        <f>E46*2</f>
        <v>452.77193316666666</v>
      </c>
      <c r="F47" s="825" t="s">
        <v>1575</v>
      </c>
    </row>
    <row r="48" spans="2:6" x14ac:dyDescent="0.3">
      <c r="E48" s="824"/>
      <c r="F48" s="825"/>
    </row>
    <row r="49" spans="1:6" ht="27.6" x14ac:dyDescent="0.3">
      <c r="A49" s="826" t="s">
        <v>1576</v>
      </c>
      <c r="B49" s="826" t="s">
        <v>1586</v>
      </c>
      <c r="E49" s="824"/>
      <c r="F49" s="825"/>
    </row>
    <row r="50" spans="1:6" x14ac:dyDescent="0.3">
      <c r="B50" s="832" t="s">
        <v>1577</v>
      </c>
      <c r="C50" s="833" t="s">
        <v>10</v>
      </c>
      <c r="D50" s="833">
        <v>1.41</v>
      </c>
      <c r="E50" s="834" t="s">
        <v>11</v>
      </c>
      <c r="F50" s="825"/>
    </row>
    <row r="51" spans="1:6" ht="27.6" x14ac:dyDescent="0.3">
      <c r="B51" s="835" t="s">
        <v>1578</v>
      </c>
      <c r="C51" s="833" t="s">
        <v>10</v>
      </c>
      <c r="D51" s="833">
        <v>0</v>
      </c>
      <c r="E51" s="834" t="s">
        <v>11</v>
      </c>
      <c r="F51" s="825"/>
    </row>
    <row r="52" spans="1:6" ht="27.6" x14ac:dyDescent="0.3">
      <c r="B52" s="835" t="s">
        <v>1579</v>
      </c>
      <c r="C52" s="833" t="s">
        <v>10</v>
      </c>
      <c r="D52" s="833">
        <f>D50-D51</f>
        <v>1.41</v>
      </c>
      <c r="E52" s="834" t="s">
        <v>11</v>
      </c>
      <c r="F52" s="825"/>
    </row>
    <row r="53" spans="1:6" x14ac:dyDescent="0.3">
      <c r="B53" s="832" t="s">
        <v>1587</v>
      </c>
      <c r="C53" s="833" t="s">
        <v>10</v>
      </c>
      <c r="D53" s="833">
        <f>D52/2</f>
        <v>0.70499999999999996</v>
      </c>
      <c r="E53" s="834" t="s">
        <v>11</v>
      </c>
      <c r="F53" s="825"/>
    </row>
    <row r="54" spans="1:6" ht="27.6" x14ac:dyDescent="0.3">
      <c r="B54" s="836" t="s">
        <v>1581</v>
      </c>
      <c r="C54" s="837" t="s">
        <v>10</v>
      </c>
      <c r="D54" s="837" t="s">
        <v>1588</v>
      </c>
      <c r="E54" s="838" t="s">
        <v>11</v>
      </c>
      <c r="F54" s="825"/>
    </row>
    <row r="55" spans="1:6" x14ac:dyDescent="0.3">
      <c r="B55" s="839"/>
      <c r="C55" s="840" t="s">
        <v>10</v>
      </c>
      <c r="D55" s="840"/>
      <c r="E55" s="841" t="s">
        <v>11</v>
      </c>
      <c r="F55" s="825"/>
    </row>
    <row r="56" spans="1:6" ht="27.6" x14ac:dyDescent="0.3">
      <c r="C56" s="842" t="s">
        <v>1583</v>
      </c>
      <c r="D56" s="842" t="s">
        <v>1565</v>
      </c>
      <c r="E56" s="843" t="s">
        <v>1566</v>
      </c>
      <c r="F56" s="829" t="s">
        <v>1567</v>
      </c>
    </row>
    <row r="57" spans="1:6" x14ac:dyDescent="0.3">
      <c r="B57" s="823">
        <f t="shared" ref="B57:B63" si="4">$D$53</f>
        <v>0.70499999999999996</v>
      </c>
      <c r="C57" s="830">
        <f>D51</f>
        <v>0</v>
      </c>
      <c r="D57" s="830">
        <v>1</v>
      </c>
      <c r="E57" s="828">
        <v>66.525499999999994</v>
      </c>
      <c r="F57" s="829">
        <f t="shared" ref="F57:F63" si="5">D57 * E57</f>
        <v>66.525499999999994</v>
      </c>
    </row>
    <row r="58" spans="1:6" x14ac:dyDescent="0.3">
      <c r="B58" s="823">
        <f t="shared" si="4"/>
        <v>0.70499999999999996</v>
      </c>
      <c r="C58" s="830">
        <f t="shared" ref="C58:C63" si="6">C57+B58</f>
        <v>0.70499999999999996</v>
      </c>
      <c r="D58" s="830">
        <v>4</v>
      </c>
      <c r="E58" s="828">
        <v>88.884399999999999</v>
      </c>
      <c r="F58" s="829">
        <f t="shared" si="5"/>
        <v>355.5376</v>
      </c>
    </row>
    <row r="59" spans="1:6" x14ac:dyDescent="0.3">
      <c r="B59" s="823">
        <f t="shared" si="4"/>
        <v>0.70499999999999996</v>
      </c>
      <c r="C59" s="830">
        <f t="shared" si="6"/>
        <v>1.41</v>
      </c>
      <c r="D59" s="830">
        <v>1</v>
      </c>
      <c r="E59" s="828">
        <v>96.451800000000006</v>
      </c>
      <c r="F59" s="829">
        <f t="shared" si="5"/>
        <v>96.451800000000006</v>
      </c>
    </row>
    <row r="60" spans="1:6" x14ac:dyDescent="0.3">
      <c r="B60" s="823">
        <f t="shared" si="4"/>
        <v>0.70499999999999996</v>
      </c>
      <c r="C60" s="830">
        <f t="shared" si="6"/>
        <v>2.1149999999999998</v>
      </c>
      <c r="D60" s="830"/>
      <c r="E60" s="828">
        <v>28.057700000000001</v>
      </c>
      <c r="F60" s="829">
        <f t="shared" si="5"/>
        <v>0</v>
      </c>
    </row>
    <row r="61" spans="1:6" x14ac:dyDescent="0.3">
      <c r="B61" s="823">
        <f t="shared" si="4"/>
        <v>0.70499999999999996</v>
      </c>
      <c r="C61" s="830">
        <f t="shared" si="6"/>
        <v>2.82</v>
      </c>
      <c r="D61" s="830"/>
      <c r="E61" s="828">
        <v>28.741199999999999</v>
      </c>
      <c r="F61" s="829">
        <f t="shared" si="5"/>
        <v>0</v>
      </c>
    </row>
    <row r="62" spans="1:6" x14ac:dyDescent="0.3">
      <c r="B62" s="823">
        <f t="shared" si="4"/>
        <v>0.70499999999999996</v>
      </c>
      <c r="C62" s="830">
        <f t="shared" si="6"/>
        <v>3.5249999999999999</v>
      </c>
      <c r="D62" s="830"/>
      <c r="E62" s="828">
        <v>29.329799999999999</v>
      </c>
      <c r="F62" s="829">
        <f t="shared" si="5"/>
        <v>0</v>
      </c>
    </row>
    <row r="63" spans="1:6" x14ac:dyDescent="0.3">
      <c r="B63" s="823">
        <f t="shared" si="4"/>
        <v>0.70499999999999996</v>
      </c>
      <c r="C63" s="830">
        <f t="shared" si="6"/>
        <v>4.2299999999999995</v>
      </c>
      <c r="D63" s="830"/>
      <c r="E63" s="828"/>
      <c r="F63" s="829">
        <f t="shared" si="5"/>
        <v>0</v>
      </c>
    </row>
    <row r="64" spans="1:6" x14ac:dyDescent="0.3">
      <c r="E64" s="844" t="s">
        <v>1568</v>
      </c>
      <c r="F64" s="845">
        <f>SUM(F57:F63)</f>
        <v>518.51490000000001</v>
      </c>
    </row>
    <row r="65" spans="1:6" ht="27.6" x14ac:dyDescent="0.3">
      <c r="C65" s="835" t="s">
        <v>1569</v>
      </c>
      <c r="D65" s="846" t="s">
        <v>10</v>
      </c>
      <c r="E65" s="847">
        <v>115</v>
      </c>
      <c r="F65" s="848"/>
    </row>
    <row r="66" spans="1:6" ht="27.6" x14ac:dyDescent="0.3">
      <c r="C66" s="835" t="s">
        <v>1570</v>
      </c>
      <c r="D66" s="846" t="s">
        <v>10</v>
      </c>
      <c r="E66" s="847">
        <v>135</v>
      </c>
      <c r="F66" s="848"/>
    </row>
    <row r="67" spans="1:6" ht="27.6" x14ac:dyDescent="0.3">
      <c r="C67" s="835" t="s">
        <v>1571</v>
      </c>
      <c r="D67" s="846" t="s">
        <v>10</v>
      </c>
      <c r="E67" s="847">
        <f>E66-E65</f>
        <v>20</v>
      </c>
      <c r="F67" s="848"/>
    </row>
    <row r="68" spans="1:6" x14ac:dyDescent="0.3">
      <c r="C68" s="835"/>
      <c r="D68" s="846" t="s">
        <v>10</v>
      </c>
      <c r="E68" s="847">
        <v>7</v>
      </c>
      <c r="F68" s="848"/>
    </row>
    <row r="69" spans="1:6" ht="41.4" x14ac:dyDescent="0.3">
      <c r="C69" s="835" t="s">
        <v>1589</v>
      </c>
      <c r="D69" s="846" t="s">
        <v>10</v>
      </c>
      <c r="E69" s="847">
        <f>D53</f>
        <v>0.70499999999999996</v>
      </c>
      <c r="F69" s="848" t="s">
        <v>11</v>
      </c>
    </row>
    <row r="70" spans="1:6" x14ac:dyDescent="0.3">
      <c r="C70" s="836" t="s">
        <v>1584</v>
      </c>
      <c r="D70" s="849" t="s">
        <v>10</v>
      </c>
      <c r="E70" s="850" t="s">
        <v>1574</v>
      </c>
      <c r="F70" s="851"/>
    </row>
    <row r="71" spans="1:6" x14ac:dyDescent="0.3">
      <c r="C71" s="852"/>
      <c r="D71" s="853" t="s">
        <v>10</v>
      </c>
      <c r="E71" s="854">
        <f>1/3 * E69 * F64</f>
        <v>121.8510015</v>
      </c>
      <c r="F71" s="855" t="s">
        <v>1575</v>
      </c>
    </row>
    <row r="72" spans="1:6" x14ac:dyDescent="0.3">
      <c r="C72" s="835" t="s">
        <v>1585</v>
      </c>
      <c r="D72" s="846" t="s">
        <v>10</v>
      </c>
      <c r="E72" s="847">
        <f>E71 * 2</f>
        <v>243.70200299999999</v>
      </c>
      <c r="F72" s="848" t="s">
        <v>1575</v>
      </c>
    </row>
    <row r="73" spans="1:6" x14ac:dyDescent="0.3">
      <c r="E73" s="824"/>
      <c r="F73" s="825"/>
    </row>
    <row r="74" spans="1:6" ht="27.6" x14ac:dyDescent="0.3">
      <c r="A74" s="826" t="s">
        <v>1576</v>
      </c>
      <c r="B74" s="826" t="s">
        <v>1590</v>
      </c>
      <c r="E74" s="824"/>
      <c r="F74" s="825"/>
    </row>
    <row r="75" spans="1:6" x14ac:dyDescent="0.3">
      <c r="B75" s="832" t="s">
        <v>1577</v>
      </c>
      <c r="C75" s="833" t="s">
        <v>10</v>
      </c>
      <c r="D75" s="833">
        <v>1.41</v>
      </c>
      <c r="E75" s="834" t="s">
        <v>11</v>
      </c>
      <c r="F75" s="825"/>
    </row>
    <row r="76" spans="1:6" ht="27.6" x14ac:dyDescent="0.3">
      <c r="B76" s="835" t="s">
        <v>1578</v>
      </c>
      <c r="C76" s="833" t="s">
        <v>10</v>
      </c>
      <c r="D76" s="833">
        <v>0</v>
      </c>
      <c r="E76" s="834" t="s">
        <v>11</v>
      </c>
      <c r="F76" s="825"/>
    </row>
    <row r="77" spans="1:6" ht="27.6" x14ac:dyDescent="0.3">
      <c r="B77" s="835" t="s">
        <v>1579</v>
      </c>
      <c r="C77" s="833" t="s">
        <v>10</v>
      </c>
      <c r="D77" s="833">
        <f>D75-D76</f>
        <v>1.41</v>
      </c>
      <c r="E77" s="834" t="s">
        <v>11</v>
      </c>
      <c r="F77" s="825"/>
    </row>
    <row r="78" spans="1:6" x14ac:dyDescent="0.3">
      <c r="B78" s="832" t="s">
        <v>1587</v>
      </c>
      <c r="C78" s="833" t="s">
        <v>10</v>
      </c>
      <c r="D78" s="833">
        <f>D77/2</f>
        <v>0.70499999999999996</v>
      </c>
      <c r="E78" s="834" t="s">
        <v>11</v>
      </c>
      <c r="F78" s="825"/>
    </row>
    <row r="79" spans="1:6" ht="27.6" x14ac:dyDescent="0.3">
      <c r="B79" s="836" t="s">
        <v>1581</v>
      </c>
      <c r="C79" s="837" t="s">
        <v>10</v>
      </c>
      <c r="D79" s="837" t="s">
        <v>1582</v>
      </c>
      <c r="E79" s="838" t="s">
        <v>11</v>
      </c>
      <c r="F79" s="825"/>
    </row>
    <row r="80" spans="1:6" x14ac:dyDescent="0.3">
      <c r="B80" s="839"/>
      <c r="C80" s="840" t="s">
        <v>10</v>
      </c>
      <c r="D80" s="840"/>
      <c r="E80" s="841" t="s">
        <v>11</v>
      </c>
      <c r="F80" s="825"/>
    </row>
    <row r="81" spans="2:6" ht="27.6" x14ac:dyDescent="0.3">
      <c r="C81" s="842" t="s">
        <v>1583</v>
      </c>
      <c r="D81" s="842" t="s">
        <v>1565</v>
      </c>
      <c r="E81" s="843" t="s">
        <v>1566</v>
      </c>
      <c r="F81" s="829" t="s">
        <v>1567</v>
      </c>
    </row>
    <row r="82" spans="2:6" x14ac:dyDescent="0.3">
      <c r="B82" s="823">
        <f t="shared" ref="B82:B88" si="7">$D$53</f>
        <v>0.70499999999999996</v>
      </c>
      <c r="C82" s="830">
        <v>0</v>
      </c>
      <c r="D82" s="830">
        <v>1</v>
      </c>
      <c r="E82" s="828">
        <v>166.3511</v>
      </c>
      <c r="F82" s="829">
        <f t="shared" ref="F82:F88" si="8">D82 * E82</f>
        <v>166.3511</v>
      </c>
    </row>
    <row r="83" spans="2:6" x14ac:dyDescent="0.3">
      <c r="B83" s="823">
        <f t="shared" si="7"/>
        <v>0.70499999999999996</v>
      </c>
      <c r="C83" s="830">
        <f t="shared" ref="C83:C88" si="9">C82+B83</f>
        <v>0.70499999999999996</v>
      </c>
      <c r="D83" s="830">
        <v>4</v>
      </c>
      <c r="E83" s="828">
        <v>201.4615</v>
      </c>
      <c r="F83" s="829">
        <f t="shared" si="8"/>
        <v>805.846</v>
      </c>
    </row>
    <row r="84" spans="2:6" x14ac:dyDescent="0.3">
      <c r="B84" s="823">
        <f t="shared" si="7"/>
        <v>0.70499999999999996</v>
      </c>
      <c r="C84" s="830">
        <f t="shared" si="9"/>
        <v>1.41</v>
      </c>
      <c r="D84" s="830">
        <v>1</v>
      </c>
      <c r="E84" s="828">
        <v>208.15350000000001</v>
      </c>
      <c r="F84" s="829">
        <f t="shared" si="8"/>
        <v>208.15350000000001</v>
      </c>
    </row>
    <row r="85" spans="2:6" x14ac:dyDescent="0.3">
      <c r="B85" s="823">
        <f t="shared" si="7"/>
        <v>0.70499999999999996</v>
      </c>
      <c r="C85" s="830">
        <f t="shared" si="9"/>
        <v>2.1149999999999998</v>
      </c>
      <c r="D85" s="830"/>
      <c r="E85" s="828"/>
      <c r="F85" s="829">
        <f t="shared" si="8"/>
        <v>0</v>
      </c>
    </row>
    <row r="86" spans="2:6" x14ac:dyDescent="0.3">
      <c r="B86" s="823">
        <f t="shared" si="7"/>
        <v>0.70499999999999996</v>
      </c>
      <c r="C86" s="830">
        <f t="shared" si="9"/>
        <v>2.82</v>
      </c>
      <c r="D86" s="830"/>
      <c r="E86" s="828"/>
      <c r="F86" s="829">
        <f t="shared" si="8"/>
        <v>0</v>
      </c>
    </row>
    <row r="87" spans="2:6" x14ac:dyDescent="0.3">
      <c r="B87" s="823">
        <f t="shared" si="7"/>
        <v>0.70499999999999996</v>
      </c>
      <c r="C87" s="830">
        <f t="shared" si="9"/>
        <v>3.5249999999999999</v>
      </c>
      <c r="D87" s="830"/>
      <c r="E87" s="828"/>
      <c r="F87" s="829">
        <f t="shared" si="8"/>
        <v>0</v>
      </c>
    </row>
    <row r="88" spans="2:6" x14ac:dyDescent="0.3">
      <c r="B88" s="823">
        <f t="shared" si="7"/>
        <v>0.70499999999999996</v>
      </c>
      <c r="C88" s="830">
        <f t="shared" si="9"/>
        <v>4.2299999999999995</v>
      </c>
      <c r="D88" s="830"/>
      <c r="E88" s="828"/>
      <c r="F88" s="829">
        <f t="shared" si="8"/>
        <v>0</v>
      </c>
    </row>
    <row r="89" spans="2:6" x14ac:dyDescent="0.3">
      <c r="E89" s="844" t="s">
        <v>1568</v>
      </c>
      <c r="F89" s="845">
        <f>SUM(F82:F88)</f>
        <v>1180.3506</v>
      </c>
    </row>
    <row r="90" spans="2:6" ht="27.6" x14ac:dyDescent="0.3">
      <c r="C90" s="835" t="s">
        <v>1569</v>
      </c>
      <c r="D90" s="846" t="s">
        <v>10</v>
      </c>
      <c r="E90" s="847">
        <v>95</v>
      </c>
      <c r="F90" s="848"/>
    </row>
    <row r="91" spans="2:6" ht="27.6" x14ac:dyDescent="0.3">
      <c r="C91" s="835" t="s">
        <v>1570</v>
      </c>
      <c r="D91" s="846" t="s">
        <v>10</v>
      </c>
      <c r="E91" s="847">
        <v>115</v>
      </c>
      <c r="F91" s="848"/>
    </row>
    <row r="92" spans="2:6" ht="27.6" x14ac:dyDescent="0.3">
      <c r="C92" s="835" t="s">
        <v>1571</v>
      </c>
      <c r="D92" s="846" t="s">
        <v>10</v>
      </c>
      <c r="E92" s="847">
        <f>E91-E90</f>
        <v>20</v>
      </c>
      <c r="F92" s="848"/>
    </row>
    <row r="93" spans="2:6" x14ac:dyDescent="0.3">
      <c r="C93" s="835"/>
      <c r="D93" s="846" t="s">
        <v>10</v>
      </c>
      <c r="E93" s="847">
        <v>7</v>
      </c>
      <c r="F93" s="848"/>
    </row>
    <row r="94" spans="2:6" ht="41.4" x14ac:dyDescent="0.3">
      <c r="C94" s="835" t="s">
        <v>1589</v>
      </c>
      <c r="D94" s="846" t="s">
        <v>10</v>
      </c>
      <c r="E94" s="847">
        <f>D78</f>
        <v>0.70499999999999996</v>
      </c>
      <c r="F94" s="848" t="s">
        <v>11</v>
      </c>
    </row>
    <row r="95" spans="2:6" x14ac:dyDescent="0.3">
      <c r="C95" s="836" t="s">
        <v>1584</v>
      </c>
      <c r="D95" s="849" t="s">
        <v>10</v>
      </c>
      <c r="E95" s="850" t="s">
        <v>1574</v>
      </c>
      <c r="F95" s="851"/>
    </row>
    <row r="96" spans="2:6" x14ac:dyDescent="0.3">
      <c r="C96" s="852"/>
      <c r="D96" s="853" t="s">
        <v>10</v>
      </c>
      <c r="E96" s="854">
        <f>1/3 * E94 * F89</f>
        <v>277.38239099999998</v>
      </c>
      <c r="F96" s="855" t="s">
        <v>1575</v>
      </c>
    </row>
    <row r="97" spans="1:6" x14ac:dyDescent="0.3">
      <c r="C97" s="835" t="s">
        <v>1585</v>
      </c>
      <c r="D97" s="846" t="s">
        <v>10</v>
      </c>
      <c r="E97" s="847">
        <f>E96 * 2</f>
        <v>554.76478199999997</v>
      </c>
      <c r="F97" s="848" t="s">
        <v>1575</v>
      </c>
    </row>
    <row r="98" spans="1:6" x14ac:dyDescent="0.3">
      <c r="E98" s="824"/>
      <c r="F98" s="825"/>
    </row>
    <row r="99" spans="1:6" ht="27.6" x14ac:dyDescent="0.3">
      <c r="A99" s="826" t="s">
        <v>1576</v>
      </c>
      <c r="B99" s="826" t="s">
        <v>1591</v>
      </c>
      <c r="E99" s="824"/>
      <c r="F99" s="825"/>
    </row>
    <row r="100" spans="1:6" x14ac:dyDescent="0.3">
      <c r="B100" s="832" t="s">
        <v>1577</v>
      </c>
      <c r="C100" s="833" t="s">
        <v>10</v>
      </c>
      <c r="D100" s="833">
        <v>1.41</v>
      </c>
      <c r="E100" s="834" t="s">
        <v>11</v>
      </c>
      <c r="F100" s="825"/>
    </row>
    <row r="101" spans="1:6" ht="27.6" x14ac:dyDescent="0.3">
      <c r="B101" s="835" t="s">
        <v>1578</v>
      </c>
      <c r="C101" s="833" t="s">
        <v>10</v>
      </c>
      <c r="D101" s="833">
        <v>0</v>
      </c>
      <c r="E101" s="834" t="s">
        <v>11</v>
      </c>
      <c r="F101" s="825"/>
    </row>
    <row r="102" spans="1:6" ht="27.6" x14ac:dyDescent="0.3">
      <c r="B102" s="835" t="s">
        <v>1579</v>
      </c>
      <c r="C102" s="833" t="s">
        <v>10</v>
      </c>
      <c r="D102" s="833">
        <f>D100-D101</f>
        <v>1.41</v>
      </c>
      <c r="E102" s="834" t="s">
        <v>11</v>
      </c>
      <c r="F102" s="825"/>
    </row>
    <row r="103" spans="1:6" x14ac:dyDescent="0.3">
      <c r="B103" s="832" t="s">
        <v>1587</v>
      </c>
      <c r="C103" s="833" t="s">
        <v>10</v>
      </c>
      <c r="D103" s="833">
        <f>D102/2</f>
        <v>0.70499999999999996</v>
      </c>
      <c r="E103" s="834" t="s">
        <v>11</v>
      </c>
      <c r="F103" s="825"/>
    </row>
    <row r="104" spans="1:6" ht="27.6" x14ac:dyDescent="0.3">
      <c r="B104" s="836" t="s">
        <v>1581</v>
      </c>
      <c r="C104" s="837" t="s">
        <v>10</v>
      </c>
      <c r="D104" s="837" t="s">
        <v>1582</v>
      </c>
      <c r="E104" s="838" t="s">
        <v>11</v>
      </c>
      <c r="F104" s="825"/>
    </row>
    <row r="105" spans="1:6" x14ac:dyDescent="0.3">
      <c r="B105" s="839"/>
      <c r="C105" s="840" t="s">
        <v>10</v>
      </c>
      <c r="D105" s="840"/>
      <c r="E105" s="841" t="s">
        <v>11</v>
      </c>
      <c r="F105" s="825"/>
    </row>
    <row r="106" spans="1:6" ht="27.6" x14ac:dyDescent="0.3">
      <c r="C106" s="842" t="s">
        <v>1583</v>
      </c>
      <c r="D106" s="842" t="s">
        <v>1565</v>
      </c>
      <c r="E106" s="843" t="s">
        <v>1566</v>
      </c>
      <c r="F106" s="829" t="s">
        <v>1567</v>
      </c>
    </row>
    <row r="107" spans="1:6" x14ac:dyDescent="0.3">
      <c r="B107" s="823">
        <f t="shared" ref="B107:B113" si="10">$D$53</f>
        <v>0.70499999999999996</v>
      </c>
      <c r="C107" s="830">
        <v>0</v>
      </c>
      <c r="D107" s="830">
        <v>1</v>
      </c>
      <c r="E107" s="828">
        <v>174.2</v>
      </c>
      <c r="F107" s="829">
        <f t="shared" ref="F107:F113" si="11">D107 * E107</f>
        <v>174.2</v>
      </c>
    </row>
    <row r="108" spans="1:6" x14ac:dyDescent="0.3">
      <c r="B108" s="823">
        <f t="shared" si="10"/>
        <v>0.70499999999999996</v>
      </c>
      <c r="C108" s="830">
        <f t="shared" ref="C108:C113" si="12">C107+B108</f>
        <v>0.70499999999999996</v>
      </c>
      <c r="D108" s="830">
        <v>4</v>
      </c>
      <c r="E108" s="828">
        <v>213.81</v>
      </c>
      <c r="F108" s="829">
        <f t="shared" si="11"/>
        <v>855.24</v>
      </c>
    </row>
    <row r="109" spans="1:6" x14ac:dyDescent="0.3">
      <c r="B109" s="823">
        <f t="shared" si="10"/>
        <v>0.70499999999999996</v>
      </c>
      <c r="C109" s="830">
        <f t="shared" si="12"/>
        <v>1.41</v>
      </c>
      <c r="D109" s="830">
        <v>1</v>
      </c>
      <c r="E109" s="828">
        <v>232.07</v>
      </c>
      <c r="F109" s="829">
        <f t="shared" si="11"/>
        <v>232.07</v>
      </c>
    </row>
    <row r="110" spans="1:6" x14ac:dyDescent="0.3">
      <c r="B110" s="823">
        <f t="shared" si="10"/>
        <v>0.70499999999999996</v>
      </c>
      <c r="C110" s="830">
        <f t="shared" si="12"/>
        <v>2.1149999999999998</v>
      </c>
      <c r="D110" s="830"/>
      <c r="E110" s="828"/>
      <c r="F110" s="829">
        <f t="shared" si="11"/>
        <v>0</v>
      </c>
    </row>
    <row r="111" spans="1:6" x14ac:dyDescent="0.3">
      <c r="B111" s="823">
        <f t="shared" si="10"/>
        <v>0.70499999999999996</v>
      </c>
      <c r="C111" s="830">
        <f t="shared" si="12"/>
        <v>2.82</v>
      </c>
      <c r="D111" s="830"/>
      <c r="E111" s="828"/>
      <c r="F111" s="829">
        <f t="shared" si="11"/>
        <v>0</v>
      </c>
    </row>
    <row r="112" spans="1:6" x14ac:dyDescent="0.3">
      <c r="B112" s="823">
        <f t="shared" si="10"/>
        <v>0.70499999999999996</v>
      </c>
      <c r="C112" s="830">
        <f t="shared" si="12"/>
        <v>3.5249999999999999</v>
      </c>
      <c r="D112" s="830"/>
      <c r="E112" s="828"/>
      <c r="F112" s="829">
        <f t="shared" si="11"/>
        <v>0</v>
      </c>
    </row>
    <row r="113" spans="1:6" x14ac:dyDescent="0.3">
      <c r="B113" s="823">
        <f t="shared" si="10"/>
        <v>0.70499999999999996</v>
      </c>
      <c r="C113" s="830">
        <f t="shared" si="12"/>
        <v>4.2299999999999995</v>
      </c>
      <c r="D113" s="830"/>
      <c r="E113" s="828"/>
      <c r="F113" s="829">
        <f t="shared" si="11"/>
        <v>0</v>
      </c>
    </row>
    <row r="114" spans="1:6" x14ac:dyDescent="0.3">
      <c r="E114" s="844" t="s">
        <v>1568</v>
      </c>
      <c r="F114" s="845">
        <f>SUM(F107:F113)</f>
        <v>1261.51</v>
      </c>
    </row>
    <row r="115" spans="1:6" ht="27.6" x14ac:dyDescent="0.3">
      <c r="C115" s="835" t="s">
        <v>1569</v>
      </c>
      <c r="D115" s="846" t="s">
        <v>10</v>
      </c>
      <c r="E115" s="847">
        <v>75</v>
      </c>
      <c r="F115" s="848"/>
    </row>
    <row r="116" spans="1:6" ht="27.6" x14ac:dyDescent="0.3">
      <c r="C116" s="835" t="s">
        <v>1570</v>
      </c>
      <c r="D116" s="846" t="s">
        <v>10</v>
      </c>
      <c r="E116" s="847">
        <v>95</v>
      </c>
      <c r="F116" s="848"/>
    </row>
    <row r="117" spans="1:6" ht="27.6" x14ac:dyDescent="0.3">
      <c r="C117" s="835" t="s">
        <v>1571</v>
      </c>
      <c r="D117" s="846" t="s">
        <v>10</v>
      </c>
      <c r="E117" s="847">
        <f>E116-E115</f>
        <v>20</v>
      </c>
      <c r="F117" s="848"/>
    </row>
    <row r="118" spans="1:6" x14ac:dyDescent="0.3">
      <c r="C118" s="835"/>
      <c r="D118" s="846" t="s">
        <v>10</v>
      </c>
      <c r="E118" s="847">
        <v>7</v>
      </c>
      <c r="F118" s="848"/>
    </row>
    <row r="119" spans="1:6" ht="41.4" x14ac:dyDescent="0.3">
      <c r="C119" s="835" t="s">
        <v>1589</v>
      </c>
      <c r="D119" s="846" t="s">
        <v>10</v>
      </c>
      <c r="E119" s="847">
        <f>D103</f>
        <v>0.70499999999999996</v>
      </c>
      <c r="F119" s="848" t="s">
        <v>11</v>
      </c>
    </row>
    <row r="120" spans="1:6" x14ac:dyDescent="0.3">
      <c r="C120" s="836" t="s">
        <v>1584</v>
      </c>
      <c r="D120" s="849" t="s">
        <v>10</v>
      </c>
      <c r="E120" s="850" t="s">
        <v>1574</v>
      </c>
      <c r="F120" s="851"/>
    </row>
    <row r="121" spans="1:6" x14ac:dyDescent="0.3">
      <c r="C121" s="852"/>
      <c r="D121" s="853" t="s">
        <v>10</v>
      </c>
      <c r="E121" s="854">
        <f>1/3 * E119 * F114</f>
        <v>296.45484999999996</v>
      </c>
      <c r="F121" s="855" t="s">
        <v>1575</v>
      </c>
    </row>
    <row r="122" spans="1:6" x14ac:dyDescent="0.3">
      <c r="C122" s="835" t="s">
        <v>1585</v>
      </c>
      <c r="D122" s="846" t="s">
        <v>10</v>
      </c>
      <c r="E122" s="847">
        <f>E121 * 2</f>
        <v>592.90969999999993</v>
      </c>
      <c r="F122" s="848" t="s">
        <v>1575</v>
      </c>
    </row>
    <row r="123" spans="1:6" x14ac:dyDescent="0.3">
      <c r="E123" s="824"/>
      <c r="F123" s="825"/>
    </row>
    <row r="124" spans="1:6" ht="27.6" x14ac:dyDescent="0.3">
      <c r="A124" s="826" t="s">
        <v>1576</v>
      </c>
      <c r="B124" s="826" t="s">
        <v>1592</v>
      </c>
      <c r="E124" s="824"/>
      <c r="F124" s="825"/>
    </row>
    <row r="125" spans="1:6" x14ac:dyDescent="0.3">
      <c r="B125" s="832" t="s">
        <v>1577</v>
      </c>
      <c r="C125" s="833" t="s">
        <v>10</v>
      </c>
      <c r="D125" s="833">
        <v>1.41</v>
      </c>
      <c r="E125" s="834" t="s">
        <v>11</v>
      </c>
      <c r="F125" s="825"/>
    </row>
    <row r="126" spans="1:6" ht="27.6" x14ac:dyDescent="0.3">
      <c r="B126" s="835" t="s">
        <v>1578</v>
      </c>
      <c r="C126" s="833" t="s">
        <v>10</v>
      </c>
      <c r="D126" s="833">
        <v>0</v>
      </c>
      <c r="E126" s="834" t="s">
        <v>11</v>
      </c>
      <c r="F126" s="825"/>
    </row>
    <row r="127" spans="1:6" ht="27.6" x14ac:dyDescent="0.3">
      <c r="B127" s="835" t="s">
        <v>1579</v>
      </c>
      <c r="C127" s="833" t="s">
        <v>10</v>
      </c>
      <c r="D127" s="833">
        <f>D125-D126</f>
        <v>1.41</v>
      </c>
      <c r="E127" s="834" t="s">
        <v>11</v>
      </c>
      <c r="F127" s="825"/>
    </row>
    <row r="128" spans="1:6" x14ac:dyDescent="0.3">
      <c r="B128" s="832" t="s">
        <v>1587</v>
      </c>
      <c r="C128" s="833" t="s">
        <v>10</v>
      </c>
      <c r="D128" s="833">
        <f>D127/2</f>
        <v>0.70499999999999996</v>
      </c>
      <c r="E128" s="834" t="s">
        <v>11</v>
      </c>
      <c r="F128" s="825"/>
    </row>
    <row r="129" spans="2:6" ht="27.6" x14ac:dyDescent="0.3">
      <c r="B129" s="836" t="s">
        <v>1581</v>
      </c>
      <c r="C129" s="837" t="s">
        <v>10</v>
      </c>
      <c r="D129" s="837" t="s">
        <v>1582</v>
      </c>
      <c r="E129" s="838" t="s">
        <v>11</v>
      </c>
      <c r="F129" s="825"/>
    </row>
    <row r="130" spans="2:6" x14ac:dyDescent="0.3">
      <c r="B130" s="839"/>
      <c r="C130" s="840" t="s">
        <v>10</v>
      </c>
      <c r="D130" s="840"/>
      <c r="E130" s="841" t="s">
        <v>11</v>
      </c>
      <c r="F130" s="825"/>
    </row>
    <row r="131" spans="2:6" ht="27.6" x14ac:dyDescent="0.3">
      <c r="C131" s="842" t="s">
        <v>1583</v>
      </c>
      <c r="D131" s="842" t="s">
        <v>1565</v>
      </c>
      <c r="E131" s="843" t="s">
        <v>1566</v>
      </c>
      <c r="F131" s="829" t="s">
        <v>1567</v>
      </c>
    </row>
    <row r="132" spans="2:6" x14ac:dyDescent="0.3">
      <c r="B132" s="823">
        <f t="shared" ref="B132:B138" si="13">$D$53</f>
        <v>0.70499999999999996</v>
      </c>
      <c r="C132" s="830">
        <v>0</v>
      </c>
      <c r="D132" s="830">
        <v>1</v>
      </c>
      <c r="E132" s="828">
        <v>174.19470000000001</v>
      </c>
      <c r="F132" s="829">
        <f t="shared" ref="F132:F138" si="14">D132 * E132</f>
        <v>174.19470000000001</v>
      </c>
    </row>
    <row r="133" spans="2:6" x14ac:dyDescent="0.3">
      <c r="B133" s="823">
        <f t="shared" si="13"/>
        <v>0.70499999999999996</v>
      </c>
      <c r="C133" s="830">
        <f t="shared" ref="C133:C138" si="15">C132+B133</f>
        <v>0.70499999999999996</v>
      </c>
      <c r="D133" s="830">
        <v>4</v>
      </c>
      <c r="E133" s="828">
        <v>213.83920000000001</v>
      </c>
      <c r="F133" s="829">
        <f t="shared" si="14"/>
        <v>855.35680000000002</v>
      </c>
    </row>
    <row r="134" spans="2:6" x14ac:dyDescent="0.3">
      <c r="B134" s="823">
        <f t="shared" si="13"/>
        <v>0.70499999999999996</v>
      </c>
      <c r="C134" s="830">
        <f t="shared" si="15"/>
        <v>1.41</v>
      </c>
      <c r="D134" s="830">
        <v>1</v>
      </c>
      <c r="E134" s="828">
        <v>233.08199999999999</v>
      </c>
      <c r="F134" s="829">
        <f t="shared" si="14"/>
        <v>233.08199999999999</v>
      </c>
    </row>
    <row r="135" spans="2:6" x14ac:dyDescent="0.3">
      <c r="B135" s="823">
        <f t="shared" si="13"/>
        <v>0.70499999999999996</v>
      </c>
      <c r="C135" s="830">
        <f t="shared" si="15"/>
        <v>2.1149999999999998</v>
      </c>
      <c r="D135" s="830"/>
      <c r="E135" s="828"/>
      <c r="F135" s="829">
        <f t="shared" si="14"/>
        <v>0</v>
      </c>
    </row>
    <row r="136" spans="2:6" x14ac:dyDescent="0.3">
      <c r="B136" s="823">
        <f t="shared" si="13"/>
        <v>0.70499999999999996</v>
      </c>
      <c r="C136" s="830">
        <f t="shared" si="15"/>
        <v>2.82</v>
      </c>
      <c r="D136" s="830"/>
      <c r="E136" s="828"/>
      <c r="F136" s="829">
        <f t="shared" si="14"/>
        <v>0</v>
      </c>
    </row>
    <row r="137" spans="2:6" x14ac:dyDescent="0.3">
      <c r="B137" s="823">
        <f t="shared" si="13"/>
        <v>0.70499999999999996</v>
      </c>
      <c r="C137" s="830">
        <f t="shared" si="15"/>
        <v>3.5249999999999999</v>
      </c>
      <c r="D137" s="830"/>
      <c r="E137" s="828"/>
      <c r="F137" s="829">
        <f t="shared" si="14"/>
        <v>0</v>
      </c>
    </row>
    <row r="138" spans="2:6" x14ac:dyDescent="0.3">
      <c r="B138" s="823">
        <f t="shared" si="13"/>
        <v>0.70499999999999996</v>
      </c>
      <c r="C138" s="830">
        <f t="shared" si="15"/>
        <v>4.2299999999999995</v>
      </c>
      <c r="D138" s="830"/>
      <c r="E138" s="828"/>
      <c r="F138" s="829">
        <f t="shared" si="14"/>
        <v>0</v>
      </c>
    </row>
    <row r="139" spans="2:6" x14ac:dyDescent="0.3">
      <c r="E139" s="844" t="s">
        <v>1568</v>
      </c>
      <c r="F139" s="845">
        <f>SUM(F132:F138)</f>
        <v>1262.6334999999999</v>
      </c>
    </row>
    <row r="140" spans="2:6" ht="27.6" x14ac:dyDescent="0.3">
      <c r="C140" s="835" t="s">
        <v>1569</v>
      </c>
      <c r="D140" s="846" t="s">
        <v>10</v>
      </c>
      <c r="E140" s="847">
        <v>55</v>
      </c>
      <c r="F140" s="848"/>
    </row>
    <row r="141" spans="2:6" ht="27.6" x14ac:dyDescent="0.3">
      <c r="C141" s="835" t="s">
        <v>1570</v>
      </c>
      <c r="D141" s="846" t="s">
        <v>10</v>
      </c>
      <c r="E141" s="847">
        <v>75</v>
      </c>
      <c r="F141" s="848"/>
    </row>
    <row r="142" spans="2:6" ht="27.6" x14ac:dyDescent="0.3">
      <c r="C142" s="835" t="s">
        <v>1571</v>
      </c>
      <c r="D142" s="846" t="s">
        <v>10</v>
      </c>
      <c r="E142" s="847">
        <f>E141-E140</f>
        <v>20</v>
      </c>
      <c r="F142" s="848"/>
    </row>
    <row r="143" spans="2:6" x14ac:dyDescent="0.3">
      <c r="C143" s="835"/>
      <c r="D143" s="846" t="s">
        <v>10</v>
      </c>
      <c r="E143" s="847">
        <v>7</v>
      </c>
      <c r="F143" s="848"/>
    </row>
    <row r="144" spans="2:6" ht="41.4" x14ac:dyDescent="0.3">
      <c r="C144" s="835" t="s">
        <v>1589</v>
      </c>
      <c r="D144" s="846" t="s">
        <v>10</v>
      </c>
      <c r="E144" s="847">
        <f>D128</f>
        <v>0.70499999999999996</v>
      </c>
      <c r="F144" s="848" t="s">
        <v>11</v>
      </c>
    </row>
    <row r="145" spans="1:6" x14ac:dyDescent="0.3">
      <c r="C145" s="836" t="s">
        <v>1584</v>
      </c>
      <c r="D145" s="849" t="s">
        <v>10</v>
      </c>
      <c r="E145" s="850" t="s">
        <v>1574</v>
      </c>
      <c r="F145" s="851"/>
    </row>
    <row r="146" spans="1:6" x14ac:dyDescent="0.3">
      <c r="C146" s="852"/>
      <c r="D146" s="853" t="s">
        <v>10</v>
      </c>
      <c r="E146" s="854">
        <f>1/3 * E144 * F139</f>
        <v>296.71887249999997</v>
      </c>
      <c r="F146" s="855" t="s">
        <v>1575</v>
      </c>
    </row>
    <row r="147" spans="1:6" x14ac:dyDescent="0.3">
      <c r="C147" s="835" t="s">
        <v>1585</v>
      </c>
      <c r="D147" s="846" t="s">
        <v>10</v>
      </c>
      <c r="E147" s="847">
        <f>E146 * 2</f>
        <v>593.43774499999995</v>
      </c>
      <c r="F147" s="848" t="s">
        <v>1575</v>
      </c>
    </row>
    <row r="148" spans="1:6" x14ac:dyDescent="0.3">
      <c r="E148" s="824"/>
      <c r="F148" s="825"/>
    </row>
    <row r="149" spans="1:6" ht="27.6" x14ac:dyDescent="0.3">
      <c r="A149" s="826" t="s">
        <v>1576</v>
      </c>
      <c r="B149" s="826" t="s">
        <v>1593</v>
      </c>
      <c r="E149" s="824"/>
      <c r="F149" s="825"/>
    </row>
    <row r="150" spans="1:6" x14ac:dyDescent="0.3">
      <c r="B150" s="832" t="s">
        <v>1577</v>
      </c>
      <c r="C150" s="833" t="s">
        <v>10</v>
      </c>
      <c r="D150" s="833">
        <v>1.41</v>
      </c>
      <c r="E150" s="834" t="s">
        <v>11</v>
      </c>
      <c r="F150" s="825"/>
    </row>
    <row r="151" spans="1:6" ht="27.6" x14ac:dyDescent="0.3">
      <c r="B151" s="835" t="s">
        <v>1578</v>
      </c>
      <c r="C151" s="833" t="s">
        <v>10</v>
      </c>
      <c r="D151" s="833">
        <v>0</v>
      </c>
      <c r="E151" s="834" t="s">
        <v>11</v>
      </c>
      <c r="F151" s="825"/>
    </row>
    <row r="152" spans="1:6" ht="27.6" x14ac:dyDescent="0.3">
      <c r="B152" s="835" t="s">
        <v>1579</v>
      </c>
      <c r="C152" s="833" t="s">
        <v>10</v>
      </c>
      <c r="D152" s="833">
        <f>D150-D151</f>
        <v>1.41</v>
      </c>
      <c r="E152" s="834" t="s">
        <v>11</v>
      </c>
      <c r="F152" s="825"/>
    </row>
    <row r="153" spans="1:6" x14ac:dyDescent="0.3">
      <c r="B153" s="832" t="s">
        <v>1587</v>
      </c>
      <c r="C153" s="833" t="s">
        <v>10</v>
      </c>
      <c r="D153" s="833">
        <f>D152/2</f>
        <v>0.70499999999999996</v>
      </c>
      <c r="E153" s="834" t="s">
        <v>11</v>
      </c>
      <c r="F153" s="825"/>
    </row>
    <row r="154" spans="1:6" ht="27.6" x14ac:dyDescent="0.3">
      <c r="B154" s="836" t="s">
        <v>1581</v>
      </c>
      <c r="C154" s="837" t="s">
        <v>10</v>
      </c>
      <c r="D154" s="837" t="s">
        <v>1582</v>
      </c>
      <c r="E154" s="838" t="s">
        <v>11</v>
      </c>
      <c r="F154" s="825"/>
    </row>
    <row r="155" spans="1:6" x14ac:dyDescent="0.3">
      <c r="B155" s="839"/>
      <c r="C155" s="840" t="s">
        <v>10</v>
      </c>
      <c r="D155" s="840"/>
      <c r="E155" s="841" t="s">
        <v>11</v>
      </c>
      <c r="F155" s="825"/>
    </row>
    <row r="156" spans="1:6" ht="27.6" x14ac:dyDescent="0.3">
      <c r="C156" s="842" t="s">
        <v>1583</v>
      </c>
      <c r="D156" s="842" t="s">
        <v>1565</v>
      </c>
      <c r="E156" s="843" t="s">
        <v>1566</v>
      </c>
      <c r="F156" s="829" t="s">
        <v>1567</v>
      </c>
    </row>
    <row r="157" spans="1:6" x14ac:dyDescent="0.3">
      <c r="B157" s="823">
        <f t="shared" ref="B157:B163" si="16">$D$53</f>
        <v>0.70499999999999996</v>
      </c>
      <c r="C157" s="830">
        <v>0</v>
      </c>
      <c r="D157" s="830">
        <v>1</v>
      </c>
      <c r="E157" s="828">
        <v>143.14359999999999</v>
      </c>
      <c r="F157" s="829">
        <f t="shared" ref="F157:F163" si="17">D157 * E157</f>
        <v>143.14359999999999</v>
      </c>
    </row>
    <row r="158" spans="1:6" x14ac:dyDescent="0.3">
      <c r="B158" s="823">
        <f t="shared" si="16"/>
        <v>0.70499999999999996</v>
      </c>
      <c r="C158" s="830">
        <f t="shared" ref="C158:C163" si="18">C157+B158</f>
        <v>0.70499999999999996</v>
      </c>
      <c r="D158" s="830">
        <v>4</v>
      </c>
      <c r="E158" s="828">
        <v>175.58940000000001</v>
      </c>
      <c r="F158" s="829">
        <f t="shared" si="17"/>
        <v>702.35760000000005</v>
      </c>
    </row>
    <row r="159" spans="1:6" x14ac:dyDescent="0.3">
      <c r="B159" s="823">
        <f t="shared" si="16"/>
        <v>0.70499999999999996</v>
      </c>
      <c r="C159" s="830">
        <f t="shared" si="18"/>
        <v>1.41</v>
      </c>
      <c r="D159" s="830">
        <v>1</v>
      </c>
      <c r="E159" s="828">
        <v>180.37180000000001</v>
      </c>
      <c r="F159" s="829">
        <f t="shared" si="17"/>
        <v>180.37180000000001</v>
      </c>
    </row>
    <row r="160" spans="1:6" x14ac:dyDescent="0.3">
      <c r="B160" s="823">
        <f t="shared" si="16"/>
        <v>0.70499999999999996</v>
      </c>
      <c r="C160" s="830">
        <f t="shared" si="18"/>
        <v>2.1149999999999998</v>
      </c>
      <c r="D160" s="830"/>
      <c r="E160" s="828"/>
      <c r="F160" s="829">
        <f t="shared" si="17"/>
        <v>0</v>
      </c>
    </row>
    <row r="161" spans="1:6" x14ac:dyDescent="0.3">
      <c r="B161" s="823">
        <f t="shared" si="16"/>
        <v>0.70499999999999996</v>
      </c>
      <c r="C161" s="830">
        <f t="shared" si="18"/>
        <v>2.82</v>
      </c>
      <c r="D161" s="830"/>
      <c r="E161" s="828"/>
      <c r="F161" s="829">
        <f t="shared" si="17"/>
        <v>0</v>
      </c>
    </row>
    <row r="162" spans="1:6" x14ac:dyDescent="0.3">
      <c r="B162" s="823">
        <f t="shared" si="16"/>
        <v>0.70499999999999996</v>
      </c>
      <c r="C162" s="830">
        <f t="shared" si="18"/>
        <v>3.5249999999999999</v>
      </c>
      <c r="D162" s="830"/>
      <c r="E162" s="828"/>
      <c r="F162" s="829">
        <f t="shared" si="17"/>
        <v>0</v>
      </c>
    </row>
    <row r="163" spans="1:6" x14ac:dyDescent="0.3">
      <c r="B163" s="823">
        <f t="shared" si="16"/>
        <v>0.70499999999999996</v>
      </c>
      <c r="C163" s="830">
        <f t="shared" si="18"/>
        <v>4.2299999999999995</v>
      </c>
      <c r="D163" s="830"/>
      <c r="E163" s="828"/>
      <c r="F163" s="829">
        <f t="shared" si="17"/>
        <v>0</v>
      </c>
    </row>
    <row r="164" spans="1:6" x14ac:dyDescent="0.3">
      <c r="E164" s="844" t="s">
        <v>1568</v>
      </c>
      <c r="F164" s="845">
        <f>SUM(F157:F163)</f>
        <v>1025.873</v>
      </c>
    </row>
    <row r="165" spans="1:6" ht="27.6" x14ac:dyDescent="0.3">
      <c r="C165" s="835" t="s">
        <v>1569</v>
      </c>
      <c r="D165" s="846" t="s">
        <v>10</v>
      </c>
      <c r="E165" s="847">
        <v>38</v>
      </c>
      <c r="F165" s="848"/>
    </row>
    <row r="166" spans="1:6" ht="27.6" x14ac:dyDescent="0.3">
      <c r="C166" s="835" t="s">
        <v>1570</v>
      </c>
      <c r="D166" s="846" t="s">
        <v>10</v>
      </c>
      <c r="E166" s="847">
        <v>55</v>
      </c>
      <c r="F166" s="848"/>
    </row>
    <row r="167" spans="1:6" ht="27.6" x14ac:dyDescent="0.3">
      <c r="C167" s="835" t="s">
        <v>1571</v>
      </c>
      <c r="D167" s="846" t="s">
        <v>10</v>
      </c>
      <c r="E167" s="847">
        <f>E166-E165</f>
        <v>17</v>
      </c>
      <c r="F167" s="848"/>
    </row>
    <row r="168" spans="1:6" x14ac:dyDescent="0.3">
      <c r="C168" s="835"/>
      <c r="D168" s="846" t="s">
        <v>10</v>
      </c>
      <c r="E168" s="847">
        <v>7</v>
      </c>
      <c r="F168" s="848"/>
    </row>
    <row r="169" spans="1:6" ht="41.4" x14ac:dyDescent="0.3">
      <c r="C169" s="835" t="s">
        <v>1589</v>
      </c>
      <c r="D169" s="846" t="s">
        <v>10</v>
      </c>
      <c r="E169" s="847">
        <f>D153</f>
        <v>0.70499999999999996</v>
      </c>
      <c r="F169" s="848" t="s">
        <v>11</v>
      </c>
    </row>
    <row r="170" spans="1:6" x14ac:dyDescent="0.3">
      <c r="C170" s="836" t="s">
        <v>1584</v>
      </c>
      <c r="D170" s="849" t="s">
        <v>10</v>
      </c>
      <c r="E170" s="850" t="s">
        <v>1574</v>
      </c>
      <c r="F170" s="851"/>
    </row>
    <row r="171" spans="1:6" x14ac:dyDescent="0.3">
      <c r="C171" s="852"/>
      <c r="D171" s="853" t="s">
        <v>10</v>
      </c>
      <c r="E171" s="854">
        <f>1/3 * E169 * F164</f>
        <v>241.08015499999999</v>
      </c>
      <c r="F171" s="855" t="s">
        <v>1575</v>
      </c>
    </row>
    <row r="172" spans="1:6" x14ac:dyDescent="0.3">
      <c r="C172" s="835" t="s">
        <v>1585</v>
      </c>
      <c r="D172" s="846" t="s">
        <v>10</v>
      </c>
      <c r="E172" s="847">
        <f>E171 * 2</f>
        <v>482.16030999999998</v>
      </c>
      <c r="F172" s="848" t="s">
        <v>1575</v>
      </c>
    </row>
    <row r="173" spans="1:6" x14ac:dyDescent="0.3">
      <c r="C173" s="826"/>
      <c r="D173" s="826"/>
      <c r="E173" s="856"/>
      <c r="F173" s="857"/>
    </row>
    <row r="174" spans="1:6" ht="41.4" x14ac:dyDescent="0.3">
      <c r="A174" s="826" t="s">
        <v>1576</v>
      </c>
      <c r="B174" s="826" t="s">
        <v>1594</v>
      </c>
      <c r="E174" s="824"/>
      <c r="F174" s="825"/>
    </row>
    <row r="175" spans="1:6" x14ac:dyDescent="0.3">
      <c r="B175" s="832" t="s">
        <v>1577</v>
      </c>
      <c r="C175" s="833" t="s">
        <v>10</v>
      </c>
      <c r="D175" s="833">
        <v>1.41</v>
      </c>
      <c r="E175" s="834" t="s">
        <v>11</v>
      </c>
      <c r="F175" s="825"/>
    </row>
    <row r="176" spans="1:6" ht="27.6" x14ac:dyDescent="0.3">
      <c r="B176" s="835" t="s">
        <v>1578</v>
      </c>
      <c r="C176" s="833" t="s">
        <v>10</v>
      </c>
      <c r="D176" s="833">
        <v>0</v>
      </c>
      <c r="E176" s="834" t="s">
        <v>11</v>
      </c>
      <c r="F176" s="825"/>
    </row>
    <row r="177" spans="2:6" ht="27.6" x14ac:dyDescent="0.3">
      <c r="B177" s="835" t="s">
        <v>1579</v>
      </c>
      <c r="C177" s="833" t="s">
        <v>10</v>
      </c>
      <c r="D177" s="833">
        <f>D175-D176</f>
        <v>1.41</v>
      </c>
      <c r="E177" s="834" t="s">
        <v>11</v>
      </c>
      <c r="F177" s="825"/>
    </row>
    <row r="178" spans="2:6" x14ac:dyDescent="0.3">
      <c r="B178" s="832" t="s">
        <v>1587</v>
      </c>
      <c r="C178" s="833" t="s">
        <v>10</v>
      </c>
      <c r="D178" s="833">
        <f>D177/2</f>
        <v>0.70499999999999996</v>
      </c>
      <c r="E178" s="834" t="s">
        <v>11</v>
      </c>
      <c r="F178" s="825"/>
    </row>
    <row r="179" spans="2:6" ht="27.6" x14ac:dyDescent="0.3">
      <c r="B179" s="836" t="s">
        <v>1581</v>
      </c>
      <c r="C179" s="837" t="s">
        <v>10</v>
      </c>
      <c r="D179" s="837" t="s">
        <v>1582</v>
      </c>
      <c r="E179" s="838" t="s">
        <v>11</v>
      </c>
      <c r="F179" s="825"/>
    </row>
    <row r="180" spans="2:6" x14ac:dyDescent="0.3">
      <c r="B180" s="839"/>
      <c r="C180" s="840" t="s">
        <v>10</v>
      </c>
      <c r="D180" s="840"/>
      <c r="E180" s="841" t="s">
        <v>11</v>
      </c>
      <c r="F180" s="825"/>
    </row>
    <row r="181" spans="2:6" ht="27.6" x14ac:dyDescent="0.3">
      <c r="C181" s="842" t="s">
        <v>1583</v>
      </c>
      <c r="D181" s="842" t="s">
        <v>1565</v>
      </c>
      <c r="E181" s="843" t="s">
        <v>1566</v>
      </c>
      <c r="F181" s="829" t="s">
        <v>1567</v>
      </c>
    </row>
    <row r="182" spans="2:6" x14ac:dyDescent="0.3">
      <c r="B182" s="823">
        <f t="shared" ref="B182:B188" si="19">$D$53</f>
        <v>0.70499999999999996</v>
      </c>
      <c r="C182" s="830">
        <v>0</v>
      </c>
      <c r="D182" s="830">
        <v>1</v>
      </c>
      <c r="E182" s="828">
        <v>143.14359999999999</v>
      </c>
      <c r="F182" s="829">
        <f t="shared" ref="F182:F188" si="20">D182 * E182</f>
        <v>143.14359999999999</v>
      </c>
    </row>
    <row r="183" spans="2:6" x14ac:dyDescent="0.3">
      <c r="B183" s="823">
        <f t="shared" si="19"/>
        <v>0.70499999999999996</v>
      </c>
      <c r="C183" s="830">
        <f t="shared" ref="C183:C188" si="21">C182+B183</f>
        <v>0.70499999999999996</v>
      </c>
      <c r="D183" s="830">
        <v>4</v>
      </c>
      <c r="E183" s="828">
        <v>175.58940000000001</v>
      </c>
      <c r="F183" s="829">
        <f t="shared" si="20"/>
        <v>702.35760000000005</v>
      </c>
    </row>
    <row r="184" spans="2:6" x14ac:dyDescent="0.3">
      <c r="B184" s="823">
        <f t="shared" si="19"/>
        <v>0.70499999999999996</v>
      </c>
      <c r="C184" s="830">
        <f t="shared" si="21"/>
        <v>1.41</v>
      </c>
      <c r="D184" s="830">
        <v>1</v>
      </c>
      <c r="E184" s="828">
        <v>180.37180000000001</v>
      </c>
      <c r="F184" s="829">
        <f t="shared" si="20"/>
        <v>180.37180000000001</v>
      </c>
    </row>
    <row r="185" spans="2:6" x14ac:dyDescent="0.3">
      <c r="B185" s="823">
        <f t="shared" si="19"/>
        <v>0.70499999999999996</v>
      </c>
      <c r="C185" s="830">
        <f t="shared" si="21"/>
        <v>2.1149999999999998</v>
      </c>
      <c r="D185" s="830"/>
      <c r="E185" s="828"/>
      <c r="F185" s="829">
        <f t="shared" si="20"/>
        <v>0</v>
      </c>
    </row>
    <row r="186" spans="2:6" x14ac:dyDescent="0.3">
      <c r="B186" s="823">
        <f t="shared" si="19"/>
        <v>0.70499999999999996</v>
      </c>
      <c r="C186" s="830">
        <f t="shared" si="21"/>
        <v>2.82</v>
      </c>
      <c r="D186" s="830"/>
      <c r="E186" s="828"/>
      <c r="F186" s="829">
        <f t="shared" si="20"/>
        <v>0</v>
      </c>
    </row>
    <row r="187" spans="2:6" x14ac:dyDescent="0.3">
      <c r="B187" s="823">
        <f t="shared" si="19"/>
        <v>0.70499999999999996</v>
      </c>
      <c r="C187" s="830">
        <f t="shared" si="21"/>
        <v>3.5249999999999999</v>
      </c>
      <c r="D187" s="830"/>
      <c r="E187" s="828"/>
      <c r="F187" s="829">
        <f t="shared" si="20"/>
        <v>0</v>
      </c>
    </row>
    <row r="188" spans="2:6" x14ac:dyDescent="0.3">
      <c r="B188" s="823">
        <f t="shared" si="19"/>
        <v>0.70499999999999996</v>
      </c>
      <c r="C188" s="830">
        <f t="shared" si="21"/>
        <v>4.2299999999999995</v>
      </c>
      <c r="D188" s="830"/>
      <c r="E188" s="828"/>
      <c r="F188" s="829">
        <f t="shared" si="20"/>
        <v>0</v>
      </c>
    </row>
    <row r="189" spans="2:6" x14ac:dyDescent="0.3">
      <c r="E189" s="844" t="s">
        <v>1568</v>
      </c>
      <c r="F189" s="845">
        <f>SUM(F182:F188)</f>
        <v>1025.873</v>
      </c>
    </row>
    <row r="190" spans="2:6" ht="27.6" x14ac:dyDescent="0.3">
      <c r="C190" s="835" t="s">
        <v>1569</v>
      </c>
      <c r="D190" s="846" t="s">
        <v>10</v>
      </c>
      <c r="E190" s="847">
        <v>38</v>
      </c>
      <c r="F190" s="848"/>
    </row>
    <row r="191" spans="2:6" ht="27.6" x14ac:dyDescent="0.3">
      <c r="C191" s="835" t="s">
        <v>1570</v>
      </c>
      <c r="D191" s="846" t="s">
        <v>10</v>
      </c>
      <c r="E191" s="847">
        <v>55</v>
      </c>
      <c r="F191" s="848"/>
    </row>
    <row r="192" spans="2:6" ht="27.6" x14ac:dyDescent="0.3">
      <c r="C192" s="835" t="s">
        <v>1571</v>
      </c>
      <c r="D192" s="846" t="s">
        <v>10</v>
      </c>
      <c r="E192" s="847">
        <f>E191-E190</f>
        <v>17</v>
      </c>
      <c r="F192" s="848"/>
    </row>
    <row r="193" spans="1:6" x14ac:dyDescent="0.3">
      <c r="C193" s="835"/>
      <c r="D193" s="846" t="s">
        <v>10</v>
      </c>
      <c r="E193" s="847">
        <v>7</v>
      </c>
      <c r="F193" s="848"/>
    </row>
    <row r="194" spans="1:6" ht="41.4" x14ac:dyDescent="0.3">
      <c r="C194" s="835" t="s">
        <v>1589</v>
      </c>
      <c r="D194" s="846" t="s">
        <v>10</v>
      </c>
      <c r="E194" s="847">
        <f>D178</f>
        <v>0.70499999999999996</v>
      </c>
      <c r="F194" s="848" t="s">
        <v>11</v>
      </c>
    </row>
    <row r="195" spans="1:6" x14ac:dyDescent="0.3">
      <c r="C195" s="836" t="s">
        <v>1584</v>
      </c>
      <c r="D195" s="849" t="s">
        <v>10</v>
      </c>
      <c r="E195" s="850" t="s">
        <v>1574</v>
      </c>
      <c r="F195" s="851"/>
    </row>
    <row r="196" spans="1:6" x14ac:dyDescent="0.3">
      <c r="C196" s="852"/>
      <c r="D196" s="853" t="s">
        <v>10</v>
      </c>
      <c r="E196" s="854">
        <f>1/3 * E194 * F189</f>
        <v>241.08015499999999</v>
      </c>
      <c r="F196" s="855" t="s">
        <v>1575</v>
      </c>
    </row>
    <row r="197" spans="1:6" x14ac:dyDescent="0.3">
      <c r="C197" s="835" t="s">
        <v>1585</v>
      </c>
      <c r="D197" s="846" t="s">
        <v>10</v>
      </c>
      <c r="E197" s="847">
        <f>E196 * 2</f>
        <v>482.16030999999998</v>
      </c>
      <c r="F197" s="848" t="s">
        <v>1575</v>
      </c>
    </row>
    <row r="198" spans="1:6" x14ac:dyDescent="0.3">
      <c r="C198" s="826"/>
      <c r="D198" s="826"/>
      <c r="E198" s="856"/>
      <c r="F198" s="857"/>
    </row>
    <row r="199" spans="1:6" ht="41.4" x14ac:dyDescent="0.3">
      <c r="B199" s="826" t="s">
        <v>1595</v>
      </c>
      <c r="C199" s="823" t="s">
        <v>10</v>
      </c>
      <c r="D199" s="824">
        <f>E72+E97+E122+E147+E172</f>
        <v>2466.9745399999997</v>
      </c>
      <c r="E199" s="856"/>
      <c r="F199" s="857"/>
    </row>
    <row r="200" spans="1:6" x14ac:dyDescent="0.3">
      <c r="C200" s="826"/>
      <c r="D200" s="826"/>
      <c r="E200" s="856"/>
      <c r="F200" s="857"/>
    </row>
    <row r="201" spans="1:6" ht="27.6" x14ac:dyDescent="0.3">
      <c r="A201" s="826" t="s">
        <v>1576</v>
      </c>
      <c r="B201" s="826" t="s">
        <v>1596</v>
      </c>
      <c r="E201" s="824"/>
      <c r="F201" s="825"/>
    </row>
    <row r="202" spans="1:6" x14ac:dyDescent="0.3">
      <c r="B202" s="832" t="s">
        <v>1577</v>
      </c>
      <c r="C202" s="833" t="s">
        <v>10</v>
      </c>
      <c r="D202" s="833">
        <v>1.41</v>
      </c>
      <c r="E202" s="834" t="s">
        <v>11</v>
      </c>
      <c r="F202" s="825"/>
    </row>
    <row r="203" spans="1:6" ht="27.6" x14ac:dyDescent="0.3">
      <c r="B203" s="835" t="s">
        <v>1578</v>
      </c>
      <c r="C203" s="833" t="s">
        <v>10</v>
      </c>
      <c r="D203" s="833">
        <v>0</v>
      </c>
      <c r="E203" s="834" t="s">
        <v>11</v>
      </c>
      <c r="F203" s="825"/>
    </row>
    <row r="204" spans="1:6" ht="27.6" x14ac:dyDescent="0.3">
      <c r="B204" s="835" t="s">
        <v>1579</v>
      </c>
      <c r="C204" s="833" t="s">
        <v>10</v>
      </c>
      <c r="D204" s="833">
        <f>D202-D203</f>
        <v>1.41</v>
      </c>
      <c r="E204" s="834" t="s">
        <v>11</v>
      </c>
      <c r="F204" s="825"/>
    </row>
    <row r="205" spans="1:6" x14ac:dyDescent="0.3">
      <c r="B205" s="832" t="s">
        <v>1587</v>
      </c>
      <c r="C205" s="833" t="s">
        <v>10</v>
      </c>
      <c r="D205" s="833">
        <f>D204/2</f>
        <v>0.70499999999999996</v>
      </c>
      <c r="E205" s="834" t="s">
        <v>11</v>
      </c>
      <c r="F205" s="825"/>
    </row>
    <row r="206" spans="1:6" ht="27.6" x14ac:dyDescent="0.3">
      <c r="B206" s="836" t="s">
        <v>1581</v>
      </c>
      <c r="C206" s="837" t="s">
        <v>10</v>
      </c>
      <c r="D206" s="837" t="s">
        <v>1582</v>
      </c>
      <c r="E206" s="838" t="s">
        <v>11</v>
      </c>
      <c r="F206" s="825"/>
    </row>
    <row r="207" spans="1:6" x14ac:dyDescent="0.3">
      <c r="B207" s="839"/>
      <c r="C207" s="840" t="s">
        <v>10</v>
      </c>
      <c r="D207" s="840" t="e">
        <f>'[3]DOC 2 ATTACH'!$F$151/(VRM!E6*D204)</f>
        <v>#REF!</v>
      </c>
      <c r="E207" s="841" t="s">
        <v>11</v>
      </c>
      <c r="F207" s="825"/>
    </row>
    <row r="208" spans="1:6" ht="27.6" x14ac:dyDescent="0.3">
      <c r="C208" s="842" t="s">
        <v>1583</v>
      </c>
      <c r="D208" s="842" t="s">
        <v>1565</v>
      </c>
      <c r="E208" s="843" t="s">
        <v>1566</v>
      </c>
      <c r="F208" s="829" t="s">
        <v>1567</v>
      </c>
    </row>
    <row r="209" spans="2:6" x14ac:dyDescent="0.3">
      <c r="B209" s="823">
        <f t="shared" ref="B209:B215" si="22">$D$53</f>
        <v>0.70499999999999996</v>
      </c>
      <c r="C209" s="830">
        <v>0</v>
      </c>
      <c r="D209" s="830">
        <v>1</v>
      </c>
      <c r="E209" s="828">
        <v>23.060600000000001</v>
      </c>
      <c r="F209" s="829">
        <f t="shared" ref="F209:F215" si="23">D209 * E209</f>
        <v>23.060600000000001</v>
      </c>
    </row>
    <row r="210" spans="2:6" x14ac:dyDescent="0.3">
      <c r="B210" s="823">
        <f t="shared" si="22"/>
        <v>0.70499999999999996</v>
      </c>
      <c r="C210" s="830">
        <f t="shared" ref="C210:C215" si="24">C209+B210</f>
        <v>0.70499999999999996</v>
      </c>
      <c r="D210" s="830">
        <v>4</v>
      </c>
      <c r="E210" s="828">
        <v>28.4679</v>
      </c>
      <c r="F210" s="829">
        <f t="shared" si="23"/>
        <v>113.8716</v>
      </c>
    </row>
    <row r="211" spans="2:6" x14ac:dyDescent="0.3">
      <c r="B211" s="823">
        <f t="shared" si="22"/>
        <v>0.70499999999999996</v>
      </c>
      <c r="C211" s="830">
        <f t="shared" si="24"/>
        <v>1.41</v>
      </c>
      <c r="D211" s="830">
        <v>1</v>
      </c>
      <c r="E211" s="828">
        <v>28.9404</v>
      </c>
      <c r="F211" s="829">
        <f t="shared" si="23"/>
        <v>28.9404</v>
      </c>
    </row>
    <row r="212" spans="2:6" x14ac:dyDescent="0.3">
      <c r="B212" s="823">
        <f t="shared" si="22"/>
        <v>0.70499999999999996</v>
      </c>
      <c r="C212" s="830">
        <f t="shared" si="24"/>
        <v>2.1149999999999998</v>
      </c>
      <c r="D212" s="830"/>
      <c r="E212" s="828"/>
      <c r="F212" s="829">
        <f t="shared" si="23"/>
        <v>0</v>
      </c>
    </row>
    <row r="213" spans="2:6" x14ac:dyDescent="0.3">
      <c r="B213" s="823">
        <f t="shared" si="22"/>
        <v>0.70499999999999996</v>
      </c>
      <c r="C213" s="830">
        <f t="shared" si="24"/>
        <v>2.82</v>
      </c>
      <c r="D213" s="830"/>
      <c r="E213" s="828"/>
      <c r="F213" s="829">
        <f t="shared" si="23"/>
        <v>0</v>
      </c>
    </row>
    <row r="214" spans="2:6" x14ac:dyDescent="0.3">
      <c r="B214" s="823">
        <f t="shared" si="22"/>
        <v>0.70499999999999996</v>
      </c>
      <c r="C214" s="830">
        <f t="shared" si="24"/>
        <v>3.5249999999999999</v>
      </c>
      <c r="D214" s="830"/>
      <c r="E214" s="828"/>
      <c r="F214" s="829">
        <f t="shared" si="23"/>
        <v>0</v>
      </c>
    </row>
    <row r="215" spans="2:6" x14ac:dyDescent="0.3">
      <c r="B215" s="823">
        <f t="shared" si="22"/>
        <v>0.70499999999999996</v>
      </c>
      <c r="C215" s="830">
        <f t="shared" si="24"/>
        <v>4.2299999999999995</v>
      </c>
      <c r="D215" s="830"/>
      <c r="E215" s="828"/>
      <c r="F215" s="829">
        <f t="shared" si="23"/>
        <v>0</v>
      </c>
    </row>
    <row r="216" spans="2:6" x14ac:dyDescent="0.3">
      <c r="E216" s="844" t="s">
        <v>1568</v>
      </c>
      <c r="F216" s="845">
        <f>SUM(F209:F215)</f>
        <v>165.87260000000001</v>
      </c>
    </row>
    <row r="217" spans="2:6" ht="27.6" x14ac:dyDescent="0.3">
      <c r="C217" s="835" t="s">
        <v>1569</v>
      </c>
      <c r="D217" s="846" t="s">
        <v>10</v>
      </c>
      <c r="E217" s="847">
        <v>38</v>
      </c>
      <c r="F217" s="848"/>
    </row>
    <row r="218" spans="2:6" ht="27.6" x14ac:dyDescent="0.3">
      <c r="C218" s="835" t="s">
        <v>1570</v>
      </c>
      <c r="D218" s="846" t="s">
        <v>10</v>
      </c>
      <c r="E218" s="847">
        <v>41</v>
      </c>
      <c r="F218" s="848"/>
    </row>
    <row r="219" spans="2:6" ht="27.6" x14ac:dyDescent="0.3">
      <c r="C219" s="835" t="s">
        <v>1571</v>
      </c>
      <c r="D219" s="846" t="s">
        <v>10</v>
      </c>
      <c r="E219" s="847">
        <f>E218-E217</f>
        <v>3</v>
      </c>
      <c r="F219" s="848"/>
    </row>
    <row r="220" spans="2:6" x14ac:dyDescent="0.3">
      <c r="C220" s="835"/>
      <c r="D220" s="846" t="s">
        <v>10</v>
      </c>
      <c r="E220" s="847">
        <v>7</v>
      </c>
      <c r="F220" s="848"/>
    </row>
    <row r="221" spans="2:6" ht="41.4" x14ac:dyDescent="0.3">
      <c r="C221" s="835" t="s">
        <v>1589</v>
      </c>
      <c r="D221" s="846" t="s">
        <v>10</v>
      </c>
      <c r="E221" s="847">
        <f>D205</f>
        <v>0.70499999999999996</v>
      </c>
      <c r="F221" s="848" t="s">
        <v>11</v>
      </c>
    </row>
    <row r="222" spans="2:6" x14ac:dyDescent="0.3">
      <c r="C222" s="836" t="s">
        <v>1584</v>
      </c>
      <c r="D222" s="849" t="s">
        <v>10</v>
      </c>
      <c r="E222" s="850" t="s">
        <v>1574</v>
      </c>
      <c r="F222" s="851"/>
    </row>
    <row r="223" spans="2:6" x14ac:dyDescent="0.3">
      <c r="C223" s="852"/>
      <c r="D223" s="853" t="s">
        <v>10</v>
      </c>
      <c r="E223" s="854">
        <f>1/3 * E221 * F216</f>
        <v>38.980060999999999</v>
      </c>
      <c r="F223" s="855" t="s">
        <v>1575</v>
      </c>
    </row>
    <row r="224" spans="2:6" x14ac:dyDescent="0.3">
      <c r="C224" s="835" t="s">
        <v>1585</v>
      </c>
      <c r="D224" s="846" t="s">
        <v>10</v>
      </c>
      <c r="E224" s="847">
        <f>E223 * 2</f>
        <v>77.960121999999998</v>
      </c>
      <c r="F224" s="848" t="s">
        <v>1575</v>
      </c>
    </row>
    <row r="225" spans="1:6" x14ac:dyDescent="0.3">
      <c r="C225" s="826"/>
      <c r="D225" s="826"/>
      <c r="E225" s="856"/>
      <c r="F225" s="857"/>
    </row>
    <row r="226" spans="1:6" ht="27.6" x14ac:dyDescent="0.3">
      <c r="A226" s="826" t="s">
        <v>1576</v>
      </c>
      <c r="B226" s="826" t="s">
        <v>1597</v>
      </c>
      <c r="E226" s="824"/>
      <c r="F226" s="825"/>
    </row>
    <row r="227" spans="1:6" x14ac:dyDescent="0.3">
      <c r="B227" s="832" t="s">
        <v>1577</v>
      </c>
      <c r="C227" s="833" t="s">
        <v>10</v>
      </c>
      <c r="D227" s="833">
        <v>1.41</v>
      </c>
      <c r="E227" s="834" t="s">
        <v>11</v>
      </c>
      <c r="F227" s="825"/>
    </row>
    <row r="228" spans="1:6" ht="27.6" x14ac:dyDescent="0.3">
      <c r="B228" s="835" t="s">
        <v>1578</v>
      </c>
      <c r="C228" s="833" t="s">
        <v>10</v>
      </c>
      <c r="D228" s="833">
        <v>0</v>
      </c>
      <c r="E228" s="834" t="s">
        <v>11</v>
      </c>
      <c r="F228" s="825"/>
    </row>
    <row r="229" spans="1:6" ht="27.6" x14ac:dyDescent="0.3">
      <c r="B229" s="835" t="s">
        <v>1579</v>
      </c>
      <c r="C229" s="833" t="s">
        <v>10</v>
      </c>
      <c r="D229" s="833">
        <f>D227-D228</f>
        <v>1.41</v>
      </c>
      <c r="E229" s="834" t="s">
        <v>11</v>
      </c>
      <c r="F229" s="825"/>
    </row>
    <row r="230" spans="1:6" x14ac:dyDescent="0.3">
      <c r="B230" s="832" t="s">
        <v>1587</v>
      </c>
      <c r="C230" s="833" t="s">
        <v>10</v>
      </c>
      <c r="D230" s="833">
        <f>D229/2</f>
        <v>0.70499999999999996</v>
      </c>
      <c r="E230" s="834" t="s">
        <v>11</v>
      </c>
      <c r="F230" s="825"/>
    </row>
    <row r="231" spans="1:6" ht="27.6" x14ac:dyDescent="0.3">
      <c r="B231" s="836" t="s">
        <v>1581</v>
      </c>
      <c r="C231" s="837" t="s">
        <v>10</v>
      </c>
      <c r="D231" s="837" t="s">
        <v>1582</v>
      </c>
      <c r="E231" s="838" t="s">
        <v>11</v>
      </c>
      <c r="F231" s="825"/>
    </row>
    <row r="232" spans="1:6" x14ac:dyDescent="0.3">
      <c r="B232" s="858"/>
      <c r="E232" s="859"/>
      <c r="F232" s="825"/>
    </row>
    <row r="233" spans="1:6" x14ac:dyDescent="0.3">
      <c r="B233" s="839"/>
      <c r="C233" s="840" t="s">
        <v>10</v>
      </c>
      <c r="D233" s="840" t="e">
        <f>'[3]DOC 2 ATTACH'!$E$158/(D227*VRM!E6)</f>
        <v>#REF!</v>
      </c>
      <c r="E233" s="841" t="s">
        <v>11</v>
      </c>
      <c r="F233" s="825"/>
    </row>
    <row r="234" spans="1:6" ht="27.6" x14ac:dyDescent="0.3">
      <c r="C234" s="842" t="s">
        <v>1583</v>
      </c>
      <c r="D234" s="842" t="s">
        <v>1565</v>
      </c>
      <c r="E234" s="843" t="s">
        <v>1566</v>
      </c>
      <c r="F234" s="829" t="s">
        <v>1567</v>
      </c>
    </row>
    <row r="235" spans="1:6" x14ac:dyDescent="0.3">
      <c r="B235" s="823">
        <f t="shared" ref="B235:B241" si="25">$D$53</f>
        <v>0.70499999999999996</v>
      </c>
      <c r="C235" s="830">
        <f>D228</f>
        <v>0</v>
      </c>
      <c r="D235" s="830">
        <v>1</v>
      </c>
      <c r="E235" s="828">
        <v>0.28399999999999997</v>
      </c>
      <c r="F235" s="829">
        <f t="shared" ref="F235:F241" si="26">D235 * E235</f>
        <v>0.28399999999999997</v>
      </c>
    </row>
    <row r="236" spans="1:6" x14ac:dyDescent="0.3">
      <c r="B236" s="823">
        <f t="shared" si="25"/>
        <v>0.70499999999999996</v>
      </c>
      <c r="C236" s="830">
        <f t="shared" ref="C236:C241" si="27">C235+B236</f>
        <v>0.70499999999999996</v>
      </c>
      <c r="D236" s="830">
        <v>4</v>
      </c>
      <c r="E236" s="828">
        <v>0.28399999999999997</v>
      </c>
      <c r="F236" s="829">
        <f t="shared" si="26"/>
        <v>1.1359999999999999</v>
      </c>
    </row>
    <row r="237" spans="1:6" x14ac:dyDescent="0.3">
      <c r="B237" s="823">
        <f t="shared" si="25"/>
        <v>0.70499999999999996</v>
      </c>
      <c r="C237" s="830">
        <f t="shared" si="27"/>
        <v>1.41</v>
      </c>
      <c r="D237" s="830">
        <v>1</v>
      </c>
      <c r="E237" s="828">
        <v>0.28399999999999997</v>
      </c>
      <c r="F237" s="829">
        <f t="shared" si="26"/>
        <v>0.28399999999999997</v>
      </c>
    </row>
    <row r="238" spans="1:6" x14ac:dyDescent="0.3">
      <c r="B238" s="823">
        <f t="shared" si="25"/>
        <v>0.70499999999999996</v>
      </c>
      <c r="C238" s="830">
        <f t="shared" si="27"/>
        <v>2.1149999999999998</v>
      </c>
      <c r="D238" s="830"/>
      <c r="E238" s="828"/>
      <c r="F238" s="829">
        <f t="shared" si="26"/>
        <v>0</v>
      </c>
    </row>
    <row r="239" spans="1:6" x14ac:dyDescent="0.3">
      <c r="B239" s="823">
        <f t="shared" si="25"/>
        <v>0.70499999999999996</v>
      </c>
      <c r="C239" s="830">
        <f t="shared" si="27"/>
        <v>2.82</v>
      </c>
      <c r="D239" s="830"/>
      <c r="E239" s="828"/>
      <c r="F239" s="829">
        <f t="shared" si="26"/>
        <v>0</v>
      </c>
    </row>
    <row r="240" spans="1:6" x14ac:dyDescent="0.3">
      <c r="B240" s="823">
        <f t="shared" si="25"/>
        <v>0.70499999999999996</v>
      </c>
      <c r="C240" s="830">
        <f t="shared" si="27"/>
        <v>3.5249999999999999</v>
      </c>
      <c r="D240" s="830"/>
      <c r="E240" s="828"/>
      <c r="F240" s="829">
        <f t="shared" si="26"/>
        <v>0</v>
      </c>
    </row>
    <row r="241" spans="1:6" x14ac:dyDescent="0.3">
      <c r="B241" s="823">
        <f t="shared" si="25"/>
        <v>0.70499999999999996</v>
      </c>
      <c r="C241" s="830">
        <f t="shared" si="27"/>
        <v>4.2299999999999995</v>
      </c>
      <c r="D241" s="830"/>
      <c r="E241" s="828"/>
      <c r="F241" s="829">
        <f t="shared" si="26"/>
        <v>0</v>
      </c>
    </row>
    <row r="242" spans="1:6" x14ac:dyDescent="0.3">
      <c r="E242" s="844" t="s">
        <v>1568</v>
      </c>
      <c r="F242" s="845">
        <f>SUM(F235:F241)</f>
        <v>1.704</v>
      </c>
    </row>
    <row r="243" spans="1:6" ht="27.6" x14ac:dyDescent="0.3">
      <c r="C243" s="835" t="s">
        <v>1569</v>
      </c>
      <c r="D243" s="846" t="s">
        <v>10</v>
      </c>
      <c r="E243" s="847">
        <v>38</v>
      </c>
      <c r="F243" s="848"/>
    </row>
    <row r="244" spans="1:6" ht="27.6" x14ac:dyDescent="0.3">
      <c r="C244" s="835" t="s">
        <v>1570</v>
      </c>
      <c r="D244" s="846" t="s">
        <v>10</v>
      </c>
      <c r="E244" s="847">
        <v>41</v>
      </c>
      <c r="F244" s="848"/>
    </row>
    <row r="245" spans="1:6" ht="27.6" x14ac:dyDescent="0.3">
      <c r="C245" s="835" t="s">
        <v>1571</v>
      </c>
      <c r="D245" s="846" t="s">
        <v>10</v>
      </c>
      <c r="E245" s="847">
        <f>E244-E243</f>
        <v>3</v>
      </c>
      <c r="F245" s="848"/>
    </row>
    <row r="246" spans="1:6" x14ac:dyDescent="0.3">
      <c r="C246" s="835"/>
      <c r="D246" s="846" t="s">
        <v>10</v>
      </c>
      <c r="E246" s="847">
        <v>7</v>
      </c>
      <c r="F246" s="848"/>
    </row>
    <row r="247" spans="1:6" ht="41.4" x14ac:dyDescent="0.3">
      <c r="C247" s="835" t="s">
        <v>1589</v>
      </c>
      <c r="D247" s="846" t="s">
        <v>10</v>
      </c>
      <c r="E247" s="847">
        <f>D230</f>
        <v>0.70499999999999996</v>
      </c>
      <c r="F247" s="848" t="s">
        <v>11</v>
      </c>
    </row>
    <row r="248" spans="1:6" x14ac:dyDescent="0.3">
      <c r="C248" s="836" t="s">
        <v>1584</v>
      </c>
      <c r="D248" s="849" t="s">
        <v>10</v>
      </c>
      <c r="E248" s="850" t="s">
        <v>1574</v>
      </c>
      <c r="F248" s="851"/>
    </row>
    <row r="249" spans="1:6" x14ac:dyDescent="0.3">
      <c r="C249" s="852"/>
      <c r="D249" s="853" t="s">
        <v>10</v>
      </c>
      <c r="E249" s="854">
        <f>1/3 * E247 * F242</f>
        <v>0.40043999999999996</v>
      </c>
      <c r="F249" s="855" t="s">
        <v>1575</v>
      </c>
    </row>
    <row r="250" spans="1:6" x14ac:dyDescent="0.3">
      <c r="C250" s="835" t="s">
        <v>1585</v>
      </c>
      <c r="D250" s="846" t="s">
        <v>10</v>
      </c>
      <c r="E250" s="847">
        <f>E249 * 2</f>
        <v>0.80087999999999993</v>
      </c>
      <c r="F250" s="848" t="s">
        <v>1575</v>
      </c>
    </row>
    <row r="251" spans="1:6" x14ac:dyDescent="0.3">
      <c r="C251" s="826"/>
      <c r="D251" s="826"/>
      <c r="E251" s="856"/>
      <c r="F251" s="857"/>
    </row>
    <row r="252" spans="1:6" ht="41.4" x14ac:dyDescent="0.3">
      <c r="A252" s="826" t="s">
        <v>1576</v>
      </c>
      <c r="B252" s="826" t="s">
        <v>1598</v>
      </c>
      <c r="E252" s="824"/>
      <c r="F252" s="825"/>
    </row>
    <row r="253" spans="1:6" x14ac:dyDescent="0.3">
      <c r="B253" s="832" t="s">
        <v>1577</v>
      </c>
      <c r="C253" s="833" t="s">
        <v>10</v>
      </c>
      <c r="D253" s="833">
        <v>13.34</v>
      </c>
      <c r="E253" s="834" t="s">
        <v>11</v>
      </c>
      <c r="F253" s="825"/>
    </row>
    <row r="254" spans="1:6" ht="27.6" x14ac:dyDescent="0.3">
      <c r="B254" s="835" t="s">
        <v>1578</v>
      </c>
      <c r="C254" s="833" t="s">
        <v>10</v>
      </c>
      <c r="D254" s="833">
        <v>9.9469999999999992</v>
      </c>
      <c r="E254" s="834" t="s">
        <v>11</v>
      </c>
      <c r="F254" s="825"/>
    </row>
    <row r="255" spans="1:6" ht="27.6" x14ac:dyDescent="0.3">
      <c r="B255" s="835" t="s">
        <v>1579</v>
      </c>
      <c r="C255" s="833" t="s">
        <v>10</v>
      </c>
      <c r="D255" s="833">
        <f>D253-D254</f>
        <v>3.3930000000000007</v>
      </c>
      <c r="E255" s="834" t="s">
        <v>11</v>
      </c>
      <c r="F255" s="825"/>
    </row>
    <row r="256" spans="1:6" x14ac:dyDescent="0.3">
      <c r="B256" s="832" t="s">
        <v>1587</v>
      </c>
      <c r="C256" s="833" t="s">
        <v>10</v>
      </c>
      <c r="D256" s="833">
        <f>D255/2</f>
        <v>1.6965000000000003</v>
      </c>
      <c r="E256" s="834" t="s">
        <v>11</v>
      </c>
      <c r="F256" s="825"/>
    </row>
    <row r="257" spans="2:6" x14ac:dyDescent="0.3">
      <c r="B257" s="860" t="s">
        <v>1599</v>
      </c>
      <c r="C257" s="837"/>
      <c r="D257" s="837"/>
      <c r="E257" s="838"/>
      <c r="F257" s="825"/>
    </row>
    <row r="258" spans="2:6" ht="27.6" x14ac:dyDescent="0.3">
      <c r="B258" s="836" t="s">
        <v>1581</v>
      </c>
      <c r="C258" s="837" t="s">
        <v>10</v>
      </c>
      <c r="D258" s="837" t="s">
        <v>1582</v>
      </c>
      <c r="E258" s="838" t="s">
        <v>11</v>
      </c>
      <c r="F258" s="825"/>
    </row>
    <row r="259" spans="2:6" x14ac:dyDescent="0.3">
      <c r="B259" s="858"/>
      <c r="E259" s="859"/>
      <c r="F259" s="825"/>
    </row>
    <row r="260" spans="2:6" x14ac:dyDescent="0.3">
      <c r="B260" s="839"/>
      <c r="C260" s="840" t="s">
        <v>10</v>
      </c>
      <c r="D260" s="840" t="e">
        <f>'[3]DOC 2 ATTACH'!$F$167/(D255*2)</f>
        <v>#REF!</v>
      </c>
      <c r="E260" s="841" t="s">
        <v>11</v>
      </c>
      <c r="F260" s="825"/>
    </row>
    <row r="261" spans="2:6" ht="27.6" x14ac:dyDescent="0.3">
      <c r="C261" s="842" t="s">
        <v>1583</v>
      </c>
      <c r="D261" s="842" t="s">
        <v>1565</v>
      </c>
      <c r="E261" s="843" t="s">
        <v>1566</v>
      </c>
      <c r="F261" s="829" t="s">
        <v>1567</v>
      </c>
    </row>
    <row r="262" spans="2:6" x14ac:dyDescent="0.3">
      <c r="B262" s="823">
        <f t="shared" ref="B262:B268" si="28">$D$256</f>
        <v>1.6965000000000003</v>
      </c>
      <c r="C262" s="830">
        <f>D254</f>
        <v>9.9469999999999992</v>
      </c>
      <c r="D262" s="830">
        <v>1</v>
      </c>
      <c r="E262" s="828">
        <v>4.6547000000000001</v>
      </c>
      <c r="F262" s="829">
        <f t="shared" ref="F262:F268" si="29">D262 * E262</f>
        <v>4.6547000000000001</v>
      </c>
    </row>
    <row r="263" spans="2:6" x14ac:dyDescent="0.3">
      <c r="B263" s="823">
        <f t="shared" si="28"/>
        <v>1.6965000000000003</v>
      </c>
      <c r="C263" s="830">
        <f t="shared" ref="C263:C268" si="30">C262+B263</f>
        <v>11.6435</v>
      </c>
      <c r="D263" s="830">
        <v>4</v>
      </c>
      <c r="E263" s="828">
        <f>(E262+E264)/2</f>
        <v>4.0976499999999998</v>
      </c>
      <c r="F263" s="829">
        <f t="shared" si="29"/>
        <v>16.390599999999999</v>
      </c>
    </row>
    <row r="264" spans="2:6" x14ac:dyDescent="0.3">
      <c r="B264" s="823">
        <f t="shared" si="28"/>
        <v>1.6965000000000003</v>
      </c>
      <c r="C264" s="830">
        <f t="shared" si="30"/>
        <v>13.34</v>
      </c>
      <c r="D264" s="830">
        <v>1</v>
      </c>
      <c r="E264" s="828">
        <v>3.5406</v>
      </c>
      <c r="F264" s="829">
        <f t="shared" si="29"/>
        <v>3.5406</v>
      </c>
    </row>
    <row r="265" spans="2:6" x14ac:dyDescent="0.3">
      <c r="B265" s="823">
        <f t="shared" si="28"/>
        <v>1.6965000000000003</v>
      </c>
      <c r="C265" s="830">
        <f t="shared" si="30"/>
        <v>15.0365</v>
      </c>
      <c r="D265" s="830"/>
      <c r="E265" s="828"/>
      <c r="F265" s="829">
        <f t="shared" si="29"/>
        <v>0</v>
      </c>
    </row>
    <row r="266" spans="2:6" x14ac:dyDescent="0.3">
      <c r="B266" s="823">
        <f t="shared" si="28"/>
        <v>1.6965000000000003</v>
      </c>
      <c r="C266" s="830">
        <f t="shared" si="30"/>
        <v>16.733000000000001</v>
      </c>
      <c r="D266" s="830"/>
      <c r="E266" s="828"/>
      <c r="F266" s="829">
        <f t="shared" si="29"/>
        <v>0</v>
      </c>
    </row>
    <row r="267" spans="2:6" x14ac:dyDescent="0.3">
      <c r="B267" s="823">
        <f t="shared" si="28"/>
        <v>1.6965000000000003</v>
      </c>
      <c r="C267" s="830">
        <f t="shared" si="30"/>
        <v>18.429500000000001</v>
      </c>
      <c r="D267" s="830"/>
      <c r="E267" s="828"/>
      <c r="F267" s="829">
        <f t="shared" si="29"/>
        <v>0</v>
      </c>
    </row>
    <row r="268" spans="2:6" x14ac:dyDescent="0.3">
      <c r="B268" s="823">
        <f t="shared" si="28"/>
        <v>1.6965000000000003</v>
      </c>
      <c r="C268" s="830">
        <f t="shared" si="30"/>
        <v>20.126000000000001</v>
      </c>
      <c r="D268" s="830"/>
      <c r="E268" s="828"/>
      <c r="F268" s="829">
        <f t="shared" si="29"/>
        <v>0</v>
      </c>
    </row>
    <row r="269" spans="2:6" x14ac:dyDescent="0.3">
      <c r="E269" s="844" t="s">
        <v>1568</v>
      </c>
      <c r="F269" s="845">
        <f>SUM(F262:F268)</f>
        <v>24.585899999999999</v>
      </c>
    </row>
    <row r="270" spans="2:6" ht="27.6" x14ac:dyDescent="0.3">
      <c r="C270" s="835" t="s">
        <v>1569</v>
      </c>
      <c r="D270" s="846" t="s">
        <v>10</v>
      </c>
      <c r="E270" s="847">
        <v>38</v>
      </c>
      <c r="F270" s="848"/>
    </row>
    <row r="271" spans="2:6" ht="27.6" x14ac:dyDescent="0.3">
      <c r="C271" s="835" t="s">
        <v>1570</v>
      </c>
      <c r="D271" s="846" t="s">
        <v>10</v>
      </c>
      <c r="E271" s="847">
        <v>41</v>
      </c>
      <c r="F271" s="848"/>
    </row>
    <row r="272" spans="2:6" ht="27.6" x14ac:dyDescent="0.3">
      <c r="C272" s="835" t="s">
        <v>1571</v>
      </c>
      <c r="D272" s="846" t="s">
        <v>10</v>
      </c>
      <c r="E272" s="847">
        <f>E271-E270</f>
        <v>3</v>
      </c>
      <c r="F272" s="848"/>
    </row>
    <row r="273" spans="1:6" x14ac:dyDescent="0.3">
      <c r="C273" s="835"/>
      <c r="D273" s="846" t="s">
        <v>10</v>
      </c>
      <c r="E273" s="847">
        <v>7</v>
      </c>
      <c r="F273" s="848"/>
    </row>
    <row r="274" spans="1:6" ht="41.4" x14ac:dyDescent="0.3">
      <c r="C274" s="835" t="s">
        <v>1589</v>
      </c>
      <c r="D274" s="846" t="s">
        <v>10</v>
      </c>
      <c r="E274" s="847">
        <f>D256</f>
        <v>1.6965000000000003</v>
      </c>
      <c r="F274" s="848" t="s">
        <v>11</v>
      </c>
    </row>
    <row r="275" spans="1:6" x14ac:dyDescent="0.3">
      <c r="C275" s="836" t="s">
        <v>1584</v>
      </c>
      <c r="D275" s="849" t="s">
        <v>10</v>
      </c>
      <c r="E275" s="850" t="s">
        <v>1574</v>
      </c>
      <c r="F275" s="851"/>
    </row>
    <row r="276" spans="1:6" x14ac:dyDescent="0.3">
      <c r="C276" s="852"/>
      <c r="D276" s="853" t="s">
        <v>10</v>
      </c>
      <c r="E276" s="854">
        <f>1/3 * E274 * F269</f>
        <v>13.903326450000002</v>
      </c>
      <c r="F276" s="855" t="s">
        <v>1575</v>
      </c>
    </row>
    <row r="277" spans="1:6" x14ac:dyDescent="0.3">
      <c r="C277" s="835" t="s">
        <v>1585</v>
      </c>
      <c r="D277" s="846" t="s">
        <v>10</v>
      </c>
      <c r="E277" s="847">
        <f>E276 * 2</f>
        <v>27.806652900000003</v>
      </c>
      <c r="F277" s="848" t="s">
        <v>1575</v>
      </c>
    </row>
    <row r="278" spans="1:6" x14ac:dyDescent="0.3">
      <c r="C278" s="826"/>
      <c r="D278" s="826"/>
      <c r="E278" s="856"/>
      <c r="F278" s="857"/>
    </row>
    <row r="279" spans="1:6" ht="27.6" x14ac:dyDescent="0.3">
      <c r="A279" s="826" t="s">
        <v>1576</v>
      </c>
      <c r="B279" s="826" t="s">
        <v>1600</v>
      </c>
      <c r="E279" s="824"/>
      <c r="F279" s="825"/>
    </row>
    <row r="280" spans="1:6" x14ac:dyDescent="0.3">
      <c r="B280" s="832" t="s">
        <v>1577</v>
      </c>
      <c r="C280" s="833" t="s">
        <v>10</v>
      </c>
      <c r="D280" s="833">
        <v>13.34</v>
      </c>
      <c r="E280" s="834" t="s">
        <v>11</v>
      </c>
      <c r="F280" s="825"/>
    </row>
    <row r="281" spans="1:6" ht="27.6" x14ac:dyDescent="0.3">
      <c r="B281" s="835" t="s">
        <v>1578</v>
      </c>
      <c r="C281" s="833" t="s">
        <v>10</v>
      </c>
      <c r="D281" s="833">
        <v>1.41</v>
      </c>
      <c r="E281" s="834" t="s">
        <v>11</v>
      </c>
      <c r="F281" s="825"/>
    </row>
    <row r="282" spans="1:6" ht="27.6" x14ac:dyDescent="0.3">
      <c r="B282" s="835" t="s">
        <v>1579</v>
      </c>
      <c r="C282" s="833" t="s">
        <v>10</v>
      </c>
      <c r="D282" s="833">
        <f>D280-D281</f>
        <v>11.93</v>
      </c>
      <c r="E282" s="834" t="s">
        <v>11</v>
      </c>
      <c r="F282" s="825"/>
    </row>
    <row r="283" spans="1:6" x14ac:dyDescent="0.3">
      <c r="B283" s="832" t="s">
        <v>1601</v>
      </c>
      <c r="C283" s="833" t="s">
        <v>10</v>
      </c>
      <c r="D283" s="833">
        <f>D282/4</f>
        <v>2.9824999999999999</v>
      </c>
      <c r="E283" s="834" t="s">
        <v>11</v>
      </c>
      <c r="F283" s="825"/>
    </row>
    <row r="284" spans="1:6" x14ac:dyDescent="0.3">
      <c r="B284" s="860" t="s">
        <v>1599</v>
      </c>
      <c r="C284" s="837"/>
      <c r="D284" s="837"/>
      <c r="E284" s="838"/>
      <c r="F284" s="825"/>
    </row>
    <row r="285" spans="1:6" ht="27.6" x14ac:dyDescent="0.3">
      <c r="B285" s="836" t="s">
        <v>1581</v>
      </c>
      <c r="C285" s="837" t="s">
        <v>10</v>
      </c>
      <c r="D285" s="837" t="s">
        <v>1582</v>
      </c>
      <c r="E285" s="838" t="s">
        <v>11</v>
      </c>
      <c r="F285" s="825"/>
    </row>
    <row r="286" spans="1:6" x14ac:dyDescent="0.3">
      <c r="B286" s="858"/>
      <c r="E286" s="859"/>
      <c r="F286" s="825"/>
    </row>
    <row r="287" spans="1:6" x14ac:dyDescent="0.3">
      <c r="B287" s="839"/>
      <c r="C287" s="840" t="s">
        <v>10</v>
      </c>
      <c r="D287" s="840" t="e">
        <f>'[3]DOC 2 ATTACH'!$F$167/(D282*2)</f>
        <v>#REF!</v>
      </c>
      <c r="E287" s="841" t="s">
        <v>11</v>
      </c>
      <c r="F287" s="825"/>
    </row>
    <row r="288" spans="1:6" ht="27.6" x14ac:dyDescent="0.3">
      <c r="C288" s="842" t="s">
        <v>1583</v>
      </c>
      <c r="D288" s="842" t="s">
        <v>1565</v>
      </c>
      <c r="E288" s="843" t="s">
        <v>1566</v>
      </c>
      <c r="F288" s="829" t="s">
        <v>1567</v>
      </c>
    </row>
    <row r="289" spans="2:6" x14ac:dyDescent="0.3">
      <c r="B289" s="823">
        <f>$D$283</f>
        <v>2.9824999999999999</v>
      </c>
      <c r="C289" s="830">
        <f>D281</f>
        <v>1.41</v>
      </c>
      <c r="D289" s="830">
        <v>1</v>
      </c>
      <c r="E289" s="828">
        <v>151.43510000000001</v>
      </c>
      <c r="F289" s="829">
        <f>D289 * E289</f>
        <v>151.43510000000001</v>
      </c>
    </row>
    <row r="290" spans="2:6" x14ac:dyDescent="0.3">
      <c r="B290" s="823">
        <f>$D$283</f>
        <v>2.9824999999999999</v>
      </c>
      <c r="C290" s="830">
        <f t="shared" ref="C290:C295" si="31">C289+B290</f>
        <v>4.3925000000000001</v>
      </c>
      <c r="D290" s="830">
        <v>4</v>
      </c>
      <c r="E290" s="823">
        <v>177.35509999999999</v>
      </c>
      <c r="F290" s="829">
        <f>D290 * E291</f>
        <v>713.22320000000002</v>
      </c>
    </row>
    <row r="291" spans="2:6" x14ac:dyDescent="0.3">
      <c r="B291" s="823">
        <f>$D$283</f>
        <v>2.9824999999999999</v>
      </c>
      <c r="C291" s="830">
        <f t="shared" si="31"/>
        <v>7.375</v>
      </c>
      <c r="D291" s="830">
        <v>2</v>
      </c>
      <c r="E291" s="828">
        <v>178.3058</v>
      </c>
      <c r="F291" s="829">
        <f>D291 * E292</f>
        <v>361.24520000000001</v>
      </c>
    </row>
    <row r="292" spans="2:6" x14ac:dyDescent="0.3">
      <c r="B292" s="823">
        <f>$D$283</f>
        <v>2.9824999999999999</v>
      </c>
      <c r="C292" s="830">
        <f t="shared" si="31"/>
        <v>10.3575</v>
      </c>
      <c r="D292" s="830">
        <v>4</v>
      </c>
      <c r="E292" s="828">
        <v>180.62260000000001</v>
      </c>
      <c r="F292" s="829">
        <f>D292 * E293</f>
        <v>770.14800000000002</v>
      </c>
    </row>
    <row r="293" spans="2:6" x14ac:dyDescent="0.3">
      <c r="B293" s="823">
        <f>$D$283</f>
        <v>2.9824999999999999</v>
      </c>
      <c r="C293" s="830">
        <f t="shared" si="31"/>
        <v>13.34</v>
      </c>
      <c r="D293" s="830">
        <v>1</v>
      </c>
      <c r="E293" s="828">
        <v>192.53700000000001</v>
      </c>
      <c r="F293" s="829">
        <f>D293 * E293</f>
        <v>192.53700000000001</v>
      </c>
    </row>
    <row r="294" spans="2:6" x14ac:dyDescent="0.3">
      <c r="C294" s="830">
        <f t="shared" si="31"/>
        <v>13.34</v>
      </c>
      <c r="D294" s="830"/>
      <c r="F294" s="829"/>
    </row>
    <row r="295" spans="2:6" x14ac:dyDescent="0.3">
      <c r="C295" s="830">
        <f t="shared" si="31"/>
        <v>13.34</v>
      </c>
      <c r="D295" s="830"/>
      <c r="F295" s="829"/>
    </row>
    <row r="296" spans="2:6" x14ac:dyDescent="0.3">
      <c r="E296" s="844" t="s">
        <v>1568</v>
      </c>
      <c r="F296" s="845">
        <f>SUM(F289:F295)</f>
        <v>2188.5884999999998</v>
      </c>
    </row>
    <row r="297" spans="2:6" ht="27.6" x14ac:dyDescent="0.3">
      <c r="C297" s="835" t="s">
        <v>1569</v>
      </c>
      <c r="D297" s="846" t="s">
        <v>10</v>
      </c>
      <c r="E297" s="847">
        <v>38</v>
      </c>
      <c r="F297" s="848"/>
    </row>
    <row r="298" spans="2:6" ht="27.6" x14ac:dyDescent="0.3">
      <c r="C298" s="835" t="s">
        <v>1570</v>
      </c>
      <c r="D298" s="846" t="s">
        <v>10</v>
      </c>
      <c r="E298" s="847">
        <v>55</v>
      </c>
      <c r="F298" s="848"/>
    </row>
    <row r="299" spans="2:6" ht="27.6" x14ac:dyDescent="0.3">
      <c r="C299" s="835" t="s">
        <v>1571</v>
      </c>
      <c r="D299" s="846" t="s">
        <v>10</v>
      </c>
      <c r="E299" s="847">
        <f>E298-E297</f>
        <v>17</v>
      </c>
      <c r="F299" s="848"/>
    </row>
    <row r="300" spans="2:6" x14ac:dyDescent="0.3">
      <c r="C300" s="835"/>
      <c r="D300" s="846" t="s">
        <v>10</v>
      </c>
      <c r="E300" s="847">
        <v>7</v>
      </c>
      <c r="F300" s="848"/>
    </row>
    <row r="301" spans="2:6" ht="41.4" x14ac:dyDescent="0.3">
      <c r="C301" s="835" t="s">
        <v>1589</v>
      </c>
      <c r="D301" s="846" t="s">
        <v>10</v>
      </c>
      <c r="E301" s="847">
        <f>D283</f>
        <v>2.9824999999999999</v>
      </c>
      <c r="F301" s="848" t="s">
        <v>11</v>
      </c>
    </row>
    <row r="302" spans="2:6" x14ac:dyDescent="0.3">
      <c r="C302" s="836" t="s">
        <v>1584</v>
      </c>
      <c r="D302" s="849" t="s">
        <v>10</v>
      </c>
      <c r="E302" s="850" t="s">
        <v>1574</v>
      </c>
      <c r="F302" s="851"/>
    </row>
    <row r="303" spans="2:6" x14ac:dyDescent="0.3">
      <c r="C303" s="852"/>
      <c r="D303" s="853" t="s">
        <v>10</v>
      </c>
      <c r="E303" s="854">
        <f>1/3 * E301 * F296</f>
        <v>2175.8217337499996</v>
      </c>
      <c r="F303" s="855" t="s">
        <v>1575</v>
      </c>
    </row>
    <row r="304" spans="2:6" x14ac:dyDescent="0.3">
      <c r="C304" s="835" t="s">
        <v>1585</v>
      </c>
      <c r="D304" s="846" t="s">
        <v>10</v>
      </c>
      <c r="E304" s="847">
        <f>E303 * 2</f>
        <v>4351.6434674999991</v>
      </c>
      <c r="F304" s="848" t="s">
        <v>1575</v>
      </c>
    </row>
    <row r="305" spans="1:6" x14ac:dyDescent="0.3">
      <c r="C305" s="826"/>
      <c r="D305" s="826"/>
      <c r="E305" s="856"/>
      <c r="F305" s="857"/>
    </row>
    <row r="306" spans="1:6" ht="27.6" x14ac:dyDescent="0.3">
      <c r="A306" s="826" t="s">
        <v>1576</v>
      </c>
      <c r="B306" s="826" t="s">
        <v>1602</v>
      </c>
      <c r="E306" s="824"/>
      <c r="F306" s="825"/>
    </row>
    <row r="307" spans="1:6" x14ac:dyDescent="0.3">
      <c r="B307" s="832" t="s">
        <v>1577</v>
      </c>
      <c r="C307" s="833" t="s">
        <v>10</v>
      </c>
      <c r="D307" s="833">
        <v>13.34</v>
      </c>
      <c r="E307" s="834" t="s">
        <v>11</v>
      </c>
      <c r="F307" s="825"/>
    </row>
    <row r="308" spans="1:6" ht="27.6" x14ac:dyDescent="0.3">
      <c r="B308" s="835" t="s">
        <v>1578</v>
      </c>
      <c r="C308" s="833" t="s">
        <v>10</v>
      </c>
      <c r="D308" s="833">
        <v>1.41</v>
      </c>
      <c r="E308" s="834" t="s">
        <v>11</v>
      </c>
      <c r="F308" s="825"/>
    </row>
    <row r="309" spans="1:6" ht="27.6" x14ac:dyDescent="0.3">
      <c r="B309" s="835" t="s">
        <v>1579</v>
      </c>
      <c r="C309" s="833" t="s">
        <v>10</v>
      </c>
      <c r="D309" s="833">
        <f>D307-D308</f>
        <v>11.93</v>
      </c>
      <c r="E309" s="834" t="s">
        <v>11</v>
      </c>
      <c r="F309" s="825"/>
    </row>
    <row r="310" spans="1:6" x14ac:dyDescent="0.3">
      <c r="B310" s="832" t="s">
        <v>1601</v>
      </c>
      <c r="C310" s="833" t="s">
        <v>10</v>
      </c>
      <c r="D310" s="833">
        <f>D309/4</f>
        <v>2.9824999999999999</v>
      </c>
      <c r="E310" s="834" t="s">
        <v>11</v>
      </c>
      <c r="F310" s="825"/>
    </row>
    <row r="311" spans="1:6" x14ac:dyDescent="0.3">
      <c r="B311" s="860" t="s">
        <v>1599</v>
      </c>
      <c r="C311" s="837"/>
      <c r="D311" s="837"/>
      <c r="E311" s="838"/>
      <c r="F311" s="825"/>
    </row>
    <row r="312" spans="1:6" ht="27.6" x14ac:dyDescent="0.3">
      <c r="B312" s="836" t="s">
        <v>1581</v>
      </c>
      <c r="C312" s="837" t="s">
        <v>10</v>
      </c>
      <c r="D312" s="837" t="s">
        <v>1582</v>
      </c>
      <c r="E312" s="838" t="s">
        <v>11</v>
      </c>
      <c r="F312" s="825"/>
    </row>
    <row r="313" spans="1:6" x14ac:dyDescent="0.3">
      <c r="B313" s="858"/>
      <c r="E313" s="859"/>
      <c r="F313" s="825"/>
    </row>
    <row r="314" spans="1:6" x14ac:dyDescent="0.3">
      <c r="B314" s="839"/>
      <c r="C314" s="840" t="s">
        <v>10</v>
      </c>
      <c r="D314" s="840" t="e">
        <f>'[3]DOC 2 ATTACH'!$F$167/(D309*2)</f>
        <v>#REF!</v>
      </c>
      <c r="E314" s="841" t="s">
        <v>11</v>
      </c>
      <c r="F314" s="825"/>
    </row>
    <row r="315" spans="1:6" ht="27.6" x14ac:dyDescent="0.3">
      <c r="C315" s="842" t="s">
        <v>1583</v>
      </c>
      <c r="D315" s="842" t="s">
        <v>1565</v>
      </c>
      <c r="E315" s="843" t="s">
        <v>1566</v>
      </c>
      <c r="F315" s="829" t="s">
        <v>1567</v>
      </c>
    </row>
    <row r="316" spans="1:6" x14ac:dyDescent="0.3">
      <c r="B316" s="823">
        <f>$D$310</f>
        <v>2.9824999999999999</v>
      </c>
      <c r="C316" s="830">
        <f>D308</f>
        <v>1.41</v>
      </c>
      <c r="D316" s="830">
        <v>1</v>
      </c>
      <c r="E316" s="828">
        <v>202.36699999999999</v>
      </c>
      <c r="F316" s="829">
        <f>D316 * E316</f>
        <v>202.36699999999999</v>
      </c>
    </row>
    <row r="317" spans="1:6" x14ac:dyDescent="0.3">
      <c r="B317" s="823">
        <f>$D$310</f>
        <v>2.9824999999999999</v>
      </c>
      <c r="C317" s="830">
        <f t="shared" ref="C317:C322" si="32">C316+B317</f>
        <v>4.3925000000000001</v>
      </c>
      <c r="D317" s="830">
        <v>4</v>
      </c>
      <c r="E317" s="823">
        <v>202.49969999999999</v>
      </c>
      <c r="F317" s="829">
        <f>D317 * E318</f>
        <v>809.99599999999998</v>
      </c>
    </row>
    <row r="318" spans="1:6" x14ac:dyDescent="0.3">
      <c r="B318" s="823">
        <f>$D$310</f>
        <v>2.9824999999999999</v>
      </c>
      <c r="C318" s="830">
        <f t="shared" si="32"/>
        <v>7.375</v>
      </c>
      <c r="D318" s="830">
        <v>2</v>
      </c>
      <c r="E318" s="828">
        <v>202.499</v>
      </c>
      <c r="F318" s="829">
        <f>D318 * E319</f>
        <v>403.39839999999998</v>
      </c>
    </row>
    <row r="319" spans="1:6" x14ac:dyDescent="0.3">
      <c r="B319" s="823">
        <f>$D$310</f>
        <v>2.9824999999999999</v>
      </c>
      <c r="C319" s="830">
        <f t="shared" si="32"/>
        <v>10.3575</v>
      </c>
      <c r="D319" s="830">
        <v>4</v>
      </c>
      <c r="E319" s="828">
        <v>201.69919999999999</v>
      </c>
      <c r="F319" s="829">
        <f>D319 * E320</f>
        <v>808.79920000000004</v>
      </c>
    </row>
    <row r="320" spans="1:6" x14ac:dyDescent="0.3">
      <c r="B320" s="823">
        <f>$D$310</f>
        <v>2.9824999999999999</v>
      </c>
      <c r="C320" s="830">
        <f t="shared" si="32"/>
        <v>13.34</v>
      </c>
      <c r="D320" s="830">
        <v>1</v>
      </c>
      <c r="E320" s="828">
        <v>202.19980000000001</v>
      </c>
      <c r="F320" s="829">
        <f>D320 * E320</f>
        <v>202.19980000000001</v>
      </c>
    </row>
    <row r="321" spans="1:6" x14ac:dyDescent="0.3">
      <c r="C321" s="830">
        <f t="shared" si="32"/>
        <v>13.34</v>
      </c>
      <c r="D321" s="830"/>
      <c r="F321" s="829"/>
    </row>
    <row r="322" spans="1:6" x14ac:dyDescent="0.3">
      <c r="C322" s="830">
        <f t="shared" si="32"/>
        <v>13.34</v>
      </c>
      <c r="D322" s="830"/>
      <c r="F322" s="829"/>
    </row>
    <row r="323" spans="1:6" x14ac:dyDescent="0.3">
      <c r="E323" s="844" t="s">
        <v>1568</v>
      </c>
      <c r="F323" s="845">
        <f>SUM(F316:F322)</f>
        <v>2426.7603999999997</v>
      </c>
    </row>
    <row r="324" spans="1:6" ht="27.6" x14ac:dyDescent="0.3">
      <c r="C324" s="835" t="s">
        <v>1569</v>
      </c>
      <c r="D324" s="846" t="s">
        <v>10</v>
      </c>
      <c r="E324" s="847">
        <v>38</v>
      </c>
      <c r="F324" s="848"/>
    </row>
    <row r="325" spans="1:6" ht="27.6" x14ac:dyDescent="0.3">
      <c r="C325" s="835" t="s">
        <v>1570</v>
      </c>
      <c r="D325" s="846" t="s">
        <v>10</v>
      </c>
      <c r="E325" s="847">
        <v>55</v>
      </c>
      <c r="F325" s="848"/>
    </row>
    <row r="326" spans="1:6" ht="27.6" x14ac:dyDescent="0.3">
      <c r="C326" s="835" t="s">
        <v>1571</v>
      </c>
      <c r="D326" s="846" t="s">
        <v>10</v>
      </c>
      <c r="E326" s="847">
        <f>E325-E324</f>
        <v>17</v>
      </c>
      <c r="F326" s="848"/>
    </row>
    <row r="327" spans="1:6" x14ac:dyDescent="0.3">
      <c r="C327" s="835"/>
      <c r="D327" s="846" t="s">
        <v>10</v>
      </c>
      <c r="E327" s="847">
        <v>7</v>
      </c>
      <c r="F327" s="848"/>
    </row>
    <row r="328" spans="1:6" ht="41.4" x14ac:dyDescent="0.3">
      <c r="C328" s="835" t="s">
        <v>1589</v>
      </c>
      <c r="D328" s="846" t="s">
        <v>10</v>
      </c>
      <c r="E328" s="847">
        <f>D310</f>
        <v>2.9824999999999999</v>
      </c>
      <c r="F328" s="848" t="s">
        <v>11</v>
      </c>
    </row>
    <row r="329" spans="1:6" x14ac:dyDescent="0.3">
      <c r="C329" s="836" t="s">
        <v>1584</v>
      </c>
      <c r="D329" s="849" t="s">
        <v>10</v>
      </c>
      <c r="E329" s="850" t="s">
        <v>1574</v>
      </c>
      <c r="F329" s="851"/>
    </row>
    <row r="330" spans="1:6" x14ac:dyDescent="0.3">
      <c r="C330" s="852"/>
      <c r="D330" s="853" t="s">
        <v>10</v>
      </c>
      <c r="E330" s="854">
        <f>1/3 * E328 * F323</f>
        <v>2412.6042976666663</v>
      </c>
      <c r="F330" s="855" t="s">
        <v>1575</v>
      </c>
    </row>
    <row r="331" spans="1:6" x14ac:dyDescent="0.3">
      <c r="C331" s="835" t="s">
        <v>1585</v>
      </c>
      <c r="D331" s="846" t="s">
        <v>10</v>
      </c>
      <c r="E331" s="847">
        <f>E330 * 2</f>
        <v>4825.2085953333326</v>
      </c>
      <c r="F331" s="848" t="s">
        <v>1575</v>
      </c>
    </row>
    <row r="332" spans="1:6" x14ac:dyDescent="0.3">
      <c r="C332" s="826"/>
      <c r="D332" s="826"/>
      <c r="E332" s="856"/>
      <c r="F332" s="857"/>
    </row>
    <row r="333" spans="1:6" ht="27.6" x14ac:dyDescent="0.3">
      <c r="A333" s="826" t="s">
        <v>1576</v>
      </c>
      <c r="B333" s="826" t="s">
        <v>1603</v>
      </c>
      <c r="E333" s="824"/>
      <c r="F333" s="825"/>
    </row>
    <row r="334" spans="1:6" x14ac:dyDescent="0.3">
      <c r="B334" s="832" t="s">
        <v>1577</v>
      </c>
      <c r="C334" s="833" t="s">
        <v>10</v>
      </c>
      <c r="D334" s="833">
        <v>13.34</v>
      </c>
      <c r="E334" s="834" t="s">
        <v>11</v>
      </c>
      <c r="F334" s="825"/>
    </row>
    <row r="335" spans="1:6" ht="27.6" x14ac:dyDescent="0.3">
      <c r="B335" s="835" t="s">
        <v>1578</v>
      </c>
      <c r="C335" s="833" t="s">
        <v>10</v>
      </c>
      <c r="D335" s="833">
        <v>1.41</v>
      </c>
      <c r="E335" s="834" t="s">
        <v>11</v>
      </c>
      <c r="F335" s="825"/>
    </row>
    <row r="336" spans="1:6" ht="27.6" x14ac:dyDescent="0.3">
      <c r="B336" s="835" t="s">
        <v>1579</v>
      </c>
      <c r="C336" s="833" t="s">
        <v>10</v>
      </c>
      <c r="D336" s="833">
        <f>D334-D335</f>
        <v>11.93</v>
      </c>
      <c r="E336" s="834" t="s">
        <v>11</v>
      </c>
      <c r="F336" s="825"/>
    </row>
    <row r="337" spans="2:6" x14ac:dyDescent="0.3">
      <c r="B337" s="832" t="s">
        <v>1601</v>
      </c>
      <c r="C337" s="833" t="s">
        <v>10</v>
      </c>
      <c r="D337" s="833">
        <f>D336/4</f>
        <v>2.9824999999999999</v>
      </c>
      <c r="E337" s="834" t="s">
        <v>11</v>
      </c>
      <c r="F337" s="825"/>
    </row>
    <row r="338" spans="2:6" x14ac:dyDescent="0.3">
      <c r="B338" s="860" t="s">
        <v>1599</v>
      </c>
      <c r="C338" s="837"/>
      <c r="D338" s="837"/>
      <c r="E338" s="838"/>
      <c r="F338" s="825"/>
    </row>
    <row r="339" spans="2:6" ht="27.6" x14ac:dyDescent="0.3">
      <c r="B339" s="836" t="s">
        <v>1581</v>
      </c>
      <c r="C339" s="837" t="s">
        <v>10</v>
      </c>
      <c r="D339" s="837" t="s">
        <v>1582</v>
      </c>
      <c r="E339" s="838" t="s">
        <v>11</v>
      </c>
      <c r="F339" s="825"/>
    </row>
    <row r="340" spans="2:6" x14ac:dyDescent="0.3">
      <c r="B340" s="858"/>
      <c r="E340" s="859"/>
      <c r="F340" s="825"/>
    </row>
    <row r="341" spans="2:6" x14ac:dyDescent="0.3">
      <c r="B341" s="839"/>
      <c r="C341" s="840" t="s">
        <v>10</v>
      </c>
      <c r="D341" s="840" t="e">
        <f>'[3]DOC 2 ATTACH'!$F$167/(D336*2)</f>
        <v>#REF!</v>
      </c>
      <c r="E341" s="841" t="s">
        <v>11</v>
      </c>
      <c r="F341" s="825"/>
    </row>
    <row r="342" spans="2:6" ht="27.6" x14ac:dyDescent="0.3">
      <c r="C342" s="842" t="s">
        <v>1583</v>
      </c>
      <c r="D342" s="842" t="s">
        <v>1565</v>
      </c>
      <c r="E342" s="843" t="s">
        <v>1566</v>
      </c>
      <c r="F342" s="829" t="s">
        <v>1567</v>
      </c>
    </row>
    <row r="343" spans="2:6" x14ac:dyDescent="0.3">
      <c r="B343" s="823">
        <f>$D$310</f>
        <v>2.9824999999999999</v>
      </c>
      <c r="C343" s="830">
        <f>D335</f>
        <v>1.41</v>
      </c>
      <c r="D343" s="830">
        <v>1</v>
      </c>
      <c r="E343" s="828">
        <v>201.5378</v>
      </c>
      <c r="F343" s="829">
        <f>D343 * E343</f>
        <v>201.5378</v>
      </c>
    </row>
    <row r="344" spans="2:6" x14ac:dyDescent="0.3">
      <c r="B344" s="823">
        <f>$D$310</f>
        <v>2.9824999999999999</v>
      </c>
      <c r="C344" s="830">
        <f t="shared" ref="C344:C349" si="33">C343+B344</f>
        <v>4.3925000000000001</v>
      </c>
      <c r="D344" s="830">
        <v>4</v>
      </c>
      <c r="E344" s="823" t="s">
        <v>1604</v>
      </c>
      <c r="F344" s="829">
        <f>D344 * E345</f>
        <v>810.24080000000004</v>
      </c>
    </row>
    <row r="345" spans="2:6" x14ac:dyDescent="0.3">
      <c r="B345" s="823">
        <f>$D$310</f>
        <v>2.9824999999999999</v>
      </c>
      <c r="C345" s="830">
        <f t="shared" si="33"/>
        <v>7.375</v>
      </c>
      <c r="D345" s="830">
        <v>2</v>
      </c>
      <c r="E345" s="828">
        <v>202.56020000000001</v>
      </c>
      <c r="F345" s="829">
        <f>D345 * E346</f>
        <v>404.17419999999998</v>
      </c>
    </row>
    <row r="346" spans="2:6" x14ac:dyDescent="0.3">
      <c r="B346" s="823">
        <f>$D$310</f>
        <v>2.9824999999999999</v>
      </c>
      <c r="C346" s="830">
        <f t="shared" si="33"/>
        <v>10.3575</v>
      </c>
      <c r="D346" s="830">
        <v>4</v>
      </c>
      <c r="E346" s="828">
        <v>202.08709999999999</v>
      </c>
      <c r="F346" s="829">
        <f>D346 * E347</f>
        <v>810.0616</v>
      </c>
    </row>
    <row r="347" spans="2:6" x14ac:dyDescent="0.3">
      <c r="B347" s="823">
        <f>$D$310</f>
        <v>2.9824999999999999</v>
      </c>
      <c r="C347" s="830">
        <f t="shared" si="33"/>
        <v>13.34</v>
      </c>
      <c r="D347" s="830">
        <v>1</v>
      </c>
      <c r="E347" s="828">
        <v>202.5154</v>
      </c>
      <c r="F347" s="829">
        <f>D347 * E347</f>
        <v>202.5154</v>
      </c>
    </row>
    <row r="348" spans="2:6" x14ac:dyDescent="0.3">
      <c r="C348" s="830">
        <f t="shared" si="33"/>
        <v>13.34</v>
      </c>
      <c r="D348" s="830"/>
      <c r="F348" s="829"/>
    </row>
    <row r="349" spans="2:6" x14ac:dyDescent="0.3">
      <c r="C349" s="830">
        <f t="shared" si="33"/>
        <v>13.34</v>
      </c>
      <c r="D349" s="830"/>
      <c r="F349" s="829"/>
    </row>
    <row r="350" spans="2:6" x14ac:dyDescent="0.3">
      <c r="E350" s="844" t="s">
        <v>1568</v>
      </c>
      <c r="F350" s="845">
        <f>SUM(F343:F349)</f>
        <v>2428.5298000000003</v>
      </c>
    </row>
    <row r="351" spans="2:6" ht="27.6" x14ac:dyDescent="0.3">
      <c r="C351" s="835" t="s">
        <v>1569</v>
      </c>
      <c r="D351" s="846" t="s">
        <v>10</v>
      </c>
      <c r="E351" s="847">
        <v>38</v>
      </c>
      <c r="F351" s="848"/>
    </row>
    <row r="352" spans="2:6" ht="27.6" x14ac:dyDescent="0.3">
      <c r="C352" s="835" t="s">
        <v>1570</v>
      </c>
      <c r="D352" s="846" t="s">
        <v>10</v>
      </c>
      <c r="E352" s="847">
        <v>55</v>
      </c>
      <c r="F352" s="848"/>
    </row>
    <row r="353" spans="1:6" ht="27.6" x14ac:dyDescent="0.3">
      <c r="C353" s="835" t="s">
        <v>1571</v>
      </c>
      <c r="D353" s="846" t="s">
        <v>10</v>
      </c>
      <c r="E353" s="847">
        <f>E352-E351</f>
        <v>17</v>
      </c>
      <c r="F353" s="848"/>
    </row>
    <row r="354" spans="1:6" x14ac:dyDescent="0.3">
      <c r="C354" s="835"/>
      <c r="D354" s="846" t="s">
        <v>10</v>
      </c>
      <c r="E354" s="847">
        <v>7</v>
      </c>
      <c r="F354" s="848"/>
    </row>
    <row r="355" spans="1:6" ht="41.4" x14ac:dyDescent="0.3">
      <c r="C355" s="835" t="s">
        <v>1589</v>
      </c>
      <c r="D355" s="846" t="s">
        <v>10</v>
      </c>
      <c r="E355" s="847">
        <f>D337</f>
        <v>2.9824999999999999</v>
      </c>
      <c r="F355" s="848" t="s">
        <v>11</v>
      </c>
    </row>
    <row r="356" spans="1:6" x14ac:dyDescent="0.3">
      <c r="C356" s="836" t="s">
        <v>1584</v>
      </c>
      <c r="D356" s="849" t="s">
        <v>10</v>
      </c>
      <c r="E356" s="850" t="s">
        <v>1574</v>
      </c>
      <c r="F356" s="851"/>
    </row>
    <row r="357" spans="1:6" x14ac:dyDescent="0.3">
      <c r="C357" s="852"/>
      <c r="D357" s="853" t="s">
        <v>10</v>
      </c>
      <c r="E357" s="854">
        <f>1/3 * E355 * F350</f>
        <v>2414.363376166667</v>
      </c>
      <c r="F357" s="855" t="s">
        <v>1575</v>
      </c>
    </row>
    <row r="358" spans="1:6" x14ac:dyDescent="0.3">
      <c r="C358" s="835" t="s">
        <v>1585</v>
      </c>
      <c r="D358" s="846" t="s">
        <v>10</v>
      </c>
      <c r="E358" s="847">
        <f>E357 * 2</f>
        <v>4828.7267523333339</v>
      </c>
      <c r="F358" s="848" t="s">
        <v>1575</v>
      </c>
    </row>
    <row r="360" spans="1:6" ht="27.6" x14ac:dyDescent="0.3">
      <c r="A360" s="826" t="s">
        <v>1576</v>
      </c>
      <c r="B360" s="826" t="s">
        <v>1605</v>
      </c>
      <c r="E360" s="824"/>
      <c r="F360" s="825"/>
    </row>
    <row r="361" spans="1:6" x14ac:dyDescent="0.3">
      <c r="B361" s="832" t="s">
        <v>1577</v>
      </c>
      <c r="C361" s="833" t="s">
        <v>10</v>
      </c>
      <c r="D361" s="833">
        <v>13.34</v>
      </c>
      <c r="E361" s="834" t="s">
        <v>11</v>
      </c>
      <c r="F361" s="825"/>
    </row>
    <row r="362" spans="1:6" ht="27.6" x14ac:dyDescent="0.3">
      <c r="B362" s="835" t="s">
        <v>1578</v>
      </c>
      <c r="C362" s="833" t="s">
        <v>10</v>
      </c>
      <c r="D362" s="833">
        <v>1.41</v>
      </c>
      <c r="E362" s="834" t="s">
        <v>11</v>
      </c>
      <c r="F362" s="825"/>
    </row>
    <row r="363" spans="1:6" ht="27.6" x14ac:dyDescent="0.3">
      <c r="B363" s="835" t="s">
        <v>1579</v>
      </c>
      <c r="C363" s="833" t="s">
        <v>10</v>
      </c>
      <c r="D363" s="833">
        <f>D361-D362</f>
        <v>11.93</v>
      </c>
      <c r="E363" s="834" t="s">
        <v>11</v>
      </c>
      <c r="F363" s="825"/>
    </row>
    <row r="364" spans="1:6" x14ac:dyDescent="0.3">
      <c r="B364" s="832" t="s">
        <v>1601</v>
      </c>
      <c r="C364" s="833" t="s">
        <v>10</v>
      </c>
      <c r="D364" s="833">
        <f>D363/4</f>
        <v>2.9824999999999999</v>
      </c>
      <c r="E364" s="834" t="s">
        <v>11</v>
      </c>
      <c r="F364" s="825"/>
    </row>
    <row r="365" spans="1:6" x14ac:dyDescent="0.3">
      <c r="B365" s="860" t="s">
        <v>1599</v>
      </c>
      <c r="C365" s="837"/>
      <c r="D365" s="837"/>
      <c r="E365" s="838"/>
      <c r="F365" s="825"/>
    </row>
    <row r="366" spans="1:6" ht="27.6" x14ac:dyDescent="0.3">
      <c r="B366" s="836" t="s">
        <v>1581</v>
      </c>
      <c r="C366" s="837" t="s">
        <v>10</v>
      </c>
      <c r="D366" s="837" t="s">
        <v>1582</v>
      </c>
      <c r="E366" s="838" t="s">
        <v>11</v>
      </c>
      <c r="F366" s="825"/>
    </row>
    <row r="367" spans="1:6" x14ac:dyDescent="0.3">
      <c r="B367" s="858"/>
      <c r="E367" s="859"/>
      <c r="F367" s="825"/>
    </row>
    <row r="368" spans="1:6" x14ac:dyDescent="0.3">
      <c r="B368" s="839"/>
      <c r="C368" s="840" t="s">
        <v>10</v>
      </c>
      <c r="D368" s="840" t="e">
        <f>'[3]DOC 2 ATTACH'!$F$167/(D363*2)</f>
        <v>#REF!</v>
      </c>
      <c r="E368" s="841" t="s">
        <v>11</v>
      </c>
      <c r="F368" s="825"/>
    </row>
    <row r="369" spans="2:6" ht="27.6" x14ac:dyDescent="0.3">
      <c r="C369" s="842" t="s">
        <v>1583</v>
      </c>
      <c r="D369" s="842" t="s">
        <v>1565</v>
      </c>
      <c r="E369" s="843" t="s">
        <v>1566</v>
      </c>
      <c r="F369" s="829" t="s">
        <v>1567</v>
      </c>
    </row>
    <row r="370" spans="2:6" x14ac:dyDescent="0.3">
      <c r="B370" s="823">
        <f>$D$310</f>
        <v>2.9824999999999999</v>
      </c>
      <c r="C370" s="830">
        <f>D362</f>
        <v>1.41</v>
      </c>
      <c r="D370" s="830">
        <v>1</v>
      </c>
      <c r="E370" s="828">
        <v>176.92359999999999</v>
      </c>
      <c r="F370" s="829">
        <f>D370 * E370</f>
        <v>176.92359999999999</v>
      </c>
    </row>
    <row r="371" spans="2:6" x14ac:dyDescent="0.3">
      <c r="B371" s="823">
        <f>$D$310</f>
        <v>2.9824999999999999</v>
      </c>
      <c r="C371" s="830">
        <f t="shared" ref="C371:C376" si="34">C370+B371</f>
        <v>4.3925000000000001</v>
      </c>
      <c r="D371" s="830">
        <v>4</v>
      </c>
      <c r="E371" s="823">
        <v>193.5438</v>
      </c>
      <c r="F371" s="829">
        <f>D371 * E372</f>
        <v>775.44119999999998</v>
      </c>
    </row>
    <row r="372" spans="2:6" x14ac:dyDescent="0.3">
      <c r="B372" s="823">
        <f>$D$310</f>
        <v>2.9824999999999999</v>
      </c>
      <c r="C372" s="830">
        <f t="shared" si="34"/>
        <v>7.375</v>
      </c>
      <c r="D372" s="830">
        <v>2</v>
      </c>
      <c r="E372" s="828">
        <v>193.8603</v>
      </c>
      <c r="F372" s="829">
        <f>D372 * E373</f>
        <v>384.22879999999998</v>
      </c>
    </row>
    <row r="373" spans="2:6" x14ac:dyDescent="0.3">
      <c r="B373" s="823">
        <f>$D$310</f>
        <v>2.9824999999999999</v>
      </c>
      <c r="C373" s="830">
        <f t="shared" si="34"/>
        <v>10.3575</v>
      </c>
      <c r="D373" s="830">
        <v>4</v>
      </c>
      <c r="E373" s="828">
        <v>192.11439999999999</v>
      </c>
      <c r="F373" s="829">
        <f>D373 * E374</f>
        <v>796.42</v>
      </c>
    </row>
    <row r="374" spans="2:6" x14ac:dyDescent="0.3">
      <c r="B374" s="823">
        <f>$D$310</f>
        <v>2.9824999999999999</v>
      </c>
      <c r="C374" s="830">
        <f t="shared" si="34"/>
        <v>13.34</v>
      </c>
      <c r="D374" s="830">
        <v>1</v>
      </c>
      <c r="E374" s="828">
        <v>199.10499999999999</v>
      </c>
      <c r="F374" s="829">
        <f>D374 * E374</f>
        <v>199.10499999999999</v>
      </c>
    </row>
    <row r="375" spans="2:6" x14ac:dyDescent="0.3">
      <c r="C375" s="830">
        <f t="shared" si="34"/>
        <v>13.34</v>
      </c>
      <c r="D375" s="830"/>
      <c r="F375" s="829"/>
    </row>
    <row r="376" spans="2:6" x14ac:dyDescent="0.3">
      <c r="C376" s="830">
        <f t="shared" si="34"/>
        <v>13.34</v>
      </c>
      <c r="D376" s="830"/>
      <c r="F376" s="829"/>
    </row>
    <row r="377" spans="2:6" x14ac:dyDescent="0.3">
      <c r="E377" s="844" t="s">
        <v>1568</v>
      </c>
      <c r="F377" s="845">
        <f>SUM(F370:F376)</f>
        <v>2332.1185999999998</v>
      </c>
    </row>
    <row r="378" spans="2:6" ht="27.6" x14ac:dyDescent="0.3">
      <c r="C378" s="835" t="s">
        <v>1569</v>
      </c>
      <c r="D378" s="846" t="s">
        <v>10</v>
      </c>
      <c r="E378" s="847">
        <v>38</v>
      </c>
      <c r="F378" s="848"/>
    </row>
    <row r="379" spans="2:6" ht="27.6" x14ac:dyDescent="0.3">
      <c r="C379" s="835" t="s">
        <v>1570</v>
      </c>
      <c r="D379" s="846" t="s">
        <v>10</v>
      </c>
      <c r="E379" s="847">
        <v>55</v>
      </c>
      <c r="F379" s="848"/>
    </row>
    <row r="380" spans="2:6" ht="27.6" x14ac:dyDescent="0.3">
      <c r="C380" s="835" t="s">
        <v>1571</v>
      </c>
      <c r="D380" s="846" t="s">
        <v>10</v>
      </c>
      <c r="E380" s="847">
        <f>E379-E378</f>
        <v>17</v>
      </c>
      <c r="F380" s="848"/>
    </row>
    <row r="381" spans="2:6" x14ac:dyDescent="0.3">
      <c r="C381" s="835"/>
      <c r="D381" s="846" t="s">
        <v>10</v>
      </c>
      <c r="E381" s="847">
        <v>7</v>
      </c>
      <c r="F381" s="848"/>
    </row>
    <row r="382" spans="2:6" ht="41.4" x14ac:dyDescent="0.3">
      <c r="C382" s="835" t="s">
        <v>1589</v>
      </c>
      <c r="D382" s="846" t="s">
        <v>10</v>
      </c>
      <c r="E382" s="847">
        <f>D364</f>
        <v>2.9824999999999999</v>
      </c>
      <c r="F382" s="848" t="s">
        <v>11</v>
      </c>
    </row>
    <row r="383" spans="2:6" x14ac:dyDescent="0.3">
      <c r="C383" s="836" t="s">
        <v>1584</v>
      </c>
      <c r="D383" s="849" t="s">
        <v>10</v>
      </c>
      <c r="E383" s="850" t="s">
        <v>1574</v>
      </c>
      <c r="F383" s="851"/>
    </row>
    <row r="384" spans="2:6" x14ac:dyDescent="0.3">
      <c r="C384" s="852"/>
      <c r="D384" s="853" t="s">
        <v>10</v>
      </c>
      <c r="E384" s="854">
        <f>1/3 * E382 * F377</f>
        <v>2318.514574833333</v>
      </c>
      <c r="F384" s="855" t="s">
        <v>1575</v>
      </c>
    </row>
    <row r="385" spans="1:6" x14ac:dyDescent="0.3">
      <c r="C385" s="835" t="s">
        <v>1585</v>
      </c>
      <c r="D385" s="846" t="s">
        <v>10</v>
      </c>
      <c r="E385" s="847">
        <f>E384 * 2</f>
        <v>4637.0291496666659</v>
      </c>
      <c r="F385" s="848" t="s">
        <v>1575</v>
      </c>
    </row>
    <row r="387" spans="1:6" ht="27.6" x14ac:dyDescent="0.3">
      <c r="A387" s="826" t="s">
        <v>1576</v>
      </c>
      <c r="B387" s="826" t="s">
        <v>1606</v>
      </c>
      <c r="E387" s="824"/>
      <c r="F387" s="825"/>
    </row>
    <row r="388" spans="1:6" x14ac:dyDescent="0.3">
      <c r="B388" s="832" t="s">
        <v>1577</v>
      </c>
      <c r="C388" s="833" t="s">
        <v>10</v>
      </c>
      <c r="D388" s="833">
        <v>13.34</v>
      </c>
      <c r="E388" s="834" t="s">
        <v>11</v>
      </c>
      <c r="F388" s="825"/>
    </row>
    <row r="389" spans="1:6" ht="27.6" x14ac:dyDescent="0.3">
      <c r="B389" s="835" t="s">
        <v>1578</v>
      </c>
      <c r="C389" s="833" t="s">
        <v>10</v>
      </c>
      <c r="D389" s="833">
        <v>1.41</v>
      </c>
      <c r="E389" s="834" t="s">
        <v>11</v>
      </c>
      <c r="F389" s="825"/>
    </row>
    <row r="390" spans="1:6" ht="27.6" x14ac:dyDescent="0.3">
      <c r="B390" s="835" t="s">
        <v>1579</v>
      </c>
      <c r="C390" s="833" t="s">
        <v>10</v>
      </c>
      <c r="D390" s="833">
        <f>D388-D389</f>
        <v>11.93</v>
      </c>
      <c r="E390" s="834" t="s">
        <v>11</v>
      </c>
      <c r="F390" s="825"/>
    </row>
    <row r="391" spans="1:6" x14ac:dyDescent="0.3">
      <c r="B391" s="832" t="s">
        <v>1601</v>
      </c>
      <c r="C391" s="833" t="s">
        <v>10</v>
      </c>
      <c r="D391" s="833">
        <f>D390/4</f>
        <v>2.9824999999999999</v>
      </c>
      <c r="E391" s="834" t="s">
        <v>11</v>
      </c>
      <c r="F391" s="825"/>
    </row>
    <row r="392" spans="1:6" x14ac:dyDescent="0.3">
      <c r="B392" s="860" t="s">
        <v>1599</v>
      </c>
      <c r="C392" s="837"/>
      <c r="D392" s="837"/>
      <c r="E392" s="838"/>
      <c r="F392" s="825"/>
    </row>
    <row r="393" spans="1:6" ht="27.6" x14ac:dyDescent="0.3">
      <c r="B393" s="836" t="s">
        <v>1581</v>
      </c>
      <c r="C393" s="837" t="s">
        <v>10</v>
      </c>
      <c r="D393" s="837" t="s">
        <v>1582</v>
      </c>
      <c r="E393" s="838" t="s">
        <v>11</v>
      </c>
      <c r="F393" s="825"/>
    </row>
    <row r="394" spans="1:6" x14ac:dyDescent="0.3">
      <c r="B394" s="858"/>
      <c r="E394" s="859"/>
      <c r="F394" s="825"/>
    </row>
    <row r="395" spans="1:6" x14ac:dyDescent="0.3">
      <c r="B395" s="839"/>
      <c r="C395" s="840" t="s">
        <v>10</v>
      </c>
      <c r="D395" s="840" t="e">
        <f>'[3]DOC 2 ATTACH'!$F$167/(D390*2)</f>
        <v>#REF!</v>
      </c>
      <c r="E395" s="841" t="s">
        <v>11</v>
      </c>
      <c r="F395" s="825"/>
    </row>
    <row r="396" spans="1:6" ht="27.6" x14ac:dyDescent="0.3">
      <c r="C396" s="842" t="s">
        <v>1583</v>
      </c>
      <c r="D396" s="842" t="s">
        <v>1565</v>
      </c>
      <c r="E396" s="843" t="s">
        <v>1566</v>
      </c>
      <c r="F396" s="829" t="s">
        <v>1567</v>
      </c>
    </row>
    <row r="397" spans="1:6" x14ac:dyDescent="0.3">
      <c r="B397" s="823">
        <f>$D$310</f>
        <v>2.9824999999999999</v>
      </c>
      <c r="C397" s="830">
        <f>D389</f>
        <v>1.41</v>
      </c>
      <c r="D397" s="830">
        <v>1</v>
      </c>
      <c r="E397" s="828">
        <v>64.007400000000004</v>
      </c>
      <c r="F397" s="829">
        <f>D397 * E397</f>
        <v>64.007400000000004</v>
      </c>
    </row>
    <row r="398" spans="1:6" x14ac:dyDescent="0.3">
      <c r="B398" s="823">
        <f>$D$310</f>
        <v>2.9824999999999999</v>
      </c>
      <c r="C398" s="830">
        <f t="shared" ref="C398:C403" si="35">C397+B398</f>
        <v>4.3925000000000001</v>
      </c>
      <c r="D398" s="830">
        <v>4</v>
      </c>
      <c r="E398" s="823">
        <v>96.945499999999996</v>
      </c>
      <c r="F398" s="829">
        <f>D398 * E399</f>
        <v>415.70800000000003</v>
      </c>
    </row>
    <row r="399" spans="1:6" x14ac:dyDescent="0.3">
      <c r="B399" s="823">
        <f>$D$310</f>
        <v>2.9824999999999999</v>
      </c>
      <c r="C399" s="830">
        <f t="shared" si="35"/>
        <v>7.375</v>
      </c>
      <c r="D399" s="830">
        <v>2</v>
      </c>
      <c r="E399" s="828">
        <v>103.92700000000001</v>
      </c>
      <c r="F399" s="829">
        <f>D399 * E400</f>
        <v>263.95319999999998</v>
      </c>
    </row>
    <row r="400" spans="1:6" x14ac:dyDescent="0.3">
      <c r="B400" s="823">
        <f>$D$310</f>
        <v>2.9824999999999999</v>
      </c>
      <c r="C400" s="830">
        <f t="shared" si="35"/>
        <v>10.3575</v>
      </c>
      <c r="D400" s="830">
        <v>4</v>
      </c>
      <c r="E400" s="828">
        <v>131.97659999999999</v>
      </c>
      <c r="F400" s="829">
        <f>D400 * E401</f>
        <v>695.63120000000004</v>
      </c>
    </row>
    <row r="401" spans="2:6" x14ac:dyDescent="0.3">
      <c r="B401" s="823">
        <f>$D$310</f>
        <v>2.9824999999999999</v>
      </c>
      <c r="C401" s="830">
        <f t="shared" si="35"/>
        <v>13.34</v>
      </c>
      <c r="D401" s="830">
        <v>1</v>
      </c>
      <c r="E401" s="828">
        <v>173.90780000000001</v>
      </c>
      <c r="F401" s="829">
        <f>D401 * E401</f>
        <v>173.90780000000001</v>
      </c>
    </row>
    <row r="402" spans="2:6" x14ac:dyDescent="0.3">
      <c r="C402" s="830">
        <f t="shared" si="35"/>
        <v>13.34</v>
      </c>
      <c r="D402" s="830"/>
      <c r="F402" s="829"/>
    </row>
    <row r="403" spans="2:6" x14ac:dyDescent="0.3">
      <c r="C403" s="830">
        <f t="shared" si="35"/>
        <v>13.34</v>
      </c>
      <c r="D403" s="830"/>
      <c r="F403" s="829"/>
    </row>
    <row r="404" spans="2:6" x14ac:dyDescent="0.3">
      <c r="E404" s="844" t="s">
        <v>1568</v>
      </c>
      <c r="F404" s="845">
        <f>SUM(F397:F403)</f>
        <v>1613.2076</v>
      </c>
    </row>
    <row r="405" spans="2:6" ht="27.6" x14ac:dyDescent="0.3">
      <c r="C405" s="835" t="s">
        <v>1569</v>
      </c>
      <c r="D405" s="846" t="s">
        <v>10</v>
      </c>
      <c r="E405" s="847">
        <v>38</v>
      </c>
      <c r="F405" s="848"/>
    </row>
    <row r="406" spans="2:6" ht="27.6" x14ac:dyDescent="0.3">
      <c r="C406" s="835" t="s">
        <v>1570</v>
      </c>
      <c r="D406" s="846" t="s">
        <v>10</v>
      </c>
      <c r="E406" s="847">
        <v>55</v>
      </c>
      <c r="F406" s="848"/>
    </row>
    <row r="407" spans="2:6" ht="27.6" x14ac:dyDescent="0.3">
      <c r="C407" s="835" t="s">
        <v>1571</v>
      </c>
      <c r="D407" s="846" t="s">
        <v>10</v>
      </c>
      <c r="E407" s="847">
        <f>E406-E405</f>
        <v>17</v>
      </c>
      <c r="F407" s="848"/>
    </row>
    <row r="408" spans="2:6" x14ac:dyDescent="0.3">
      <c r="C408" s="835"/>
      <c r="D408" s="846" t="s">
        <v>10</v>
      </c>
      <c r="E408" s="847">
        <v>7</v>
      </c>
      <c r="F408" s="848"/>
    </row>
    <row r="409" spans="2:6" ht="41.4" x14ac:dyDescent="0.3">
      <c r="C409" s="835" t="s">
        <v>1589</v>
      </c>
      <c r="D409" s="846" t="s">
        <v>10</v>
      </c>
      <c r="E409" s="847">
        <f>D391</f>
        <v>2.9824999999999999</v>
      </c>
      <c r="F409" s="848" t="s">
        <v>11</v>
      </c>
    </row>
    <row r="410" spans="2:6" x14ac:dyDescent="0.3">
      <c r="C410" s="836" t="s">
        <v>1584</v>
      </c>
      <c r="D410" s="849" t="s">
        <v>10</v>
      </c>
      <c r="E410" s="850" t="s">
        <v>1574</v>
      </c>
      <c r="F410" s="851"/>
    </row>
    <row r="411" spans="2:6" x14ac:dyDescent="0.3">
      <c r="C411" s="852"/>
      <c r="D411" s="853" t="s">
        <v>10</v>
      </c>
      <c r="E411" s="854">
        <f>1/3 * E409 * F404</f>
        <v>1603.7972223333331</v>
      </c>
      <c r="F411" s="855" t="s">
        <v>1575</v>
      </c>
    </row>
    <row r="412" spans="2:6" x14ac:dyDescent="0.3">
      <c r="C412" s="835" t="s">
        <v>1585</v>
      </c>
      <c r="D412" s="846" t="s">
        <v>10</v>
      </c>
      <c r="E412" s="847">
        <f>E411 * 2</f>
        <v>3207.5944446666663</v>
      </c>
      <c r="F412" s="848" t="s">
        <v>1575</v>
      </c>
    </row>
    <row r="414" spans="2:6" ht="55.2" x14ac:dyDescent="0.3">
      <c r="B414" s="826" t="s">
        <v>1607</v>
      </c>
      <c r="C414" s="823" t="s">
        <v>10</v>
      </c>
      <c r="D414" s="823">
        <f>E304+E331+E358+E385+E412</f>
        <v>21850.202409499998</v>
      </c>
    </row>
  </sheetData>
  <pageMargins left="0.7" right="0.7" top="0.75" bottom="0.75" header="0.511811023622047" footer="0.511811023622047"/>
  <pageSetup fitToHeight="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W184"/>
  <sheetViews>
    <sheetView topLeftCell="A139" zoomScaleNormal="100" workbookViewId="0">
      <selection activeCell="D156" sqref="D156"/>
    </sheetView>
  </sheetViews>
  <sheetFormatPr defaultColWidth="9" defaultRowHeight="14.4" x14ac:dyDescent="0.3"/>
  <cols>
    <col min="1" max="1" width="6" style="861" customWidth="1"/>
    <col min="2" max="2" width="3.59765625" style="861" customWidth="1"/>
    <col min="3" max="3" width="5.3984375" style="861" customWidth="1"/>
    <col min="4" max="4" width="13.69921875" style="861" customWidth="1"/>
    <col min="5" max="6" width="9" style="861"/>
    <col min="7" max="7" width="9.59765625" style="861" customWidth="1"/>
    <col min="8" max="16384" width="9" style="861"/>
  </cols>
  <sheetData>
    <row r="1" spans="1:23" ht="30.15" customHeight="1" x14ac:dyDescent="0.3">
      <c r="A1" s="1326"/>
      <c r="B1" s="1326"/>
      <c r="C1" s="1327" t="s">
        <v>1608</v>
      </c>
      <c r="D1" s="1327"/>
      <c r="E1" s="1327"/>
      <c r="F1" s="1327"/>
      <c r="G1" s="1327"/>
      <c r="H1" s="862" t="s">
        <v>1609</v>
      </c>
      <c r="I1" s="1328" t="s">
        <v>2</v>
      </c>
      <c r="J1" s="1328"/>
      <c r="K1" s="1328"/>
    </row>
    <row r="2" spans="1:23" ht="15.6" customHeight="1" x14ac:dyDescent="0.3">
      <c r="A2" s="1326"/>
      <c r="B2" s="1326"/>
      <c r="C2" s="1327"/>
      <c r="D2" s="1327"/>
      <c r="E2" s="1327"/>
      <c r="F2" s="1327"/>
      <c r="G2" s="1327"/>
      <c r="H2" s="863" t="s">
        <v>1610</v>
      </c>
      <c r="I2" s="1329" t="s">
        <v>1611</v>
      </c>
      <c r="J2" s="1329"/>
      <c r="K2" s="1329"/>
    </row>
    <row r="3" spans="1:23" ht="15.6" customHeight="1" x14ac:dyDescent="0.3">
      <c r="A3" s="1326"/>
      <c r="B3" s="1326"/>
      <c r="C3" s="1327"/>
      <c r="D3" s="1327"/>
      <c r="E3" s="1327"/>
      <c r="F3" s="1327"/>
      <c r="G3" s="1327"/>
      <c r="H3" s="863" t="s">
        <v>1612</v>
      </c>
      <c r="I3" s="1329" t="s">
        <v>1613</v>
      </c>
      <c r="J3" s="1329"/>
      <c r="K3" s="1329"/>
    </row>
    <row r="4" spans="1:23" ht="15.75" customHeight="1" x14ac:dyDescent="0.3">
      <c r="A4" s="1326"/>
      <c r="B4" s="1326"/>
      <c r="C4" s="1327"/>
      <c r="D4" s="1327"/>
      <c r="E4" s="1327"/>
      <c r="F4" s="1327"/>
      <c r="G4" s="1327"/>
      <c r="H4" s="864" t="s">
        <v>1614</v>
      </c>
      <c r="I4" s="1330" t="s">
        <v>1613</v>
      </c>
      <c r="J4" s="1330"/>
      <c r="K4" s="1330"/>
    </row>
    <row r="5" spans="1:23" ht="15.75" customHeight="1" x14ac:dyDescent="0.3">
      <c r="A5" s="865"/>
      <c r="B5" s="865"/>
      <c r="C5" s="866"/>
      <c r="D5" s="866"/>
      <c r="E5" s="866"/>
      <c r="F5" s="866"/>
      <c r="G5" s="867"/>
      <c r="H5" s="868"/>
      <c r="I5" s="869"/>
      <c r="J5" s="869"/>
      <c r="K5" s="869"/>
    </row>
    <row r="6" spans="1:23" ht="15.75" customHeight="1" x14ac:dyDescent="0.3">
      <c r="B6" s="1331" t="s">
        <v>114</v>
      </c>
      <c r="C6" s="1331"/>
      <c r="D6" s="1331"/>
      <c r="E6" s="1331"/>
      <c r="F6" s="1331"/>
      <c r="G6" s="1331"/>
    </row>
    <row r="7" spans="1:23" ht="15.75" customHeight="1" x14ac:dyDescent="0.3">
      <c r="B7" s="870"/>
      <c r="G7" s="871"/>
    </row>
    <row r="8" spans="1:23" ht="15.75" customHeight="1" x14ac:dyDescent="0.3">
      <c r="B8" s="872" t="s">
        <v>116</v>
      </c>
      <c r="C8" s="873"/>
      <c r="D8" s="873"/>
      <c r="E8" s="1332" t="s">
        <v>330</v>
      </c>
      <c r="F8" s="1332"/>
      <c r="G8" s="871"/>
      <c r="M8" s="875"/>
      <c r="N8" s="875"/>
      <c r="O8" s="875"/>
      <c r="P8" s="875"/>
      <c r="Q8" s="875"/>
      <c r="R8" s="875"/>
      <c r="S8" s="876"/>
      <c r="T8" s="876"/>
      <c r="U8" s="876"/>
      <c r="V8" s="876"/>
      <c r="W8" s="876"/>
    </row>
    <row r="9" spans="1:23" ht="15.75" customHeight="1" x14ac:dyDescent="0.3">
      <c r="B9" s="872" t="s">
        <v>118</v>
      </c>
      <c r="C9" s="873"/>
      <c r="D9" s="873"/>
      <c r="E9" s="877" t="e">
        <f>HARVARLD!F6</f>
        <v>#REF!</v>
      </c>
      <c r="F9" s="877"/>
      <c r="G9" s="871" t="s">
        <v>11</v>
      </c>
      <c r="M9" s="875"/>
      <c r="N9" s="875"/>
      <c r="O9" s="875"/>
      <c r="P9" s="875"/>
      <c r="Q9" s="875"/>
      <c r="R9" s="875"/>
      <c r="S9" s="876"/>
      <c r="T9" s="876"/>
      <c r="U9" s="876"/>
      <c r="V9" s="876"/>
      <c r="W9" s="876"/>
    </row>
    <row r="10" spans="1:23" ht="15.75" customHeight="1" x14ac:dyDescent="0.3">
      <c r="B10" s="872" t="s">
        <v>121</v>
      </c>
      <c r="C10" s="873"/>
      <c r="D10" s="873"/>
      <c r="E10" s="877" t="e">
        <f>HARVARLD!F8</f>
        <v>#REF!</v>
      </c>
      <c r="F10" s="877"/>
      <c r="G10" s="871" t="s">
        <v>11</v>
      </c>
      <c r="M10" s="875"/>
      <c r="N10" s="875"/>
      <c r="O10" s="875"/>
      <c r="P10" s="875"/>
      <c r="Q10" s="875"/>
      <c r="R10" s="875"/>
      <c r="S10" s="876"/>
      <c r="T10" s="876"/>
      <c r="U10" s="876"/>
      <c r="V10" s="876"/>
      <c r="W10" s="876"/>
    </row>
    <row r="11" spans="1:23" ht="15.75" customHeight="1" x14ac:dyDescent="0.3">
      <c r="B11" s="872" t="s">
        <v>124</v>
      </c>
      <c r="C11" s="873"/>
      <c r="D11" s="873"/>
      <c r="E11" s="878" t="e">
        <f>HARVARLD!F14</f>
        <v>#REF!</v>
      </c>
      <c r="F11" s="878"/>
      <c r="G11" s="871" t="s">
        <v>11</v>
      </c>
      <c r="M11" s="875"/>
      <c r="N11" s="875"/>
      <c r="O11" s="875"/>
      <c r="P11" s="875"/>
      <c r="Q11" s="875"/>
      <c r="R11" s="875"/>
      <c r="S11" s="876"/>
      <c r="T11" s="876"/>
      <c r="U11" s="876"/>
      <c r="V11" s="876"/>
      <c r="W11" s="876"/>
    </row>
    <row r="12" spans="1:23" ht="15.75" customHeight="1" x14ac:dyDescent="0.3">
      <c r="B12" s="872" t="s">
        <v>12</v>
      </c>
      <c r="C12" s="873"/>
      <c r="D12" s="873"/>
      <c r="E12" s="877">
        <f>HARVARLD!F16</f>
        <v>23.7</v>
      </c>
      <c r="F12" s="877"/>
      <c r="G12" s="871" t="s">
        <v>11</v>
      </c>
    </row>
    <row r="13" spans="1:23" ht="15.75" customHeight="1" x14ac:dyDescent="0.3">
      <c r="B13" s="872" t="s">
        <v>14</v>
      </c>
      <c r="C13" s="873"/>
      <c r="D13" s="873"/>
      <c r="E13" s="877">
        <f>HARVARLD!F23</f>
        <v>9.9469999999999992</v>
      </c>
      <c r="F13" s="877"/>
      <c r="G13" s="871" t="s">
        <v>11</v>
      </c>
    </row>
    <row r="14" spans="1:23" ht="15.75" customHeight="1" x14ac:dyDescent="0.3">
      <c r="B14" s="872" t="s">
        <v>13</v>
      </c>
      <c r="C14" s="873"/>
      <c r="D14" s="873"/>
      <c r="E14" s="877">
        <f>HARVARLD!F25</f>
        <v>13.34</v>
      </c>
      <c r="F14" s="877"/>
      <c r="G14" s="871" t="s">
        <v>11</v>
      </c>
    </row>
    <row r="15" spans="1:23" ht="15.75" customHeight="1" x14ac:dyDescent="0.3">
      <c r="B15" s="872" t="s">
        <v>130</v>
      </c>
      <c r="C15" s="873"/>
      <c r="D15" s="873"/>
      <c r="E15" s="877">
        <f>HARVARLD!F27</f>
        <v>16</v>
      </c>
      <c r="F15" s="877"/>
      <c r="G15" s="871" t="s">
        <v>16</v>
      </c>
    </row>
    <row r="16" spans="1:23" ht="15.75" customHeight="1" x14ac:dyDescent="0.3">
      <c r="B16" s="872" t="s">
        <v>19</v>
      </c>
      <c r="C16" s="873"/>
      <c r="D16" s="873"/>
      <c r="E16" s="877" t="e">
        <f>HARVARLD!F28</f>
        <v>#REF!</v>
      </c>
      <c r="F16" s="877"/>
      <c r="G16" s="871" t="s">
        <v>20</v>
      </c>
    </row>
    <row r="17" spans="2:10" ht="15.75" customHeight="1" x14ac:dyDescent="0.3">
      <c r="B17" s="872" t="s">
        <v>137</v>
      </c>
      <c r="C17" s="873"/>
      <c r="D17" s="873"/>
      <c r="E17" s="877">
        <f>HARVARLD!F30</f>
        <v>0.98199999999999998</v>
      </c>
      <c r="F17" s="877"/>
      <c r="G17" s="871"/>
    </row>
    <row r="18" spans="2:10" ht="15.75" customHeight="1" x14ac:dyDescent="0.3">
      <c r="B18" s="872" t="s">
        <v>140</v>
      </c>
      <c r="C18" s="873"/>
      <c r="D18" s="873"/>
      <c r="E18" s="877">
        <f>HARVARLD!F31</f>
        <v>0.68</v>
      </c>
      <c r="F18" s="877"/>
      <c r="G18" s="871"/>
    </row>
    <row r="19" spans="2:10" ht="15.75" customHeight="1" x14ac:dyDescent="0.3">
      <c r="B19" s="872" t="s">
        <v>141</v>
      </c>
      <c r="C19" s="873"/>
      <c r="D19" s="873"/>
      <c r="E19" s="877">
        <f>HARVARLD!F32</f>
        <v>0.69</v>
      </c>
      <c r="F19" s="877"/>
      <c r="G19" s="871"/>
    </row>
    <row r="20" spans="2:10" ht="15.75" customHeight="1" x14ac:dyDescent="0.3">
      <c r="B20" s="872" t="s">
        <v>1615</v>
      </c>
      <c r="E20" s="877">
        <v>19.600000000000001</v>
      </c>
      <c r="F20" s="877"/>
      <c r="G20" s="871"/>
    </row>
    <row r="21" spans="2:10" ht="15.75" customHeight="1" x14ac:dyDescent="0.3">
      <c r="B21" s="879" t="s">
        <v>1616</v>
      </c>
      <c r="C21" s="880"/>
      <c r="D21" s="880"/>
      <c r="E21" s="881">
        <v>28</v>
      </c>
      <c r="F21" s="881"/>
      <c r="G21" s="882"/>
    </row>
    <row r="22" spans="2:10" ht="15.75" customHeight="1" x14ac:dyDescent="0.3"/>
    <row r="23" spans="2:10" ht="15.75" customHeight="1" x14ac:dyDescent="0.3">
      <c r="B23" s="861" t="s">
        <v>1617</v>
      </c>
    </row>
    <row r="24" spans="2:10" ht="15.75" customHeight="1" x14ac:dyDescent="0.3">
      <c r="B24" s="873" t="s">
        <v>174</v>
      </c>
      <c r="C24" s="861" t="s">
        <v>1618</v>
      </c>
      <c r="G24" s="1333" t="s">
        <v>1619</v>
      </c>
      <c r="H24" s="1333"/>
      <c r="I24" s="1333"/>
      <c r="J24" s="1333"/>
    </row>
    <row r="25" spans="2:10" ht="15.75" customHeight="1" x14ac:dyDescent="0.3">
      <c r="C25" s="861" t="s">
        <v>1620</v>
      </c>
      <c r="D25" s="861" t="s">
        <v>1621</v>
      </c>
      <c r="G25" s="1333"/>
      <c r="H25" s="1333"/>
      <c r="I25" s="1333"/>
      <c r="J25" s="1333"/>
    </row>
    <row r="26" spans="2:10" ht="15.75" customHeight="1" x14ac:dyDescent="0.3">
      <c r="C26" s="861" t="s">
        <v>107</v>
      </c>
      <c r="G26" s="883"/>
    </row>
    <row r="27" spans="2:10" ht="15.75" customHeight="1" x14ac:dyDescent="0.3">
      <c r="C27" s="883" t="s">
        <v>1152</v>
      </c>
      <c r="D27" s="884" t="e">
        <f>E10</f>
        <v>#REF!</v>
      </c>
    </row>
    <row r="28" spans="2:10" ht="15.75" customHeight="1" x14ac:dyDescent="0.3">
      <c r="C28" s="861" t="s">
        <v>10</v>
      </c>
      <c r="D28" s="885"/>
    </row>
    <row r="29" spans="2:10" ht="15.75" customHeight="1" x14ac:dyDescent="0.3">
      <c r="C29" s="873" t="s">
        <v>1300</v>
      </c>
      <c r="D29" s="873" t="s">
        <v>1622</v>
      </c>
      <c r="E29" s="873"/>
    </row>
    <row r="30" spans="2:10" ht="15.75" customHeight="1" x14ac:dyDescent="0.3">
      <c r="C30" s="861" t="s">
        <v>780</v>
      </c>
      <c r="D30" s="861" t="s">
        <v>1623</v>
      </c>
      <c r="E30" s="873"/>
      <c r="F30" s="873"/>
    </row>
    <row r="31" spans="2:10" ht="15.75" customHeight="1" x14ac:dyDescent="0.3">
      <c r="C31" s="861" t="s">
        <v>952</v>
      </c>
      <c r="D31" s="861" t="s">
        <v>1624</v>
      </c>
      <c r="E31" s="873"/>
      <c r="F31" s="873"/>
    </row>
    <row r="32" spans="2:10" ht="15.75" customHeight="1" x14ac:dyDescent="0.3">
      <c r="E32" s="873"/>
      <c r="F32" s="873"/>
    </row>
    <row r="33" spans="2:9" ht="15.75" customHeight="1" x14ac:dyDescent="0.3">
      <c r="C33" s="861" t="s">
        <v>1620</v>
      </c>
      <c r="D33" s="861" t="s">
        <v>1621</v>
      </c>
      <c r="E33" s="886"/>
      <c r="F33" s="887"/>
    </row>
    <row r="34" spans="2:9" ht="15.75" customHeight="1" x14ac:dyDescent="0.3">
      <c r="D34" s="885" t="e">
        <f>D27*E12*E13*E18</f>
        <v>#REF!</v>
      </c>
      <c r="E34" s="861" t="s">
        <v>1625</v>
      </c>
    </row>
    <row r="35" spans="2:9" ht="15.75" customHeight="1" x14ac:dyDescent="0.3">
      <c r="B35" s="888" t="s">
        <v>175</v>
      </c>
      <c r="C35" s="861" t="s">
        <v>1626</v>
      </c>
    </row>
    <row r="36" spans="2:9" ht="15.75" customHeight="1" x14ac:dyDescent="0.3">
      <c r="C36" s="861" t="s">
        <v>1627</v>
      </c>
      <c r="D36" s="861" t="s">
        <v>1628</v>
      </c>
      <c r="G36" s="889" t="s">
        <v>782</v>
      </c>
      <c r="H36" s="890">
        <f>HARVARLD!N29</f>
        <v>1.026</v>
      </c>
      <c r="I36" s="861" t="s">
        <v>1629</v>
      </c>
    </row>
    <row r="37" spans="2:9" ht="15.75" customHeight="1" x14ac:dyDescent="0.3">
      <c r="C37" s="883" t="s">
        <v>10</v>
      </c>
      <c r="D37" s="891" t="e">
        <f>D34*H36</f>
        <v>#REF!</v>
      </c>
      <c r="E37" s="861" t="s">
        <v>134</v>
      </c>
    </row>
    <row r="38" spans="2:9" ht="15.75" customHeight="1" x14ac:dyDescent="0.3">
      <c r="C38" s="883"/>
      <c r="D38" s="873"/>
    </row>
    <row r="39" spans="2:9" ht="15.75" customHeight="1" x14ac:dyDescent="0.3">
      <c r="C39" s="892"/>
      <c r="D39" s="887"/>
      <c r="E39" s="888"/>
    </row>
    <row r="40" spans="2:9" ht="15.75" customHeight="1" x14ac:dyDescent="0.3">
      <c r="C40" s="861" t="s">
        <v>1630</v>
      </c>
    </row>
    <row r="41" spans="2:9" ht="15.75" customHeight="1" x14ac:dyDescent="0.3">
      <c r="C41" s="861" t="s">
        <v>1631</v>
      </c>
      <c r="D41" s="861" t="s">
        <v>1632</v>
      </c>
    </row>
    <row r="42" spans="2:9" ht="15.75" customHeight="1" x14ac:dyDescent="0.3">
      <c r="C42" s="883" t="s">
        <v>10</v>
      </c>
      <c r="D42" s="891" t="e">
        <f>0.1*D37</f>
        <v>#REF!</v>
      </c>
      <c r="E42" s="861" t="s">
        <v>134</v>
      </c>
    </row>
    <row r="43" spans="2:9" ht="15.75" customHeight="1" x14ac:dyDescent="0.3">
      <c r="B43" s="888"/>
      <c r="C43" s="883"/>
      <c r="D43" s="893"/>
      <c r="E43" s="887"/>
    </row>
    <row r="44" spans="2:9" ht="15.75" customHeight="1" x14ac:dyDescent="0.3">
      <c r="B44" s="861" t="s">
        <v>358</v>
      </c>
      <c r="C44" s="861" t="s">
        <v>1633</v>
      </c>
    </row>
    <row r="45" spans="2:9" ht="15.75" customHeight="1" x14ac:dyDescent="0.3">
      <c r="C45" s="861" t="s">
        <v>1634</v>
      </c>
      <c r="D45" s="861" t="s">
        <v>1635</v>
      </c>
    </row>
    <row r="46" spans="2:9" ht="15.75" customHeight="1" x14ac:dyDescent="0.3">
      <c r="C46" s="883" t="s">
        <v>10</v>
      </c>
      <c r="D46" s="885" t="e">
        <f>D42/H36</f>
        <v>#REF!</v>
      </c>
      <c r="E46" s="861" t="s">
        <v>1625</v>
      </c>
    </row>
    <row r="47" spans="2:9" ht="15.75" customHeight="1" x14ac:dyDescent="0.3">
      <c r="C47" s="883"/>
      <c r="D47" s="893"/>
      <c r="E47" s="888"/>
    </row>
    <row r="48" spans="2:9" ht="15.75" customHeight="1" x14ac:dyDescent="0.3">
      <c r="B48" s="861" t="s">
        <v>362</v>
      </c>
      <c r="C48" s="861" t="s">
        <v>1636</v>
      </c>
      <c r="D48" s="894"/>
      <c r="E48" s="888"/>
    </row>
    <row r="49" spans="2:9" ht="15.75" customHeight="1" x14ac:dyDescent="0.3">
      <c r="C49" s="861" t="s">
        <v>1637</v>
      </c>
    </row>
    <row r="50" spans="2:9" ht="15.75" customHeight="1" x14ac:dyDescent="0.3">
      <c r="C50" s="861" t="s">
        <v>574</v>
      </c>
      <c r="D50" s="861">
        <v>6</v>
      </c>
      <c r="E50" s="861" t="s">
        <v>1638</v>
      </c>
    </row>
    <row r="51" spans="2:9" ht="15.75" customHeight="1" x14ac:dyDescent="0.3">
      <c r="F51" s="883"/>
    </row>
    <row r="52" spans="2:9" ht="15.75" customHeight="1" x14ac:dyDescent="0.3">
      <c r="C52" s="861" t="s">
        <v>1639</v>
      </c>
      <c r="D52" s="861" t="s">
        <v>1640</v>
      </c>
      <c r="F52" s="883"/>
    </row>
    <row r="53" spans="2:9" ht="15.75" customHeight="1" x14ac:dyDescent="0.3">
      <c r="D53" s="885" t="e">
        <f>D46/D50</f>
        <v>#REF!</v>
      </c>
      <c r="E53" s="861" t="s">
        <v>1641</v>
      </c>
      <c r="F53" s="883"/>
    </row>
    <row r="54" spans="2:9" ht="15.75" customHeight="1" x14ac:dyDescent="0.3">
      <c r="D54" s="861" t="e">
        <f>D53/2</f>
        <v>#REF!</v>
      </c>
      <c r="F54" s="883"/>
    </row>
    <row r="55" spans="2:9" ht="15.75" customHeight="1" x14ac:dyDescent="0.3">
      <c r="B55" s="861" t="s">
        <v>370</v>
      </c>
      <c r="C55" s="861" t="s">
        <v>1642</v>
      </c>
    </row>
    <row r="56" spans="2:9" ht="15.75" customHeight="1" x14ac:dyDescent="0.3">
      <c r="C56" s="861" t="s">
        <v>1639</v>
      </c>
      <c r="D56" s="861" t="s">
        <v>1643</v>
      </c>
      <c r="G56" s="861" t="s">
        <v>1644</v>
      </c>
      <c r="H56" s="861">
        <v>3</v>
      </c>
      <c r="I56" s="861" t="s">
        <v>129</v>
      </c>
    </row>
    <row r="57" spans="2:9" ht="15.75" customHeight="1" x14ac:dyDescent="0.3">
      <c r="C57" s="861" t="s">
        <v>10</v>
      </c>
      <c r="D57" s="890" t="s">
        <v>1645</v>
      </c>
    </row>
    <row r="58" spans="2:9" ht="15.75" customHeight="1" x14ac:dyDescent="0.3">
      <c r="C58" s="861" t="s">
        <v>1646</v>
      </c>
      <c r="D58" s="890" t="s">
        <v>1647</v>
      </c>
    </row>
    <row r="59" spans="2:9" ht="15.75" customHeight="1" x14ac:dyDescent="0.3">
      <c r="C59" s="861" t="s">
        <v>10</v>
      </c>
      <c r="D59" s="885" t="e">
        <f>(D53/3600)/(0.25*3.14*H56)</f>
        <v>#REF!</v>
      </c>
    </row>
    <row r="60" spans="2:9" ht="15.75" customHeight="1" x14ac:dyDescent="0.3">
      <c r="C60" s="861" t="s">
        <v>780</v>
      </c>
      <c r="D60" s="885" t="e">
        <f>D59^0.5</f>
        <v>#REF!</v>
      </c>
      <c r="E60" s="861" t="s">
        <v>11</v>
      </c>
    </row>
    <row r="61" spans="2:9" ht="15.75" customHeight="1" x14ac:dyDescent="0.3">
      <c r="C61" s="861" t="s">
        <v>10</v>
      </c>
      <c r="D61" s="885" t="e">
        <f>D60*1000</f>
        <v>#REF!</v>
      </c>
      <c r="E61" s="861" t="s">
        <v>28</v>
      </c>
    </row>
    <row r="62" spans="2:9" ht="15.75" customHeight="1" x14ac:dyDescent="0.3">
      <c r="C62" s="890" t="s">
        <v>1648</v>
      </c>
      <c r="D62" s="890"/>
      <c r="E62" s="890"/>
      <c r="F62" s="890"/>
      <c r="G62" s="890"/>
    </row>
    <row r="63" spans="2:9" ht="15.75" customHeight="1" x14ac:dyDescent="0.3">
      <c r="C63" s="890"/>
      <c r="D63" s="890"/>
      <c r="E63" s="889" t="s">
        <v>1649</v>
      </c>
      <c r="F63" s="895" t="e">
        <f>D61</f>
        <v>#REF!</v>
      </c>
      <c r="G63" s="890" t="s">
        <v>28</v>
      </c>
    </row>
    <row r="64" spans="2:9" ht="15.75" customHeight="1" x14ac:dyDescent="0.3">
      <c r="C64" s="890"/>
      <c r="D64" s="890"/>
      <c r="E64" s="889" t="s">
        <v>1650</v>
      </c>
      <c r="F64" s="889">
        <v>7.1</v>
      </c>
      <c r="G64" s="890" t="s">
        <v>28</v>
      </c>
    </row>
    <row r="65" spans="2:7" ht="15.75" customHeight="1" x14ac:dyDescent="0.3">
      <c r="C65" s="890"/>
      <c r="D65" s="890"/>
      <c r="E65" s="889" t="s">
        <v>1651</v>
      </c>
      <c r="F65" s="889">
        <v>165.2</v>
      </c>
      <c r="G65" s="890" t="s">
        <v>28</v>
      </c>
    </row>
    <row r="66" spans="2:7" ht="15.75" customHeight="1" x14ac:dyDescent="0.3">
      <c r="C66" s="890"/>
      <c r="D66" s="890"/>
      <c r="E66" s="889" t="s">
        <v>1652</v>
      </c>
      <c r="F66" s="889" t="s">
        <v>1653</v>
      </c>
      <c r="G66" s="890" t="s">
        <v>1654</v>
      </c>
    </row>
    <row r="67" spans="2:7" ht="15.75" customHeight="1" x14ac:dyDescent="0.3">
      <c r="C67" s="890"/>
      <c r="D67" s="890"/>
      <c r="E67" s="889" t="s">
        <v>1655</v>
      </c>
      <c r="F67" s="889">
        <v>4.5</v>
      </c>
      <c r="G67" s="890" t="s">
        <v>28</v>
      </c>
    </row>
    <row r="68" spans="2:7" ht="15.75" customHeight="1" x14ac:dyDescent="0.3">
      <c r="C68" s="883"/>
    </row>
    <row r="69" spans="2:7" ht="15.75" customHeight="1" x14ac:dyDescent="0.3">
      <c r="C69" s="883"/>
    </row>
    <row r="70" spans="2:7" ht="15.75" customHeight="1" x14ac:dyDescent="0.3"/>
    <row r="71" spans="2:7" ht="15.75" customHeight="1" x14ac:dyDescent="0.3">
      <c r="C71" s="883"/>
    </row>
    <row r="72" spans="2:7" ht="15.75" customHeight="1" x14ac:dyDescent="0.3">
      <c r="C72" s="883"/>
    </row>
    <row r="73" spans="2:7" ht="15.75" customHeight="1" x14ac:dyDescent="0.3">
      <c r="C73" s="883"/>
    </row>
    <row r="74" spans="2:7" ht="15.75" customHeight="1" x14ac:dyDescent="0.3"/>
    <row r="75" spans="2:7" ht="15.75" customHeight="1" x14ac:dyDescent="0.3"/>
    <row r="76" spans="2:7" ht="15.75" customHeight="1" x14ac:dyDescent="0.3">
      <c r="C76" s="883"/>
    </row>
    <row r="77" spans="2:7" ht="15.75" customHeight="1" x14ac:dyDescent="0.3">
      <c r="C77" s="883"/>
    </row>
    <row r="78" spans="2:7" ht="15.75" customHeight="1" x14ac:dyDescent="0.3">
      <c r="B78" s="861" t="s">
        <v>1656</v>
      </c>
    </row>
    <row r="79" spans="2:7" ht="15.75" customHeight="1" x14ac:dyDescent="0.3">
      <c r="B79" s="861" t="s">
        <v>174</v>
      </c>
      <c r="C79" s="861" t="s">
        <v>1657</v>
      </c>
    </row>
    <row r="80" spans="2:7" ht="15.75" customHeight="1" x14ac:dyDescent="0.3">
      <c r="C80" s="883" t="s">
        <v>1658</v>
      </c>
      <c r="D80" s="861" t="s">
        <v>1659</v>
      </c>
    </row>
    <row r="81" spans="2:11" ht="15.75" customHeight="1" x14ac:dyDescent="0.3">
      <c r="C81" s="883" t="s">
        <v>10</v>
      </c>
      <c r="D81" s="861" t="s">
        <v>1660</v>
      </c>
      <c r="F81" s="883" t="s">
        <v>954</v>
      </c>
      <c r="G81" s="861">
        <f>E13</f>
        <v>9.9469999999999992</v>
      </c>
      <c r="H81" s="861" t="s">
        <v>11</v>
      </c>
    </row>
    <row r="82" spans="2:11" ht="15.75" customHeight="1" x14ac:dyDescent="0.3">
      <c r="C82" s="883" t="s">
        <v>10</v>
      </c>
      <c r="D82" s="861">
        <f>G81+1</f>
        <v>10.946999999999999</v>
      </c>
      <c r="E82" s="861" t="s">
        <v>11</v>
      </c>
    </row>
    <row r="83" spans="2:11" ht="15.75" customHeight="1" x14ac:dyDescent="0.3">
      <c r="C83" s="883"/>
    </row>
    <row r="84" spans="2:11" ht="15.75" customHeight="1" x14ac:dyDescent="0.3">
      <c r="C84" s="883" t="s">
        <v>1661</v>
      </c>
      <c r="D84" s="890" t="s">
        <v>1662</v>
      </c>
      <c r="E84" s="890"/>
      <c r="F84" s="890"/>
      <c r="G84" s="896"/>
      <c r="H84" s="890"/>
    </row>
    <row r="85" spans="2:11" ht="15.75" customHeight="1" x14ac:dyDescent="0.3">
      <c r="C85" s="883" t="s">
        <v>10</v>
      </c>
      <c r="D85" s="861" t="s">
        <v>1663</v>
      </c>
      <c r="E85" s="890"/>
      <c r="F85" s="890" t="s">
        <v>771</v>
      </c>
      <c r="G85" s="861" t="s">
        <v>1664</v>
      </c>
      <c r="H85" s="890"/>
    </row>
    <row r="86" spans="2:11" ht="15.75" customHeight="1" x14ac:dyDescent="0.3">
      <c r="C86" s="883"/>
      <c r="D86" s="861" t="s">
        <v>1665</v>
      </c>
      <c r="E86" s="890"/>
      <c r="F86" s="890"/>
      <c r="G86" s="890"/>
      <c r="H86" s="890"/>
    </row>
    <row r="87" spans="2:11" ht="15.75" customHeight="1" x14ac:dyDescent="0.3">
      <c r="C87" s="883" t="s">
        <v>1666</v>
      </c>
      <c r="D87" s="890" t="s">
        <v>1667</v>
      </c>
      <c r="E87" s="890"/>
      <c r="F87" s="890"/>
      <c r="G87" s="890"/>
      <c r="H87" s="890"/>
      <c r="I87" s="890"/>
    </row>
    <row r="88" spans="2:11" ht="15.75" customHeight="1" x14ac:dyDescent="0.3">
      <c r="B88" s="897"/>
      <c r="C88" s="883" t="s">
        <v>10</v>
      </c>
      <c r="D88" s="861" t="s">
        <v>1668</v>
      </c>
      <c r="E88" s="890"/>
      <c r="F88" s="890"/>
      <c r="G88" s="861" t="s">
        <v>1669</v>
      </c>
      <c r="H88" s="890"/>
      <c r="I88" s="890"/>
      <c r="J88" s="898"/>
      <c r="K88" s="898"/>
    </row>
    <row r="89" spans="2:11" ht="15.75" customHeight="1" x14ac:dyDescent="0.3">
      <c r="B89" s="888"/>
      <c r="C89" s="873"/>
      <c r="H89" s="898"/>
      <c r="I89" s="898"/>
      <c r="J89" s="898"/>
      <c r="K89" s="898"/>
    </row>
    <row r="90" spans="2:11" ht="15.75" customHeight="1" x14ac:dyDescent="0.3">
      <c r="B90" s="861" t="s">
        <v>175</v>
      </c>
      <c r="C90" s="861" t="s">
        <v>1670</v>
      </c>
    </row>
    <row r="91" spans="2:11" ht="15.75" customHeight="1" x14ac:dyDescent="0.3">
      <c r="C91" s="873" t="s">
        <v>1671</v>
      </c>
    </row>
    <row r="92" spans="2:11" ht="15.75" customHeight="1" x14ac:dyDescent="0.3">
      <c r="C92" s="873" t="s">
        <v>107</v>
      </c>
    </row>
    <row r="93" spans="2:11" ht="15.75" customHeight="1" x14ac:dyDescent="0.3">
      <c r="C93" s="883" t="s">
        <v>477</v>
      </c>
      <c r="D93" s="890" t="s">
        <v>1672</v>
      </c>
    </row>
    <row r="94" spans="2:11" ht="15.75" customHeight="1" x14ac:dyDescent="0.3">
      <c r="C94" s="883" t="s">
        <v>10</v>
      </c>
      <c r="D94" s="861" t="e">
        <f>0.02+0.0005/F63</f>
        <v>#REF!</v>
      </c>
      <c r="E94" s="873"/>
      <c r="F94" s="873"/>
    </row>
    <row r="95" spans="2:11" ht="15.75" customHeight="1" x14ac:dyDescent="0.3">
      <c r="C95" s="883" t="s">
        <v>1152</v>
      </c>
      <c r="D95" s="861" t="s">
        <v>1673</v>
      </c>
      <c r="E95" s="873"/>
      <c r="F95" s="873"/>
    </row>
    <row r="96" spans="2:11" ht="15.75" customHeight="1" x14ac:dyDescent="0.3">
      <c r="C96" s="883" t="s">
        <v>10</v>
      </c>
      <c r="D96" s="861">
        <v>80</v>
      </c>
      <c r="E96" s="873" t="s">
        <v>11</v>
      </c>
      <c r="F96" s="899" t="s">
        <v>1674</v>
      </c>
    </row>
    <row r="97" spans="2:9" ht="15.75" customHeight="1" x14ac:dyDescent="0.3">
      <c r="C97" s="883" t="s">
        <v>1675</v>
      </c>
      <c r="D97" s="861">
        <v>3</v>
      </c>
      <c r="E97" s="891" t="s">
        <v>129</v>
      </c>
      <c r="F97" s="890" t="s">
        <v>1676</v>
      </c>
    </row>
    <row r="98" spans="2:9" ht="15.75" customHeight="1" x14ac:dyDescent="0.3">
      <c r="C98" s="883" t="s">
        <v>780</v>
      </c>
      <c r="D98" s="900" t="s">
        <v>1677</v>
      </c>
      <c r="G98" s="901"/>
    </row>
    <row r="99" spans="2:9" ht="15.75" customHeight="1" x14ac:dyDescent="0.3">
      <c r="C99" s="883" t="s">
        <v>10</v>
      </c>
      <c r="D99" s="902" t="e">
        <f>F63</f>
        <v>#REF!</v>
      </c>
      <c r="E99" s="861" t="s">
        <v>28</v>
      </c>
    </row>
    <row r="100" spans="2:9" ht="15.75" customHeight="1" x14ac:dyDescent="0.3"/>
    <row r="101" spans="2:9" ht="15.75" customHeight="1" x14ac:dyDescent="0.3">
      <c r="C101" s="873" t="s">
        <v>1671</v>
      </c>
      <c r="D101" s="883"/>
    </row>
    <row r="102" spans="2:9" ht="15.75" customHeight="1" x14ac:dyDescent="0.3">
      <c r="C102" s="883" t="s">
        <v>10</v>
      </c>
      <c r="D102" s="861" t="e">
        <f>(D94*D96*D97^2)/((D99/1000)*(2*9.8))</f>
        <v>#REF!</v>
      </c>
      <c r="E102" s="861" t="s">
        <v>11</v>
      </c>
    </row>
    <row r="103" spans="2:9" ht="15.75" customHeight="1" x14ac:dyDescent="0.3">
      <c r="C103" s="883"/>
      <c r="D103" s="903"/>
    </row>
    <row r="104" spans="2:9" ht="15.75" customHeight="1" x14ac:dyDescent="0.3"/>
    <row r="105" spans="2:9" ht="15.75" customHeight="1" x14ac:dyDescent="0.3">
      <c r="B105" s="888"/>
      <c r="C105" s="873" t="s">
        <v>1678</v>
      </c>
      <c r="E105" s="873"/>
    </row>
    <row r="106" spans="2:9" ht="15.75" customHeight="1" x14ac:dyDescent="0.3">
      <c r="C106" s="873"/>
      <c r="E106" s="873"/>
    </row>
    <row r="107" spans="2:9" ht="15.75" customHeight="1" x14ac:dyDescent="0.3">
      <c r="C107" s="904" t="s">
        <v>1679</v>
      </c>
      <c r="D107" s="1334" t="s">
        <v>1680</v>
      </c>
      <c r="E107" s="1334"/>
      <c r="F107" s="1334"/>
      <c r="G107" s="905" t="s">
        <v>1681</v>
      </c>
      <c r="H107" s="905" t="s">
        <v>1682</v>
      </c>
      <c r="I107" s="904" t="s">
        <v>1683</v>
      </c>
    </row>
    <row r="108" spans="2:9" ht="15.75" customHeight="1" x14ac:dyDescent="0.3">
      <c r="C108" s="906">
        <v>1</v>
      </c>
      <c r="D108" s="907" t="s">
        <v>1684</v>
      </c>
      <c r="E108" s="890"/>
      <c r="F108" s="890"/>
      <c r="G108" s="908">
        <v>2</v>
      </c>
      <c r="H108" s="908">
        <v>1</v>
      </c>
      <c r="I108" s="909">
        <f>G108*H108</f>
        <v>2</v>
      </c>
    </row>
    <row r="109" spans="2:9" ht="15.75" customHeight="1" x14ac:dyDescent="0.3">
      <c r="C109" s="908">
        <v>2</v>
      </c>
      <c r="D109" s="910" t="s">
        <v>1685</v>
      </c>
      <c r="E109" s="890"/>
      <c r="F109" s="890"/>
      <c r="G109" s="908">
        <v>4</v>
      </c>
      <c r="H109" s="908">
        <v>0.3</v>
      </c>
      <c r="I109" s="909">
        <f>G109*H109</f>
        <v>1.2</v>
      </c>
    </row>
    <row r="110" spans="2:9" ht="15.75" customHeight="1" x14ac:dyDescent="0.3">
      <c r="B110" s="873"/>
      <c r="C110" s="908">
        <v>3</v>
      </c>
      <c r="D110" s="910" t="s">
        <v>1686</v>
      </c>
      <c r="E110" s="890"/>
      <c r="F110" s="890"/>
      <c r="G110" s="908">
        <v>16</v>
      </c>
      <c r="H110" s="908">
        <v>0.8</v>
      </c>
      <c r="I110" s="909">
        <f>G110*H110</f>
        <v>12.8</v>
      </c>
    </row>
    <row r="111" spans="2:9" ht="15.75" customHeight="1" x14ac:dyDescent="0.3">
      <c r="C111" s="908">
        <v>4</v>
      </c>
      <c r="D111" s="910" t="s">
        <v>1687</v>
      </c>
      <c r="E111" s="890"/>
      <c r="F111" s="890"/>
      <c r="G111" s="911">
        <v>20</v>
      </c>
      <c r="H111" s="908">
        <v>1</v>
      </c>
      <c r="I111" s="909">
        <f>G111*H111</f>
        <v>20</v>
      </c>
    </row>
    <row r="112" spans="2:9" ht="15.75" customHeight="1" x14ac:dyDescent="0.3">
      <c r="C112" s="912">
        <v>5</v>
      </c>
      <c r="D112" s="913" t="s">
        <v>1688</v>
      </c>
      <c r="E112" s="914"/>
      <c r="F112" s="914"/>
      <c r="G112" s="915">
        <v>2</v>
      </c>
      <c r="H112" s="912">
        <v>2.5</v>
      </c>
      <c r="I112" s="915">
        <f>G112*H112</f>
        <v>5</v>
      </c>
    </row>
    <row r="113" spans="2:9" ht="15.75" customHeight="1" x14ac:dyDescent="0.3">
      <c r="C113" s="890"/>
      <c r="D113" s="890"/>
      <c r="E113" s="890"/>
      <c r="F113" s="890"/>
      <c r="G113" s="890"/>
      <c r="H113" s="916" t="s">
        <v>1689</v>
      </c>
      <c r="I113" s="917">
        <f>SUM(I108:I112)</f>
        <v>41</v>
      </c>
    </row>
    <row r="114" spans="2:9" ht="15.75" customHeight="1" x14ac:dyDescent="0.3">
      <c r="D114" s="883"/>
    </row>
    <row r="115" spans="2:9" ht="15.75" customHeight="1" x14ac:dyDescent="0.3">
      <c r="C115" s="861" t="s">
        <v>1690</v>
      </c>
      <c r="D115" s="900"/>
    </row>
    <row r="116" spans="2:9" ht="15.75" customHeight="1" x14ac:dyDescent="0.3">
      <c r="C116" s="883" t="s">
        <v>10</v>
      </c>
      <c r="D116" s="918">
        <f>I113*3^2 /(2*9.8)</f>
        <v>18.826530612244898</v>
      </c>
      <c r="E116" s="861" t="s">
        <v>11</v>
      </c>
    </row>
    <row r="117" spans="2:9" ht="15.75" customHeight="1" x14ac:dyDescent="0.3">
      <c r="B117" s="888"/>
      <c r="F117" s="900"/>
    </row>
    <row r="118" spans="2:9" ht="15.75" customHeight="1" x14ac:dyDescent="0.3">
      <c r="C118" s="861" t="s">
        <v>1691</v>
      </c>
      <c r="D118" s="883"/>
    </row>
    <row r="119" spans="2:9" ht="15.75" customHeight="1" x14ac:dyDescent="0.3">
      <c r="C119" s="883" t="s">
        <v>10</v>
      </c>
      <c r="D119" s="861" t="s">
        <v>1692</v>
      </c>
    </row>
    <row r="120" spans="2:9" ht="15.75" customHeight="1" x14ac:dyDescent="0.3">
      <c r="C120" s="883" t="s">
        <v>10</v>
      </c>
      <c r="D120" s="919" t="e">
        <f>D116+D102</f>
        <v>#REF!</v>
      </c>
      <c r="E120" s="861" t="s">
        <v>11</v>
      </c>
    </row>
    <row r="121" spans="2:9" ht="15.75" customHeight="1" x14ac:dyDescent="0.3"/>
    <row r="122" spans="2:9" ht="15.75" customHeight="1" x14ac:dyDescent="0.3">
      <c r="B122" s="861" t="s">
        <v>358</v>
      </c>
      <c r="C122" s="861" t="s">
        <v>1693</v>
      </c>
    </row>
    <row r="123" spans="2:9" ht="15.75" customHeight="1" x14ac:dyDescent="0.3">
      <c r="C123" s="873" t="s">
        <v>1671</v>
      </c>
    </row>
    <row r="124" spans="2:9" ht="15.75" customHeight="1" x14ac:dyDescent="0.3">
      <c r="C124" s="873" t="s">
        <v>107</v>
      </c>
    </row>
    <row r="125" spans="2:9" ht="15.75" customHeight="1" x14ac:dyDescent="0.3">
      <c r="C125" s="883" t="s">
        <v>477</v>
      </c>
      <c r="D125" s="890" t="s">
        <v>1672</v>
      </c>
    </row>
    <row r="126" spans="2:9" ht="15.75" customHeight="1" x14ac:dyDescent="0.3">
      <c r="C126" s="883" t="s">
        <v>10</v>
      </c>
      <c r="D126" s="861" t="e">
        <f>0.02+0.0005/F63</f>
        <v>#REF!</v>
      </c>
      <c r="E126" s="873"/>
      <c r="F126" s="873"/>
    </row>
    <row r="127" spans="2:9" ht="15.75" customHeight="1" x14ac:dyDescent="0.3">
      <c r="C127" s="883" t="s">
        <v>1152</v>
      </c>
      <c r="D127" s="861" t="s">
        <v>1673</v>
      </c>
      <c r="E127" s="873"/>
      <c r="F127" s="873"/>
    </row>
    <row r="128" spans="2:9" ht="15.75" customHeight="1" x14ac:dyDescent="0.3">
      <c r="C128" s="883" t="s">
        <v>10</v>
      </c>
      <c r="D128" s="861">
        <v>20</v>
      </c>
      <c r="E128" s="873" t="s">
        <v>11</v>
      </c>
      <c r="F128" s="899" t="s">
        <v>1674</v>
      </c>
    </row>
    <row r="129" spans="2:9" ht="15.75" customHeight="1" x14ac:dyDescent="0.3">
      <c r="C129" s="883" t="s">
        <v>1675</v>
      </c>
      <c r="D129" s="861">
        <v>3</v>
      </c>
      <c r="E129" s="891" t="s">
        <v>129</v>
      </c>
      <c r="F129" s="890" t="s">
        <v>1676</v>
      </c>
    </row>
    <row r="130" spans="2:9" ht="15.75" customHeight="1" x14ac:dyDescent="0.3">
      <c r="C130" s="883" t="s">
        <v>780</v>
      </c>
      <c r="D130" s="900" t="s">
        <v>1677</v>
      </c>
    </row>
    <row r="131" spans="2:9" ht="15.75" customHeight="1" x14ac:dyDescent="0.3">
      <c r="C131" s="883" t="s">
        <v>10</v>
      </c>
      <c r="D131" s="902" t="e">
        <f>F63</f>
        <v>#REF!</v>
      </c>
    </row>
    <row r="132" spans="2:9" ht="15.75" customHeight="1" x14ac:dyDescent="0.3"/>
    <row r="133" spans="2:9" ht="15.75" customHeight="1" x14ac:dyDescent="0.3">
      <c r="C133" s="873" t="s">
        <v>1671</v>
      </c>
      <c r="D133" s="883"/>
    </row>
    <row r="134" spans="2:9" ht="15.75" customHeight="1" x14ac:dyDescent="0.3">
      <c r="C134" s="883" t="s">
        <v>10</v>
      </c>
      <c r="D134" s="861" t="e">
        <f>(D126*D128*D129^2)/((D131/1000)*(2*9.81))</f>
        <v>#REF!</v>
      </c>
      <c r="E134" s="861" t="s">
        <v>11</v>
      </c>
    </row>
    <row r="135" spans="2:9" ht="15.75" customHeight="1" x14ac:dyDescent="0.3">
      <c r="C135" s="883"/>
    </row>
    <row r="136" spans="2:9" ht="15.75" customHeight="1" x14ac:dyDescent="0.3">
      <c r="C136" s="873" t="s">
        <v>1694</v>
      </c>
      <c r="E136" s="883"/>
    </row>
    <row r="137" spans="2:9" ht="15.75" customHeight="1" x14ac:dyDescent="0.3">
      <c r="C137" s="904" t="s">
        <v>1679</v>
      </c>
      <c r="D137" s="1334" t="s">
        <v>1680</v>
      </c>
      <c r="E137" s="1334"/>
      <c r="F137" s="1334"/>
      <c r="G137" s="905" t="s">
        <v>1681</v>
      </c>
      <c r="H137" s="905" t="s">
        <v>1682</v>
      </c>
      <c r="I137" s="904" t="s">
        <v>1683</v>
      </c>
    </row>
    <row r="138" spans="2:9" ht="15.75" customHeight="1" x14ac:dyDescent="0.3">
      <c r="C138" s="906">
        <v>1</v>
      </c>
      <c r="D138" s="907" t="s">
        <v>1684</v>
      </c>
      <c r="E138" s="890"/>
      <c r="F138" s="890"/>
      <c r="G138" s="908">
        <v>0</v>
      </c>
      <c r="H138" s="908">
        <v>1</v>
      </c>
      <c r="I138" s="909">
        <f>G138*H138</f>
        <v>0</v>
      </c>
    </row>
    <row r="139" spans="2:9" ht="15.75" customHeight="1" x14ac:dyDescent="0.3">
      <c r="B139" s="888"/>
      <c r="C139" s="908">
        <v>2</v>
      </c>
      <c r="D139" s="910" t="s">
        <v>1685</v>
      </c>
      <c r="E139" s="890"/>
      <c r="F139" s="890"/>
      <c r="G139" s="908">
        <v>2</v>
      </c>
      <c r="H139" s="908">
        <v>0.3</v>
      </c>
      <c r="I139" s="909">
        <f>G139*H139</f>
        <v>0.6</v>
      </c>
    </row>
    <row r="140" spans="2:9" ht="15.75" customHeight="1" x14ac:dyDescent="0.3">
      <c r="C140" s="908">
        <v>3</v>
      </c>
      <c r="D140" s="910" t="s">
        <v>1695</v>
      </c>
      <c r="E140" s="890"/>
      <c r="F140" s="890"/>
      <c r="G140" s="908">
        <v>4</v>
      </c>
      <c r="H140" s="908">
        <v>2</v>
      </c>
      <c r="I140" s="909">
        <f>G140*H140</f>
        <v>8</v>
      </c>
    </row>
    <row r="141" spans="2:9" ht="15.75" customHeight="1" x14ac:dyDescent="0.3">
      <c r="C141" s="912">
        <v>4</v>
      </c>
      <c r="D141" s="913" t="s">
        <v>1687</v>
      </c>
      <c r="E141" s="914"/>
      <c r="F141" s="914"/>
      <c r="G141" s="920">
        <v>4</v>
      </c>
      <c r="H141" s="912">
        <v>1</v>
      </c>
      <c r="I141" s="915">
        <f>G141*H141</f>
        <v>4</v>
      </c>
    </row>
    <row r="142" spans="2:9" ht="15.75" customHeight="1" x14ac:dyDescent="0.3">
      <c r="C142" s="890"/>
      <c r="D142" s="890"/>
      <c r="E142" s="890"/>
      <c r="F142" s="890"/>
      <c r="G142" s="890"/>
      <c r="H142" s="921" t="s">
        <v>1689</v>
      </c>
      <c r="I142" s="915">
        <f>SUM(I138:I141)</f>
        <v>12.6</v>
      </c>
    </row>
    <row r="143" spans="2:9" ht="15.75" customHeight="1" x14ac:dyDescent="0.3">
      <c r="C143" s="900"/>
      <c r="F143" s="874"/>
      <c r="G143" s="900"/>
      <c r="H143" s="874"/>
      <c r="I143" s="874"/>
    </row>
    <row r="144" spans="2:9" ht="15.75" customHeight="1" x14ac:dyDescent="0.3">
      <c r="C144" s="861" t="s">
        <v>1690</v>
      </c>
      <c r="D144" s="900"/>
      <c r="F144" s="874"/>
      <c r="G144" s="900"/>
      <c r="H144" s="874"/>
      <c r="I144" s="874"/>
    </row>
    <row r="145" spans="2:10" ht="15.75" customHeight="1" x14ac:dyDescent="0.3">
      <c r="C145" s="883" t="s">
        <v>10</v>
      </c>
      <c r="D145" s="922">
        <f>I142*3^2 /(2*9.81)</f>
        <v>5.7798165137614674</v>
      </c>
      <c r="E145" s="888" t="s">
        <v>11</v>
      </c>
      <c r="G145" s="900"/>
      <c r="H145" s="874"/>
      <c r="I145" s="874"/>
    </row>
    <row r="146" spans="2:10" ht="15.75" customHeight="1" x14ac:dyDescent="0.3"/>
    <row r="147" spans="2:10" ht="15.75" customHeight="1" x14ac:dyDescent="0.3">
      <c r="C147" s="861" t="s">
        <v>1691</v>
      </c>
      <c r="D147" s="883"/>
    </row>
    <row r="148" spans="2:10" ht="15.75" customHeight="1" x14ac:dyDescent="0.3">
      <c r="C148" s="883" t="s">
        <v>10</v>
      </c>
      <c r="D148" s="861" t="s">
        <v>1692</v>
      </c>
      <c r="I148" s="900"/>
      <c r="J148" s="923"/>
    </row>
    <row r="149" spans="2:10" ht="15.75" customHeight="1" x14ac:dyDescent="0.3">
      <c r="C149" s="883" t="s">
        <v>10</v>
      </c>
      <c r="D149" s="885" t="e">
        <f>D134+D145</f>
        <v>#REF!</v>
      </c>
      <c r="E149" s="861" t="s">
        <v>11</v>
      </c>
      <c r="G149" s="924"/>
      <c r="H149" s="887"/>
      <c r="I149" s="888"/>
      <c r="J149" s="888"/>
    </row>
    <row r="150" spans="2:10" ht="15.75" customHeight="1" x14ac:dyDescent="0.3">
      <c r="B150" s="888"/>
    </row>
    <row r="151" spans="2:10" ht="15.75" customHeight="1" x14ac:dyDescent="0.3">
      <c r="C151" s="861" t="s">
        <v>1696</v>
      </c>
      <c r="D151" s="883"/>
    </row>
    <row r="152" spans="2:10" ht="15.75" customHeight="1" x14ac:dyDescent="0.3">
      <c r="C152" s="883" t="s">
        <v>10</v>
      </c>
      <c r="D152" s="885" t="e">
        <f>D82+D120+D149</f>
        <v>#REF!</v>
      </c>
      <c r="E152" s="861" t="s">
        <v>11</v>
      </c>
    </row>
    <row r="153" spans="2:10" ht="15.75" customHeight="1" x14ac:dyDescent="0.3"/>
    <row r="154" spans="2:10" ht="15.75" customHeight="1" x14ac:dyDescent="0.3">
      <c r="C154" s="861" t="s">
        <v>1697</v>
      </c>
    </row>
    <row r="155" spans="2:10" ht="15.75" customHeight="1" x14ac:dyDescent="0.3">
      <c r="C155" s="883" t="s">
        <v>877</v>
      </c>
      <c r="D155" s="885" t="e">
        <f>D53</f>
        <v>#REF!</v>
      </c>
      <c r="E155" s="890" t="s">
        <v>1698</v>
      </c>
    </row>
    <row r="156" spans="2:10" ht="15.75" customHeight="1" x14ac:dyDescent="0.3">
      <c r="C156" s="883" t="s">
        <v>1699</v>
      </c>
      <c r="D156" s="885" t="e">
        <f>D152</f>
        <v>#REF!</v>
      </c>
      <c r="E156" s="873" t="s">
        <v>11</v>
      </c>
    </row>
    <row r="157" spans="2:10" x14ac:dyDescent="0.3">
      <c r="E157" s="883"/>
    </row>
    <row r="158" spans="2:10" x14ac:dyDescent="0.3">
      <c r="E158" s="892"/>
    </row>
    <row r="159" spans="2:10" x14ac:dyDescent="0.3">
      <c r="E159" s="883"/>
    </row>
    <row r="160" spans="2:10" x14ac:dyDescent="0.3">
      <c r="D160" s="883"/>
      <c r="E160" s="883"/>
    </row>
    <row r="161" spans="3:8" x14ac:dyDescent="0.3">
      <c r="E161" s="888"/>
    </row>
    <row r="162" spans="3:8" x14ac:dyDescent="0.3">
      <c r="E162" s="883"/>
    </row>
    <row r="164" spans="3:8" x14ac:dyDescent="0.3">
      <c r="H164" s="919"/>
    </row>
    <row r="167" spans="3:8" x14ac:dyDescent="0.3">
      <c r="D167" s="883"/>
    </row>
    <row r="170" spans="3:8" x14ac:dyDescent="0.3">
      <c r="C170" s="900"/>
      <c r="D170" s="1335"/>
      <c r="E170" s="1335"/>
      <c r="F170" s="900"/>
      <c r="G170" s="900"/>
      <c r="H170" s="900"/>
    </row>
    <row r="171" spans="3:8" x14ac:dyDescent="0.3">
      <c r="C171" s="900"/>
      <c r="F171" s="900"/>
      <c r="G171" s="900"/>
      <c r="H171" s="874"/>
    </row>
    <row r="172" spans="3:8" x14ac:dyDescent="0.3">
      <c r="C172" s="900"/>
      <c r="F172" s="900"/>
      <c r="G172" s="900"/>
      <c r="H172" s="874"/>
    </row>
    <row r="173" spans="3:8" x14ac:dyDescent="0.3">
      <c r="C173" s="900"/>
      <c r="F173" s="900"/>
      <c r="G173" s="900"/>
      <c r="H173" s="874"/>
    </row>
    <row r="174" spans="3:8" x14ac:dyDescent="0.3">
      <c r="C174" s="900"/>
      <c r="F174" s="874"/>
      <c r="G174" s="900"/>
      <c r="H174" s="874"/>
    </row>
    <row r="175" spans="3:8" x14ac:dyDescent="0.3">
      <c r="C175" s="900"/>
      <c r="F175" s="874"/>
      <c r="G175" s="900"/>
      <c r="H175" s="874"/>
    </row>
    <row r="176" spans="3:8" x14ac:dyDescent="0.3">
      <c r="C176" s="900"/>
      <c r="F176" s="874"/>
      <c r="G176" s="900"/>
      <c r="H176" s="874"/>
    </row>
    <row r="177" spans="3:8" x14ac:dyDescent="0.3">
      <c r="G177" s="900"/>
      <c r="H177" s="874"/>
    </row>
    <row r="182" spans="3:8" x14ac:dyDescent="0.3">
      <c r="D182" s="888"/>
      <c r="E182" s="888"/>
      <c r="F182" s="925"/>
      <c r="G182" s="924"/>
      <c r="H182" s="887"/>
    </row>
    <row r="183" spans="3:8" x14ac:dyDescent="0.3">
      <c r="F183" s="900"/>
      <c r="G183" s="924"/>
      <c r="H183" s="888"/>
    </row>
    <row r="184" spans="3:8" x14ac:dyDescent="0.3">
      <c r="C184" s="888"/>
      <c r="D184" s="888"/>
      <c r="E184" s="888"/>
      <c r="F184" s="888"/>
      <c r="G184" s="924"/>
      <c r="H184" s="888"/>
    </row>
  </sheetData>
  <mergeCells count="12">
    <mergeCell ref="D170:E170"/>
    <mergeCell ref="B6:G6"/>
    <mergeCell ref="E8:F8"/>
    <mergeCell ref="G24:J25"/>
    <mergeCell ref="D107:F107"/>
    <mergeCell ref="D137:F137"/>
    <mergeCell ref="A1:B4"/>
    <mergeCell ref="C1:G4"/>
    <mergeCell ref="I1:K1"/>
    <mergeCell ref="I2:K2"/>
    <mergeCell ref="I3:K3"/>
    <mergeCell ref="I4:K4"/>
  </mergeCells>
  <pageMargins left="0.7" right="0.7" top="0.75" bottom="0.75" header="0.511811023622047" footer="0.511811023622047"/>
  <pageSetup fitToHeight="0" orientation="portrait"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2:J41"/>
  <sheetViews>
    <sheetView topLeftCell="A18" zoomScaleNormal="100" workbookViewId="0">
      <selection activeCell="D35" sqref="D35"/>
    </sheetView>
  </sheetViews>
  <sheetFormatPr defaultColWidth="8.5" defaultRowHeight="15.6" x14ac:dyDescent="0.3"/>
  <sheetData>
    <row r="2" spans="2:10" x14ac:dyDescent="0.3">
      <c r="B2" s="926" t="s">
        <v>1700</v>
      </c>
      <c r="C2" s="927"/>
      <c r="D2" s="927"/>
      <c r="E2" s="927"/>
      <c r="F2" s="927"/>
      <c r="G2" s="927"/>
      <c r="H2" s="927"/>
      <c r="I2" s="927"/>
      <c r="J2" s="928"/>
    </row>
    <row r="3" spans="2:10" x14ac:dyDescent="0.3">
      <c r="B3" s="929" t="s">
        <v>1701</v>
      </c>
      <c r="J3" s="930"/>
    </row>
    <row r="4" spans="2:10" x14ac:dyDescent="0.3">
      <c r="B4" s="929"/>
      <c r="J4" s="930"/>
    </row>
    <row r="5" spans="2:10" x14ac:dyDescent="0.3">
      <c r="B5" s="931" t="s">
        <v>1702</v>
      </c>
      <c r="C5" s="932"/>
      <c r="D5" s="932"/>
      <c r="E5" s="932"/>
      <c r="F5" s="932"/>
      <c r="G5" s="932"/>
      <c r="J5" s="930"/>
    </row>
    <row r="6" spans="2:10" x14ac:dyDescent="0.3">
      <c r="B6" s="929"/>
      <c r="J6" s="930"/>
    </row>
    <row r="7" spans="2:10" x14ac:dyDescent="0.3">
      <c r="B7" s="929" t="s">
        <v>676</v>
      </c>
      <c r="J7" s="930"/>
    </row>
    <row r="8" spans="2:10" x14ac:dyDescent="0.3">
      <c r="B8" s="929" t="s">
        <v>1703</v>
      </c>
      <c r="C8" t="s">
        <v>1704</v>
      </c>
      <c r="H8" s="933">
        <v>1.2</v>
      </c>
      <c r="J8" s="930"/>
    </row>
    <row r="9" spans="2:10" x14ac:dyDescent="0.3">
      <c r="B9" s="929" t="s">
        <v>1705</v>
      </c>
      <c r="C9" t="s">
        <v>1706</v>
      </c>
      <c r="H9" s="933">
        <v>11.5</v>
      </c>
      <c r="J9" s="930"/>
    </row>
    <row r="10" spans="2:10" x14ac:dyDescent="0.3">
      <c r="B10" s="929" t="s">
        <v>1707</v>
      </c>
      <c r="C10" t="s">
        <v>1708</v>
      </c>
      <c r="H10" s="933">
        <v>8.5</v>
      </c>
      <c r="J10" s="930"/>
    </row>
    <row r="11" spans="2:10" x14ac:dyDescent="0.3">
      <c r="B11" s="929" t="s">
        <v>1709</v>
      </c>
      <c r="C11" t="s">
        <v>1710</v>
      </c>
      <c r="H11" s="933"/>
      <c r="J11" s="930"/>
    </row>
    <row r="12" spans="2:10" x14ac:dyDescent="0.3">
      <c r="B12" s="929" t="s">
        <v>1711</v>
      </c>
      <c r="C12" t="s">
        <v>1712</v>
      </c>
      <c r="J12" s="930"/>
    </row>
    <row r="13" spans="2:10" x14ac:dyDescent="0.3">
      <c r="B13" s="929" t="s">
        <v>1713</v>
      </c>
      <c r="C13" t="s">
        <v>1714</v>
      </c>
      <c r="J13" s="930"/>
    </row>
    <row r="14" spans="2:10" x14ac:dyDescent="0.3">
      <c r="B14" s="929"/>
      <c r="J14" s="930"/>
    </row>
    <row r="15" spans="2:10" x14ac:dyDescent="0.3">
      <c r="B15" s="931" t="s">
        <v>1715</v>
      </c>
      <c r="C15" s="934" t="s">
        <v>1716</v>
      </c>
      <c r="J15" s="930"/>
    </row>
    <row r="16" spans="2:10" x14ac:dyDescent="0.3">
      <c r="B16" s="929"/>
      <c r="C16" s="123" t="e">
        <f>H8*(H9*((HARVARLD!F6*HARVARLD!F16*HARVARLD!F25/1000)/1000)^(1/6)+H10*(HARVARLD!G250/1000)^(1/3)+1)</f>
        <v>#REF!</v>
      </c>
      <c r="J16" s="930"/>
    </row>
    <row r="17" spans="2:10" x14ac:dyDescent="0.3">
      <c r="B17" s="935"/>
      <c r="C17" s="936">
        <v>33</v>
      </c>
      <c r="D17" s="937"/>
      <c r="E17" s="937"/>
      <c r="F17" s="937"/>
      <c r="G17" s="937"/>
      <c r="H17" s="937"/>
      <c r="I17" s="937"/>
      <c r="J17" s="938"/>
    </row>
    <row r="19" spans="2:10" x14ac:dyDescent="0.3">
      <c r="B19" t="s">
        <v>1717</v>
      </c>
    </row>
    <row r="21" spans="2:10" x14ac:dyDescent="0.3">
      <c r="B21" s="1336" t="s">
        <v>1718</v>
      </c>
      <c r="C21" s="1336"/>
      <c r="D21" s="1337" t="s">
        <v>1719</v>
      </c>
      <c r="E21" s="1337"/>
      <c r="F21" s="1338" t="s">
        <v>1720</v>
      </c>
      <c r="G21" s="1338"/>
    </row>
    <row r="22" spans="2:10" x14ac:dyDescent="0.3">
      <c r="B22" s="1339" t="s">
        <v>1721</v>
      </c>
      <c r="C22" s="1339"/>
      <c r="D22" s="1339"/>
      <c r="E22" s="1339"/>
      <c r="F22" s="1339"/>
      <c r="G22" s="1339"/>
    </row>
    <row r="23" spans="2:10" x14ac:dyDescent="0.3">
      <c r="B23" s="1340">
        <v>1</v>
      </c>
      <c r="C23" s="1340"/>
      <c r="D23" s="1341" t="s">
        <v>1722</v>
      </c>
      <c r="E23" s="1341"/>
      <c r="F23" s="939">
        <v>1</v>
      </c>
      <c r="G23" s="940" t="s">
        <v>1723</v>
      </c>
    </row>
    <row r="24" spans="2:10" x14ac:dyDescent="0.3">
      <c r="B24" s="1342" t="s">
        <v>1724</v>
      </c>
      <c r="C24" s="1342"/>
      <c r="D24" s="1342"/>
      <c r="E24" s="1342"/>
      <c r="F24" s="1342"/>
      <c r="G24" s="1342"/>
    </row>
    <row r="25" spans="2:10" x14ac:dyDescent="0.3">
      <c r="B25" s="1340">
        <v>2</v>
      </c>
      <c r="C25" s="1340"/>
      <c r="D25" s="1341" t="s">
        <v>1725</v>
      </c>
      <c r="E25" s="1341"/>
      <c r="F25" s="939">
        <v>1</v>
      </c>
      <c r="G25" s="941" t="s">
        <v>1723</v>
      </c>
    </row>
    <row r="26" spans="2:10" x14ac:dyDescent="0.3">
      <c r="B26" s="1340">
        <v>3</v>
      </c>
      <c r="C26" s="1340"/>
      <c r="D26" s="1341" t="s">
        <v>1726</v>
      </c>
      <c r="E26" s="1341"/>
      <c r="F26" s="939">
        <v>1</v>
      </c>
      <c r="G26" s="941" t="s">
        <v>1723</v>
      </c>
    </row>
    <row r="27" spans="2:10" x14ac:dyDescent="0.3">
      <c r="B27" s="1340">
        <v>4</v>
      </c>
      <c r="C27" s="1340"/>
      <c r="D27" s="1341" t="s">
        <v>1727</v>
      </c>
      <c r="E27" s="1341"/>
      <c r="F27" s="939">
        <v>1</v>
      </c>
      <c r="G27" s="941" t="s">
        <v>1723</v>
      </c>
      <c r="H27" t="s">
        <v>1728</v>
      </c>
    </row>
    <row r="28" spans="2:10" x14ac:dyDescent="0.3">
      <c r="B28" s="1340">
        <v>5</v>
      </c>
      <c r="C28" s="1340"/>
      <c r="D28" s="1341" t="s">
        <v>1729</v>
      </c>
      <c r="E28" s="1341"/>
      <c r="F28" s="939">
        <v>1</v>
      </c>
      <c r="G28" s="941" t="s">
        <v>1730</v>
      </c>
    </row>
    <row r="29" spans="2:10" x14ac:dyDescent="0.3">
      <c r="B29" s="1340">
        <v>5</v>
      </c>
      <c r="C29" s="1340"/>
      <c r="D29" s="1341" t="s">
        <v>1731</v>
      </c>
      <c r="E29" s="1341"/>
      <c r="F29" s="939">
        <v>1</v>
      </c>
      <c r="G29" s="941" t="s">
        <v>1723</v>
      </c>
      <c r="H29" t="s">
        <v>1728</v>
      </c>
    </row>
    <row r="30" spans="2:10" x14ac:dyDescent="0.3">
      <c r="B30" s="942" t="s">
        <v>1732</v>
      </c>
      <c r="C30" s="943"/>
      <c r="D30" s="943"/>
      <c r="E30" s="943"/>
      <c r="F30" s="943"/>
      <c r="G30" s="944"/>
    </row>
    <row r="31" spans="2:10" x14ac:dyDescent="0.3">
      <c r="B31" s="1340">
        <v>7</v>
      </c>
      <c r="C31" s="1340"/>
      <c r="D31" s="1341" t="s">
        <v>1733</v>
      </c>
      <c r="E31" s="1341"/>
      <c r="F31" s="939">
        <v>1</v>
      </c>
      <c r="G31" s="941" t="s">
        <v>1723</v>
      </c>
    </row>
    <row r="32" spans="2:10" x14ac:dyDescent="0.3">
      <c r="B32" s="1340">
        <v>8</v>
      </c>
      <c r="C32" s="1340"/>
      <c r="D32" s="1341" t="s">
        <v>1734</v>
      </c>
      <c r="E32" s="1341"/>
      <c r="F32" s="939">
        <v>2</v>
      </c>
      <c r="G32" s="941" t="s">
        <v>1723</v>
      </c>
      <c r="H32" t="s">
        <v>1728</v>
      </c>
    </row>
    <row r="33" spans="2:8" x14ac:dyDescent="0.3">
      <c r="B33" s="1340">
        <v>9</v>
      </c>
      <c r="C33" s="1340"/>
      <c r="D33" s="1341" t="s">
        <v>1735</v>
      </c>
      <c r="E33" s="1341"/>
      <c r="F33" s="939">
        <v>2</v>
      </c>
      <c r="G33" s="941" t="s">
        <v>1723</v>
      </c>
      <c r="H33" t="s">
        <v>1728</v>
      </c>
    </row>
    <row r="34" spans="2:8" x14ac:dyDescent="0.3">
      <c r="B34" s="1340">
        <v>10</v>
      </c>
      <c r="C34" s="1340"/>
      <c r="D34" s="1341" t="s">
        <v>1736</v>
      </c>
      <c r="E34" s="1341"/>
      <c r="F34" s="939">
        <v>1</v>
      </c>
      <c r="G34" s="941" t="s">
        <v>1723</v>
      </c>
      <c r="H34" t="s">
        <v>1728</v>
      </c>
    </row>
    <row r="35" spans="2:8" x14ac:dyDescent="0.3">
      <c r="B35" s="1340">
        <v>11</v>
      </c>
      <c r="C35" s="1340"/>
      <c r="D35" s="1341" t="s">
        <v>1737</v>
      </c>
      <c r="E35" s="1341"/>
      <c r="F35" s="939">
        <v>2</v>
      </c>
      <c r="G35" s="941" t="s">
        <v>1723</v>
      </c>
      <c r="H35" t="s">
        <v>1728</v>
      </c>
    </row>
    <row r="36" spans="2:8" x14ac:dyDescent="0.3">
      <c r="B36" s="1340">
        <v>12</v>
      </c>
      <c r="C36" s="1340"/>
      <c r="D36" s="1341" t="s">
        <v>1738</v>
      </c>
      <c r="E36" s="1341"/>
      <c r="F36" s="939">
        <v>3</v>
      </c>
      <c r="G36" s="941" t="s">
        <v>1723</v>
      </c>
      <c r="H36" t="s">
        <v>1728</v>
      </c>
    </row>
    <row r="37" spans="2:8" x14ac:dyDescent="0.3">
      <c r="B37" s="1342" t="s">
        <v>1739</v>
      </c>
      <c r="C37" s="1342"/>
      <c r="D37" s="1342"/>
      <c r="E37" s="1342"/>
      <c r="F37" s="1342"/>
      <c r="G37" s="1342"/>
    </row>
    <row r="38" spans="2:8" x14ac:dyDescent="0.3">
      <c r="B38" s="1340">
        <v>13</v>
      </c>
      <c r="C38" s="1340"/>
      <c r="D38" s="1341" t="s">
        <v>1740</v>
      </c>
      <c r="E38" s="1341"/>
      <c r="F38" s="939">
        <v>1</v>
      </c>
      <c r="G38" s="941" t="s">
        <v>1723</v>
      </c>
      <c r="H38" t="s">
        <v>1728</v>
      </c>
    </row>
    <row r="39" spans="2:8" x14ac:dyDescent="0.3">
      <c r="B39" s="1340">
        <v>14</v>
      </c>
      <c r="C39" s="1340"/>
      <c r="D39" s="1341" t="s">
        <v>1741</v>
      </c>
      <c r="E39" s="1341"/>
      <c r="F39" s="939">
        <v>1</v>
      </c>
      <c r="G39" s="941" t="s">
        <v>1723</v>
      </c>
      <c r="H39" t="s">
        <v>1728</v>
      </c>
    </row>
    <row r="40" spans="2:8" x14ac:dyDescent="0.3">
      <c r="B40" s="1343">
        <v>15</v>
      </c>
      <c r="C40" s="1343"/>
      <c r="D40" s="1344" t="s">
        <v>1742</v>
      </c>
      <c r="E40" s="1344"/>
      <c r="F40" s="945">
        <v>1</v>
      </c>
      <c r="G40" s="946" t="s">
        <v>1723</v>
      </c>
      <c r="H40" t="s">
        <v>1728</v>
      </c>
    </row>
    <row r="41" spans="2:8" x14ac:dyDescent="0.3">
      <c r="D41" s="1345" t="s">
        <v>1743</v>
      </c>
      <c r="E41" s="1345"/>
      <c r="F41" s="947">
        <f>SUM(F23:F40)</f>
        <v>20</v>
      </c>
      <c r="G41" s="948" t="s">
        <v>1723</v>
      </c>
    </row>
  </sheetData>
  <mergeCells count="37">
    <mergeCell ref="B40:C40"/>
    <mergeCell ref="D40:E40"/>
    <mergeCell ref="D41:E41"/>
    <mergeCell ref="B37:G37"/>
    <mergeCell ref="B38:C38"/>
    <mergeCell ref="D38:E38"/>
    <mergeCell ref="B39:C39"/>
    <mergeCell ref="D39:E39"/>
    <mergeCell ref="B34:C34"/>
    <mergeCell ref="D34:E34"/>
    <mergeCell ref="B35:C35"/>
    <mergeCell ref="D35:E35"/>
    <mergeCell ref="B36:C36"/>
    <mergeCell ref="D36:E36"/>
    <mergeCell ref="B31:C31"/>
    <mergeCell ref="D31:E31"/>
    <mergeCell ref="B32:C32"/>
    <mergeCell ref="D32:E32"/>
    <mergeCell ref="B33:C33"/>
    <mergeCell ref="D33:E33"/>
    <mergeCell ref="B27:C27"/>
    <mergeCell ref="D27:E27"/>
    <mergeCell ref="B28:C28"/>
    <mergeCell ref="D28:E28"/>
    <mergeCell ref="B29:C29"/>
    <mergeCell ref="D29:E29"/>
    <mergeCell ref="B24:G24"/>
    <mergeCell ref="B25:C25"/>
    <mergeCell ref="D25:E25"/>
    <mergeCell ref="B26:C26"/>
    <mergeCell ref="D26:E26"/>
    <mergeCell ref="B21:C21"/>
    <mergeCell ref="D21:E21"/>
    <mergeCell ref="F21:G21"/>
    <mergeCell ref="B22:G22"/>
    <mergeCell ref="B23:C23"/>
    <mergeCell ref="D23:E23"/>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W150"/>
  <sheetViews>
    <sheetView showGridLines="0" topLeftCell="A144" zoomScale="85" zoomScaleNormal="85" workbookViewId="0">
      <selection activeCell="D43" sqref="D43"/>
    </sheetView>
  </sheetViews>
  <sheetFormatPr defaultColWidth="9" defaultRowHeight="15.75" customHeight="1" x14ac:dyDescent="0.3"/>
  <cols>
    <col min="1" max="1" width="6" customWidth="1"/>
    <col min="2" max="2" width="3.59765625" customWidth="1"/>
    <col min="3" max="3" width="5.3984375" customWidth="1"/>
    <col min="4" max="4" width="13.69921875" customWidth="1"/>
  </cols>
  <sheetData>
    <row r="2" spans="2:23" ht="15.75" customHeight="1" x14ac:dyDescent="0.3">
      <c r="B2" s="1346" t="s">
        <v>114</v>
      </c>
      <c r="C2" s="1346"/>
      <c r="D2" s="1346"/>
      <c r="E2" s="1346"/>
      <c r="F2" s="1346"/>
      <c r="G2" s="1346"/>
    </row>
    <row r="3" spans="2:23" ht="15.75" customHeight="1" x14ac:dyDescent="0.3">
      <c r="B3" s="929"/>
      <c r="G3" s="930"/>
    </row>
    <row r="4" spans="2:23" ht="15.75" customHeight="1" x14ac:dyDescent="0.3">
      <c r="B4" s="122" t="s">
        <v>116</v>
      </c>
      <c r="C4" s="123"/>
      <c r="D4" s="123"/>
      <c r="E4" s="1254" t="s">
        <v>330</v>
      </c>
      <c r="F4" s="1254"/>
      <c r="G4" s="125"/>
      <c r="M4" s="949"/>
      <c r="N4" s="949"/>
      <c r="O4" s="949"/>
      <c r="P4" s="949"/>
      <c r="Q4" s="949"/>
      <c r="R4" s="949"/>
      <c r="S4" s="950"/>
      <c r="T4" s="950"/>
      <c r="U4" s="950"/>
      <c r="V4" s="950"/>
      <c r="W4" s="950"/>
    </row>
    <row r="5" spans="2:23" ht="15.75" customHeight="1" x14ac:dyDescent="0.3">
      <c r="B5" s="122" t="s">
        <v>118</v>
      </c>
      <c r="C5" s="123"/>
      <c r="D5" s="123"/>
      <c r="E5" s="1254" t="e">
        <f>HARVARLD!F6</f>
        <v>#REF!</v>
      </c>
      <c r="F5" s="1254"/>
      <c r="G5" s="125" t="s">
        <v>11</v>
      </c>
      <c r="M5" s="949"/>
      <c r="N5" s="949"/>
      <c r="O5" s="949"/>
      <c r="P5" s="949"/>
      <c r="Q5" s="949"/>
      <c r="R5" s="949"/>
      <c r="S5" s="950"/>
      <c r="T5" s="950"/>
      <c r="U5" s="950"/>
      <c r="V5" s="950"/>
      <c r="W5" s="950"/>
    </row>
    <row r="6" spans="2:23" ht="15.75" customHeight="1" x14ac:dyDescent="0.3">
      <c r="B6" s="122" t="s">
        <v>121</v>
      </c>
      <c r="C6" s="123"/>
      <c r="D6" s="123"/>
      <c r="E6" s="1254" t="e">
        <f>HARVARLD!F8</f>
        <v>#REF!</v>
      </c>
      <c r="F6" s="1254"/>
      <c r="G6" s="125" t="s">
        <v>11</v>
      </c>
      <c r="M6" s="949"/>
      <c r="N6" s="949"/>
      <c r="O6" s="949"/>
      <c r="P6" s="949"/>
      <c r="Q6" s="949"/>
      <c r="R6" s="949"/>
      <c r="S6" s="950"/>
      <c r="T6" s="950"/>
      <c r="U6" s="950"/>
      <c r="V6" s="950"/>
      <c r="W6" s="950"/>
    </row>
    <row r="7" spans="2:23" ht="15.75" customHeight="1" x14ac:dyDescent="0.3">
      <c r="B7" s="122" t="s">
        <v>124</v>
      </c>
      <c r="C7" s="123"/>
      <c r="D7" s="123"/>
      <c r="E7" s="1347" t="e">
        <f>(E5+E6)*0.5</f>
        <v>#REF!</v>
      </c>
      <c r="F7" s="1347"/>
      <c r="G7" s="125" t="s">
        <v>11</v>
      </c>
      <c r="M7" s="949"/>
      <c r="N7" s="949"/>
      <c r="O7" s="949"/>
      <c r="P7" s="949"/>
      <c r="Q7" s="949"/>
      <c r="R7" s="949"/>
      <c r="S7" s="950"/>
      <c r="T7" s="950"/>
      <c r="U7" s="950"/>
      <c r="V7" s="950"/>
      <c r="W7" s="950"/>
    </row>
    <row r="8" spans="2:23" ht="15.75" customHeight="1" x14ac:dyDescent="0.3">
      <c r="B8" s="122" t="s">
        <v>12</v>
      </c>
      <c r="C8" s="123"/>
      <c r="D8" s="123"/>
      <c r="E8" s="1254">
        <f>HARVARLD!F16</f>
        <v>23.7</v>
      </c>
      <c r="F8" s="1254"/>
      <c r="G8" s="125" t="s">
        <v>11</v>
      </c>
    </row>
    <row r="9" spans="2:23" ht="15.75" customHeight="1" x14ac:dyDescent="0.3">
      <c r="B9" s="122" t="s">
        <v>14</v>
      </c>
      <c r="C9" s="123"/>
      <c r="D9" s="123"/>
      <c r="E9" s="1254">
        <f>HARVARLD!F23</f>
        <v>9.9469999999999992</v>
      </c>
      <c r="F9" s="1254"/>
      <c r="G9" s="125" t="s">
        <v>11</v>
      </c>
    </row>
    <row r="10" spans="2:23" ht="15.75" customHeight="1" x14ac:dyDescent="0.3">
      <c r="B10" s="122" t="s">
        <v>13</v>
      </c>
      <c r="C10" s="123"/>
      <c r="D10" s="123"/>
      <c r="E10" s="1254">
        <f>HARVARLD!F25</f>
        <v>13.34</v>
      </c>
      <c r="F10" s="1254"/>
      <c r="G10" s="125" t="s">
        <v>11</v>
      </c>
    </row>
    <row r="11" spans="2:23" ht="15.75" customHeight="1" x14ac:dyDescent="0.3">
      <c r="B11" s="122" t="s">
        <v>130</v>
      </c>
      <c r="C11" s="123"/>
      <c r="D11" s="123"/>
      <c r="E11" s="1254">
        <f>HARVARLD!F27</f>
        <v>16</v>
      </c>
      <c r="F11" s="1254"/>
      <c r="G11" s="125" t="s">
        <v>16</v>
      </c>
    </row>
    <row r="12" spans="2:23" ht="15.75" customHeight="1" x14ac:dyDescent="0.3">
      <c r="B12" s="122" t="s">
        <v>19</v>
      </c>
      <c r="C12" s="123"/>
      <c r="D12" s="123"/>
      <c r="E12" s="1254" t="e">
        <f>HARVARLD!F28</f>
        <v>#REF!</v>
      </c>
      <c r="F12" s="1254"/>
      <c r="G12" s="125" t="s">
        <v>20</v>
      </c>
    </row>
    <row r="13" spans="2:23" ht="15.75" customHeight="1" x14ac:dyDescent="0.3">
      <c r="B13" s="122" t="s">
        <v>137</v>
      </c>
      <c r="C13" s="123"/>
      <c r="D13" s="123"/>
      <c r="E13" s="1254">
        <f>HARVARLD!F30</f>
        <v>0.98199999999999998</v>
      </c>
      <c r="F13" s="1254"/>
      <c r="G13" s="125"/>
    </row>
    <row r="14" spans="2:23" ht="15.75" customHeight="1" x14ac:dyDescent="0.3">
      <c r="B14" s="122" t="s">
        <v>140</v>
      </c>
      <c r="C14" s="123"/>
      <c r="D14" s="123"/>
      <c r="E14" s="1254">
        <f>HARVARLD!F31</f>
        <v>0.68</v>
      </c>
      <c r="F14" s="1254"/>
      <c r="G14" s="125"/>
    </row>
    <row r="15" spans="2:23" ht="15.75" customHeight="1" x14ac:dyDescent="0.3">
      <c r="B15" s="122" t="s">
        <v>141</v>
      </c>
      <c r="C15" s="123"/>
      <c r="D15" s="123"/>
      <c r="E15" s="1254">
        <f>HARVARLD!F32</f>
        <v>0.69</v>
      </c>
      <c r="F15" s="1254"/>
      <c r="G15" s="125"/>
    </row>
    <row r="16" spans="2:23" ht="15.75" customHeight="1" x14ac:dyDescent="0.3">
      <c r="B16" s="122" t="s">
        <v>1615</v>
      </c>
      <c r="E16" s="1254">
        <v>19.600000000000001</v>
      </c>
      <c r="F16" s="1254"/>
      <c r="G16" s="930"/>
    </row>
    <row r="17" spans="2:11" ht="15.75" customHeight="1" x14ac:dyDescent="0.3">
      <c r="B17" s="951" t="s">
        <v>1616</v>
      </c>
      <c r="C17" s="937"/>
      <c r="D17" s="937"/>
      <c r="E17" s="1348">
        <v>28</v>
      </c>
      <c r="F17" s="1348"/>
      <c r="G17" s="938"/>
    </row>
    <row r="19" spans="2:11" ht="15.75" customHeight="1" x14ac:dyDescent="0.3">
      <c r="B19" s="952" t="s">
        <v>1744</v>
      </c>
      <c r="C19" s="953"/>
      <c r="D19" s="953"/>
      <c r="E19" s="953"/>
      <c r="F19" s="953"/>
      <c r="G19" s="953"/>
      <c r="H19" s="953"/>
      <c r="I19" s="953"/>
      <c r="J19" s="953"/>
      <c r="K19" s="954"/>
    </row>
    <row r="20" spans="2:11" ht="15.75" customHeight="1" x14ac:dyDescent="0.3">
      <c r="B20" s="955" t="s">
        <v>174</v>
      </c>
      <c r="C20" s="956" t="s">
        <v>1745</v>
      </c>
      <c r="D20" s="957"/>
      <c r="E20" s="957"/>
      <c r="F20" s="957"/>
      <c r="G20" s="957"/>
      <c r="H20" s="957"/>
      <c r="I20" s="957"/>
      <c r="J20" s="957"/>
      <c r="K20" s="958"/>
    </row>
    <row r="21" spans="2:11" ht="15.75" customHeight="1" x14ac:dyDescent="0.3">
      <c r="B21" s="929"/>
      <c r="K21" s="930"/>
    </row>
    <row r="22" spans="2:11" ht="15.75" customHeight="1" x14ac:dyDescent="0.3">
      <c r="B22" s="929"/>
      <c r="G22" s="959"/>
      <c r="K22" s="930"/>
    </row>
    <row r="23" spans="2:11" ht="15.75" customHeight="1" x14ac:dyDescent="0.3">
      <c r="B23" s="929"/>
      <c r="C23" s="959" t="s">
        <v>1746</v>
      </c>
      <c r="D23">
        <f>3*((E8+E10)*E16)^0.5+35</f>
        <v>115.83227078339442</v>
      </c>
      <c r="K23" s="930"/>
    </row>
    <row r="24" spans="2:11" ht="15.75" customHeight="1" x14ac:dyDescent="0.3">
      <c r="B24" s="929"/>
      <c r="C24" t="s">
        <v>1747</v>
      </c>
      <c r="K24" s="930"/>
    </row>
    <row r="25" spans="2:11" ht="15.75" customHeight="1" x14ac:dyDescent="0.3">
      <c r="B25" s="929"/>
      <c r="C25" s="959" t="s">
        <v>1748</v>
      </c>
      <c r="D25" t="s">
        <v>1749</v>
      </c>
      <c r="K25" s="930"/>
    </row>
    <row r="26" spans="2:11" ht="15.75" customHeight="1" x14ac:dyDescent="0.3">
      <c r="B26" s="929"/>
      <c r="C26" s="959" t="s">
        <v>1750</v>
      </c>
      <c r="D26" t="s">
        <v>1751</v>
      </c>
      <c r="K26" s="930"/>
    </row>
    <row r="27" spans="2:11" ht="15.75" customHeight="1" x14ac:dyDescent="0.3">
      <c r="B27" s="929"/>
      <c r="C27" s="959" t="s">
        <v>1752</v>
      </c>
      <c r="D27" t="s">
        <v>1753</v>
      </c>
      <c r="K27" s="930"/>
    </row>
    <row r="28" spans="2:11" ht="15.75" customHeight="1" x14ac:dyDescent="0.3">
      <c r="B28" s="929"/>
      <c r="C28" s="959" t="s">
        <v>1754</v>
      </c>
      <c r="D28" t="s">
        <v>1755</v>
      </c>
      <c r="K28" s="930"/>
    </row>
    <row r="29" spans="2:11" ht="15.75" customHeight="1" x14ac:dyDescent="0.3">
      <c r="B29" s="929"/>
      <c r="C29" s="959" t="s">
        <v>1756</v>
      </c>
      <c r="D29" t="s">
        <v>1757</v>
      </c>
      <c r="K29" s="930"/>
    </row>
    <row r="30" spans="2:11" ht="15.75" customHeight="1" x14ac:dyDescent="0.3">
      <c r="B30" s="935"/>
      <c r="C30" s="937"/>
      <c r="D30" s="937"/>
      <c r="E30" s="937"/>
      <c r="F30" s="937"/>
      <c r="G30" s="937"/>
      <c r="H30" s="937"/>
      <c r="I30" s="937"/>
      <c r="J30" s="937"/>
      <c r="K30" s="938"/>
    </row>
    <row r="31" spans="2:11" ht="15.75" customHeight="1" x14ac:dyDescent="0.3">
      <c r="B31" s="952" t="s">
        <v>175</v>
      </c>
      <c r="C31" s="960" t="s">
        <v>1758</v>
      </c>
      <c r="D31" s="953"/>
      <c r="E31" s="953"/>
      <c r="F31" s="953"/>
      <c r="G31" s="953"/>
      <c r="H31" s="953"/>
      <c r="I31" s="953"/>
      <c r="J31" s="953"/>
      <c r="K31" s="954"/>
    </row>
    <row r="32" spans="2:11" ht="15.75" customHeight="1" x14ac:dyDescent="0.3">
      <c r="B32" s="929"/>
      <c r="K32" s="930"/>
    </row>
    <row r="33" spans="2:11" ht="15.75" customHeight="1" x14ac:dyDescent="0.3">
      <c r="B33" s="929"/>
      <c r="K33" s="930"/>
    </row>
    <row r="34" spans="2:11" ht="15.75" customHeight="1" x14ac:dyDescent="0.3">
      <c r="B34" s="929"/>
      <c r="C34" s="959" t="s">
        <v>1759</v>
      </c>
      <c r="D34">
        <f>2.15*((E8+E10)*E17)^0.5</f>
        <v>69.239347195073975</v>
      </c>
      <c r="K34" s="930"/>
    </row>
    <row r="35" spans="2:11" ht="15.75" customHeight="1" x14ac:dyDescent="0.3">
      <c r="B35" s="929"/>
      <c r="C35" t="s">
        <v>1747</v>
      </c>
      <c r="K35" s="930"/>
    </row>
    <row r="36" spans="2:11" ht="15.75" customHeight="1" x14ac:dyDescent="0.3">
      <c r="B36" s="929"/>
      <c r="C36" s="959" t="s">
        <v>1760</v>
      </c>
      <c r="D36" t="s">
        <v>1761</v>
      </c>
      <c r="K36" s="930"/>
    </row>
    <row r="37" spans="2:11" ht="15.75" customHeight="1" x14ac:dyDescent="0.3">
      <c r="B37" s="929"/>
      <c r="C37" s="959" t="s">
        <v>1762</v>
      </c>
      <c r="D37" t="s">
        <v>1763</v>
      </c>
      <c r="K37" s="930"/>
    </row>
    <row r="38" spans="2:11" ht="15.75" customHeight="1" x14ac:dyDescent="0.3">
      <c r="B38" s="935"/>
      <c r="C38" s="937"/>
      <c r="D38" s="937"/>
      <c r="E38" s="937"/>
      <c r="F38" s="937"/>
      <c r="G38" s="937"/>
      <c r="H38" s="937"/>
      <c r="I38" s="937"/>
      <c r="J38" s="937"/>
      <c r="K38" s="938"/>
    </row>
    <row r="39" spans="2:11" ht="15.75" customHeight="1" x14ac:dyDescent="0.3">
      <c r="B39" s="952" t="s">
        <v>358</v>
      </c>
      <c r="C39" s="960" t="s">
        <v>1764</v>
      </c>
      <c r="D39" s="953"/>
      <c r="E39" s="953"/>
      <c r="F39" s="953"/>
      <c r="G39" s="953"/>
      <c r="H39" s="953"/>
      <c r="I39" s="953"/>
      <c r="J39" s="953"/>
      <c r="K39" s="954"/>
    </row>
    <row r="40" spans="2:11" ht="15.75" customHeight="1" x14ac:dyDescent="0.3">
      <c r="B40" s="929"/>
      <c r="K40" s="930"/>
    </row>
    <row r="41" spans="2:11" ht="15.75" customHeight="1" x14ac:dyDescent="0.3">
      <c r="B41" s="929"/>
      <c r="C41" t="s">
        <v>1765</v>
      </c>
      <c r="K41" s="930"/>
    </row>
    <row r="42" spans="2:11" ht="15.75" customHeight="1" x14ac:dyDescent="0.3">
      <c r="B42" s="929"/>
      <c r="C42" t="s">
        <v>1766</v>
      </c>
      <c r="K42" s="930"/>
    </row>
    <row r="43" spans="2:11" ht="15.75" customHeight="1" x14ac:dyDescent="0.3">
      <c r="B43" s="929"/>
      <c r="C43" s="959" t="s">
        <v>877</v>
      </c>
      <c r="D43">
        <f>5.75*(10^-3)*(D23^2)</f>
        <v>77.14841099031625</v>
      </c>
      <c r="K43" s="930"/>
    </row>
    <row r="44" spans="2:11" ht="15.75" customHeight="1" x14ac:dyDescent="0.3">
      <c r="B44" s="935"/>
      <c r="C44" s="937"/>
      <c r="D44" s="937"/>
      <c r="E44" s="937"/>
      <c r="F44" s="937"/>
      <c r="G44" s="937"/>
      <c r="H44" s="937"/>
      <c r="I44" s="937"/>
      <c r="J44" s="937"/>
      <c r="K44" s="938"/>
    </row>
    <row r="45" spans="2:11" ht="15.75" customHeight="1" x14ac:dyDescent="0.3">
      <c r="B45" s="961">
        <v>4</v>
      </c>
      <c r="C45" s="962" t="s">
        <v>1767</v>
      </c>
      <c r="D45" s="962"/>
      <c r="E45" s="962"/>
      <c r="F45" s="962"/>
      <c r="G45" s="962"/>
      <c r="H45" s="962"/>
      <c r="I45" s="962"/>
      <c r="J45" s="962"/>
      <c r="K45" s="963"/>
    </row>
    <row r="46" spans="2:11" ht="15.75" customHeight="1" x14ac:dyDescent="0.3">
      <c r="B46" s="964"/>
      <c r="C46" s="965" t="s">
        <v>1768</v>
      </c>
      <c r="D46" s="965" t="s">
        <v>1769</v>
      </c>
      <c r="E46" s="965"/>
      <c r="F46" s="965" t="s">
        <v>28</v>
      </c>
      <c r="G46" s="965" t="s">
        <v>1770</v>
      </c>
      <c r="H46" s="965"/>
      <c r="I46" s="965"/>
      <c r="J46" s="965"/>
      <c r="K46" s="966"/>
    </row>
    <row r="47" spans="2:11" ht="15.75" customHeight="1" x14ac:dyDescent="0.3">
      <c r="B47" s="964"/>
      <c r="C47" s="965"/>
      <c r="D47" s="965"/>
      <c r="E47" s="965"/>
      <c r="F47" s="965"/>
      <c r="G47" s="965"/>
      <c r="H47" s="965"/>
      <c r="I47" s="965"/>
      <c r="J47" s="965"/>
      <c r="K47" s="966"/>
    </row>
    <row r="48" spans="2:11" ht="15.75" customHeight="1" x14ac:dyDescent="0.3">
      <c r="B48" s="964"/>
      <c r="C48" s="965" t="s">
        <v>1771</v>
      </c>
      <c r="D48" s="965"/>
      <c r="E48" s="965"/>
      <c r="F48" s="965"/>
      <c r="G48" s="965"/>
      <c r="H48" s="965"/>
      <c r="I48" s="965"/>
      <c r="J48" s="965"/>
      <c r="K48" s="966"/>
    </row>
    <row r="49" spans="2:11" ht="15.75" customHeight="1" x14ac:dyDescent="0.3">
      <c r="B49" s="964"/>
      <c r="C49" s="965" t="s">
        <v>1772</v>
      </c>
      <c r="D49" s="965" t="s">
        <v>1773</v>
      </c>
      <c r="E49" s="965" t="s">
        <v>1774</v>
      </c>
      <c r="F49" s="965" t="e">
        <f>E6</f>
        <v>#REF!</v>
      </c>
      <c r="G49" s="965" t="s">
        <v>11</v>
      </c>
      <c r="H49" s="965"/>
      <c r="I49" s="965"/>
      <c r="J49" s="965"/>
      <c r="K49" s="966"/>
    </row>
    <row r="50" spans="2:11" ht="15.75" customHeight="1" x14ac:dyDescent="0.3">
      <c r="B50" s="964"/>
      <c r="C50" s="965" t="s">
        <v>1430</v>
      </c>
      <c r="D50" s="965" t="e">
        <f>97%*F49</f>
        <v>#REF!</v>
      </c>
      <c r="E50" s="965" t="s">
        <v>11</v>
      </c>
      <c r="F50" s="965"/>
      <c r="G50" s="965"/>
      <c r="H50" s="965"/>
      <c r="I50" s="965"/>
      <c r="J50" s="965"/>
      <c r="K50" s="966"/>
    </row>
    <row r="51" spans="2:11" ht="15.75" customHeight="1" x14ac:dyDescent="0.3">
      <c r="B51" s="964"/>
      <c r="C51" s="965" t="s">
        <v>1775</v>
      </c>
      <c r="D51" s="965">
        <f>E8</f>
        <v>23.7</v>
      </c>
      <c r="E51" s="965" t="s">
        <v>11</v>
      </c>
      <c r="F51" s="965"/>
      <c r="G51" s="965"/>
      <c r="H51" s="965"/>
      <c r="I51" s="965"/>
      <c r="J51" s="965"/>
      <c r="K51" s="966"/>
    </row>
    <row r="52" spans="2:11" ht="15.75" customHeight="1" x14ac:dyDescent="0.3">
      <c r="B52" s="964"/>
      <c r="C52" s="965" t="s">
        <v>1776</v>
      </c>
      <c r="D52" s="965">
        <f>E9</f>
        <v>9.9469999999999992</v>
      </c>
      <c r="E52" s="965" t="s">
        <v>11</v>
      </c>
      <c r="F52" s="965"/>
      <c r="G52" s="965"/>
      <c r="H52" s="965"/>
      <c r="I52" s="965"/>
      <c r="J52" s="965"/>
      <c r="K52" s="966"/>
    </row>
    <row r="53" spans="2:11" ht="15.75" customHeight="1" x14ac:dyDescent="0.3">
      <c r="B53" s="964"/>
      <c r="C53" s="965"/>
      <c r="D53" s="965"/>
      <c r="E53" s="965"/>
      <c r="F53" s="965"/>
      <c r="G53" s="965"/>
      <c r="H53" s="965"/>
      <c r="I53" s="965"/>
      <c r="J53" s="965"/>
      <c r="K53" s="966"/>
    </row>
    <row r="54" spans="2:11" ht="15.75" customHeight="1" x14ac:dyDescent="0.3">
      <c r="B54" s="964"/>
      <c r="C54" s="965" t="s">
        <v>1777</v>
      </c>
      <c r="D54" s="965" t="s">
        <v>1769</v>
      </c>
      <c r="E54" s="965"/>
      <c r="F54" s="965"/>
      <c r="G54" s="965"/>
      <c r="H54" s="965"/>
      <c r="I54" s="965"/>
      <c r="J54" s="965"/>
      <c r="K54" s="966"/>
    </row>
    <row r="55" spans="2:11" ht="15.75" customHeight="1" x14ac:dyDescent="0.3">
      <c r="B55" s="964"/>
      <c r="C55" s="965" t="s">
        <v>1430</v>
      </c>
      <c r="D55" s="965" t="e">
        <f>1.68*(D50*0.5)*(D51+D52)+25</f>
        <v>#REF!</v>
      </c>
      <c r="E55" s="965"/>
      <c r="F55" s="965"/>
      <c r="G55" s="965"/>
      <c r="H55" s="965"/>
      <c r="I55" s="965"/>
      <c r="J55" s="965"/>
      <c r="K55" s="966"/>
    </row>
    <row r="56" spans="2:11" ht="15.75" customHeight="1" x14ac:dyDescent="0.3">
      <c r="B56" s="964"/>
      <c r="C56" s="965" t="s">
        <v>1430</v>
      </c>
      <c r="D56" s="965" t="e">
        <f>1.68*((D50*(D51+D52))^0.5)+25</f>
        <v>#REF!</v>
      </c>
      <c r="E56" s="965" t="s">
        <v>28</v>
      </c>
      <c r="F56" s="965"/>
      <c r="G56" s="965"/>
      <c r="H56" s="965"/>
      <c r="I56" s="965"/>
      <c r="J56" s="965"/>
      <c r="K56" s="966"/>
    </row>
    <row r="57" spans="2:11" ht="15.75" customHeight="1" x14ac:dyDescent="0.3">
      <c r="B57" s="964"/>
      <c r="C57" s="965"/>
      <c r="D57" s="965"/>
      <c r="E57" s="965"/>
      <c r="F57" s="965"/>
      <c r="G57" s="965"/>
      <c r="H57" s="965"/>
      <c r="I57" s="965"/>
      <c r="J57" s="965"/>
      <c r="K57" s="966"/>
    </row>
    <row r="58" spans="2:11" ht="15.75" customHeight="1" x14ac:dyDescent="0.3">
      <c r="B58" s="964"/>
      <c r="C58" s="965"/>
      <c r="D58" s="965"/>
      <c r="E58" s="965" t="s">
        <v>1649</v>
      </c>
      <c r="F58" s="965">
        <f>F60-(F59*2)</f>
        <v>126.60000000000001</v>
      </c>
      <c r="G58" s="965" t="s">
        <v>28</v>
      </c>
      <c r="H58" s="965"/>
      <c r="I58" s="965"/>
      <c r="J58" s="965"/>
      <c r="K58" s="966"/>
    </row>
    <row r="59" spans="2:11" ht="15.75" customHeight="1" x14ac:dyDescent="0.3">
      <c r="B59" s="964"/>
      <c r="C59" s="965"/>
      <c r="D59" s="965"/>
      <c r="E59" s="965" t="s">
        <v>1778</v>
      </c>
      <c r="F59" s="965">
        <v>6.6</v>
      </c>
      <c r="G59" s="965" t="s">
        <v>28</v>
      </c>
      <c r="H59" s="965"/>
      <c r="I59" s="965"/>
      <c r="J59" s="965"/>
      <c r="K59" s="966"/>
    </row>
    <row r="60" spans="2:11" ht="15.75" customHeight="1" x14ac:dyDescent="0.3">
      <c r="B60" s="964"/>
      <c r="C60" s="965"/>
      <c r="D60" s="965"/>
      <c r="E60" s="965" t="s">
        <v>1651</v>
      </c>
      <c r="F60" s="965">
        <v>139.80000000000001</v>
      </c>
      <c r="G60" s="965" t="s">
        <v>28</v>
      </c>
      <c r="H60" s="965"/>
      <c r="I60" s="965"/>
      <c r="J60" s="965"/>
      <c r="K60" s="966"/>
    </row>
    <row r="61" spans="2:11" ht="15.75" customHeight="1" x14ac:dyDescent="0.3">
      <c r="B61" s="964"/>
      <c r="C61" s="965"/>
      <c r="D61" s="965"/>
      <c r="E61" s="965" t="s">
        <v>1652</v>
      </c>
      <c r="F61" s="965" t="s">
        <v>1779</v>
      </c>
      <c r="G61" s="965" t="s">
        <v>1654</v>
      </c>
      <c r="H61" s="965"/>
      <c r="I61" s="965"/>
      <c r="J61" s="965"/>
      <c r="K61" s="966"/>
    </row>
    <row r="62" spans="2:11" ht="15.75" customHeight="1" x14ac:dyDescent="0.3">
      <c r="B62" s="964"/>
      <c r="C62" s="965"/>
      <c r="D62" s="965"/>
      <c r="E62" s="965" t="s">
        <v>1655</v>
      </c>
      <c r="F62" s="965">
        <v>4.5</v>
      </c>
      <c r="G62" s="965" t="s">
        <v>28</v>
      </c>
      <c r="H62" s="965"/>
      <c r="I62" s="965"/>
      <c r="J62" s="965"/>
      <c r="K62" s="966"/>
    </row>
    <row r="63" spans="2:11" ht="15.75" customHeight="1" x14ac:dyDescent="0.3">
      <c r="B63" s="964"/>
      <c r="C63" s="965"/>
      <c r="D63" s="965"/>
      <c r="E63" s="965"/>
      <c r="F63" s="965"/>
      <c r="G63" s="965"/>
      <c r="H63" s="965"/>
      <c r="I63" s="965"/>
      <c r="J63" s="965"/>
      <c r="K63" s="966"/>
    </row>
    <row r="64" spans="2:11" ht="15.75" customHeight="1" x14ac:dyDescent="0.3">
      <c r="B64" s="964"/>
      <c r="C64" s="965" t="s">
        <v>1780</v>
      </c>
      <c r="D64" s="965"/>
      <c r="E64" s="965"/>
      <c r="F64" s="965"/>
      <c r="G64" s="965"/>
      <c r="H64" s="965"/>
      <c r="I64" s="965"/>
      <c r="J64" s="965"/>
      <c r="K64" s="966"/>
    </row>
    <row r="65" spans="2:11" ht="15.75" customHeight="1" x14ac:dyDescent="0.3">
      <c r="B65" s="964"/>
      <c r="C65" s="965" t="s">
        <v>1781</v>
      </c>
      <c r="D65" s="965" t="s">
        <v>1782</v>
      </c>
      <c r="E65" s="965"/>
      <c r="F65" s="965" t="s">
        <v>28</v>
      </c>
      <c r="G65" s="965" t="s">
        <v>1770</v>
      </c>
      <c r="H65" s="965"/>
      <c r="I65" s="965"/>
      <c r="J65" s="965"/>
      <c r="K65" s="966"/>
    </row>
    <row r="66" spans="2:11" ht="15.75" customHeight="1" x14ac:dyDescent="0.3">
      <c r="B66" s="964"/>
      <c r="C66" s="965"/>
      <c r="D66" s="965"/>
      <c r="E66" s="965"/>
      <c r="F66" s="965"/>
      <c r="G66" s="965"/>
      <c r="H66" s="965"/>
      <c r="I66" s="965"/>
      <c r="J66" s="965"/>
      <c r="K66" s="966"/>
    </row>
    <row r="67" spans="2:11" ht="15.75" customHeight="1" x14ac:dyDescent="0.3">
      <c r="B67" s="964"/>
      <c r="C67" s="965" t="s">
        <v>1771</v>
      </c>
      <c r="D67" s="965"/>
      <c r="E67" s="965"/>
      <c r="F67" s="965"/>
      <c r="G67" s="965"/>
      <c r="H67" s="965"/>
      <c r="I67" s="965"/>
      <c r="J67" s="965"/>
      <c r="K67" s="966"/>
    </row>
    <row r="68" spans="2:11" ht="15.75" customHeight="1" x14ac:dyDescent="0.3">
      <c r="B68" s="964"/>
      <c r="C68" s="965" t="s">
        <v>1783</v>
      </c>
      <c r="D68" s="965" t="s">
        <v>1784</v>
      </c>
      <c r="E68" s="965"/>
      <c r="F68" s="965"/>
      <c r="G68" s="965"/>
      <c r="H68" s="965"/>
      <c r="I68" s="965"/>
      <c r="J68" s="965"/>
      <c r="K68" s="966"/>
    </row>
    <row r="69" spans="2:11" ht="15.75" customHeight="1" x14ac:dyDescent="0.3">
      <c r="B69" s="964"/>
      <c r="C69" s="965" t="s">
        <v>1430</v>
      </c>
      <c r="D69" s="965">
        <v>28</v>
      </c>
      <c r="E69" s="965" t="s">
        <v>11</v>
      </c>
      <c r="F69" s="965"/>
      <c r="G69" s="965"/>
      <c r="H69" s="965"/>
      <c r="I69" s="965"/>
      <c r="J69" s="965"/>
      <c r="K69" s="966"/>
    </row>
    <row r="70" spans="2:11" ht="15.75" customHeight="1" x14ac:dyDescent="0.3">
      <c r="B70" s="964"/>
      <c r="C70" s="965" t="s">
        <v>1775</v>
      </c>
      <c r="D70" s="965">
        <f>D51</f>
        <v>23.7</v>
      </c>
      <c r="E70" s="965" t="s">
        <v>11</v>
      </c>
      <c r="F70" s="965"/>
      <c r="G70" s="965"/>
      <c r="H70" s="965"/>
      <c r="I70" s="965"/>
      <c r="J70" s="965"/>
      <c r="K70" s="966"/>
    </row>
    <row r="71" spans="2:11" ht="15.75" customHeight="1" x14ac:dyDescent="0.3">
      <c r="B71" s="964"/>
      <c r="C71" s="965" t="s">
        <v>1776</v>
      </c>
      <c r="D71" s="965">
        <f>D52</f>
        <v>9.9469999999999992</v>
      </c>
      <c r="E71" s="965" t="s">
        <v>11</v>
      </c>
      <c r="F71" s="965"/>
      <c r="G71" s="965"/>
      <c r="H71" s="965"/>
      <c r="I71" s="965"/>
      <c r="J71" s="965"/>
      <c r="K71" s="966"/>
    </row>
    <row r="72" spans="2:11" ht="15.75" customHeight="1" x14ac:dyDescent="0.3">
      <c r="B72" s="964"/>
      <c r="C72" s="965"/>
      <c r="D72" s="965"/>
      <c r="E72" s="965"/>
      <c r="F72" s="965"/>
      <c r="G72" s="965"/>
      <c r="H72" s="965"/>
      <c r="I72" s="965"/>
      <c r="J72" s="965"/>
      <c r="K72" s="966"/>
    </row>
    <row r="73" spans="2:11" ht="15.75" customHeight="1" x14ac:dyDescent="0.3">
      <c r="B73" s="964"/>
      <c r="C73" s="965" t="s">
        <v>1785</v>
      </c>
      <c r="D73" s="965" t="s">
        <v>1782</v>
      </c>
      <c r="E73" s="965"/>
      <c r="F73" s="965"/>
      <c r="G73" s="965"/>
      <c r="H73" s="965"/>
      <c r="I73" s="965"/>
      <c r="J73" s="965"/>
      <c r="K73" s="966"/>
    </row>
    <row r="74" spans="2:11" ht="15.75" customHeight="1" x14ac:dyDescent="0.3">
      <c r="B74" s="964"/>
      <c r="C74" s="965" t="s">
        <v>1430</v>
      </c>
      <c r="D74" s="965">
        <f>2.15*(D69*0.5)*(D70+D71)+25</f>
        <v>1037.7746999999999</v>
      </c>
      <c r="E74" s="965"/>
      <c r="F74" s="965"/>
      <c r="G74" s="965"/>
      <c r="H74" s="965"/>
      <c r="I74" s="965"/>
      <c r="J74" s="965"/>
      <c r="K74" s="966"/>
    </row>
    <row r="75" spans="2:11" ht="15.75" customHeight="1" x14ac:dyDescent="0.3">
      <c r="B75" s="964"/>
      <c r="C75" s="965" t="s">
        <v>1430</v>
      </c>
      <c r="D75" s="965">
        <f>2.15*((D69*(D70+D71))^0.5)+25</f>
        <v>90.991902609335327</v>
      </c>
      <c r="E75" s="965" t="s">
        <v>28</v>
      </c>
      <c r="F75" s="965"/>
      <c r="G75" s="965"/>
      <c r="H75" s="965"/>
      <c r="I75" s="965"/>
      <c r="J75" s="965"/>
      <c r="K75" s="966"/>
    </row>
    <row r="76" spans="2:11" ht="15.75" customHeight="1" x14ac:dyDescent="0.3">
      <c r="B76" s="964"/>
      <c r="C76" s="965"/>
      <c r="D76" s="965"/>
      <c r="E76" s="965"/>
      <c r="F76" s="965"/>
      <c r="G76" s="965"/>
      <c r="H76" s="965"/>
      <c r="I76" s="965"/>
      <c r="J76" s="965"/>
      <c r="K76" s="966"/>
    </row>
    <row r="77" spans="2:11" ht="15.75" customHeight="1" x14ac:dyDescent="0.3">
      <c r="B77" s="964"/>
      <c r="C77" s="965" t="s">
        <v>1786</v>
      </c>
      <c r="D77" s="965"/>
      <c r="E77" s="965"/>
      <c r="F77" s="965"/>
      <c r="G77" s="965"/>
      <c r="H77" s="965"/>
      <c r="I77" s="965"/>
      <c r="J77" s="965"/>
      <c r="K77" s="966"/>
    </row>
    <row r="78" spans="2:11" ht="15.75" customHeight="1" x14ac:dyDescent="0.3">
      <c r="B78" s="964"/>
      <c r="C78" s="965"/>
      <c r="D78" s="965"/>
      <c r="E78" s="965" t="s">
        <v>1787</v>
      </c>
      <c r="F78" s="965">
        <f>F80-(F79*2)</f>
        <v>78.099999999999994</v>
      </c>
      <c r="G78" s="965" t="s">
        <v>28</v>
      </c>
      <c r="H78" s="965"/>
      <c r="I78" s="965"/>
      <c r="J78" s="965"/>
      <c r="K78" s="966"/>
    </row>
    <row r="79" spans="2:11" ht="15.75" customHeight="1" x14ac:dyDescent="0.3">
      <c r="B79" s="964"/>
      <c r="C79" s="965"/>
      <c r="D79" s="965"/>
      <c r="E79" s="965" t="s">
        <v>1788</v>
      </c>
      <c r="F79" s="965">
        <v>5.5</v>
      </c>
      <c r="G79" s="965" t="s">
        <v>28</v>
      </c>
      <c r="H79" s="965"/>
      <c r="I79" s="965"/>
      <c r="J79" s="965"/>
      <c r="K79" s="966"/>
    </row>
    <row r="80" spans="2:11" ht="15.75" customHeight="1" x14ac:dyDescent="0.3">
      <c r="B80" s="964"/>
      <c r="C80" s="965"/>
      <c r="D80" s="965"/>
      <c r="E80" s="965" t="s">
        <v>1651</v>
      </c>
      <c r="F80" s="965">
        <v>89.1</v>
      </c>
      <c r="G80" s="965" t="s">
        <v>28</v>
      </c>
      <c r="H80" s="965"/>
      <c r="I80" s="965"/>
      <c r="J80" s="965"/>
      <c r="K80" s="966"/>
    </row>
    <row r="81" spans="2:11" ht="15.75" customHeight="1" x14ac:dyDescent="0.3">
      <c r="B81" s="964"/>
      <c r="C81" s="965"/>
      <c r="D81" s="965"/>
      <c r="E81" s="965" t="s">
        <v>1652</v>
      </c>
      <c r="F81" s="965" t="s">
        <v>1789</v>
      </c>
      <c r="G81" s="965" t="s">
        <v>1654</v>
      </c>
      <c r="H81" s="965"/>
      <c r="I81" s="965"/>
      <c r="J81" s="965"/>
      <c r="K81" s="966"/>
    </row>
    <row r="82" spans="2:11" ht="15.75" customHeight="1" x14ac:dyDescent="0.3">
      <c r="B82" s="964"/>
      <c r="C82" s="965"/>
      <c r="D82" s="965"/>
      <c r="E82" s="965" t="s">
        <v>1655</v>
      </c>
      <c r="F82" s="965">
        <v>4.5</v>
      </c>
      <c r="G82" s="965" t="s">
        <v>28</v>
      </c>
      <c r="H82" s="965"/>
      <c r="I82" s="965"/>
      <c r="J82" s="965"/>
      <c r="K82" s="966"/>
    </row>
    <row r="83" spans="2:11" ht="15.75" customHeight="1" x14ac:dyDescent="0.3">
      <c r="B83" s="967"/>
      <c r="C83" s="968"/>
      <c r="D83" s="968"/>
      <c r="E83" s="968"/>
      <c r="F83" s="968"/>
      <c r="G83" s="968"/>
      <c r="H83" s="968"/>
      <c r="I83" s="968"/>
      <c r="J83" s="968"/>
      <c r="K83" s="969"/>
    </row>
    <row r="84" spans="2:11" ht="15.75" customHeight="1" x14ac:dyDescent="0.3">
      <c r="B84" s="970" t="s">
        <v>1790</v>
      </c>
      <c r="C84" s="960"/>
      <c r="D84" s="953"/>
      <c r="E84" s="953"/>
      <c r="F84" s="953"/>
      <c r="G84" s="953"/>
      <c r="H84" s="971"/>
      <c r="I84" s="971"/>
      <c r="J84" s="971"/>
      <c r="K84" s="972"/>
    </row>
    <row r="85" spans="2:11" ht="15.75" customHeight="1" x14ac:dyDescent="0.3">
      <c r="B85" s="973" t="s">
        <v>174</v>
      </c>
      <c r="C85" s="974" t="s">
        <v>1791</v>
      </c>
      <c r="D85" s="957"/>
      <c r="E85" s="957"/>
      <c r="F85" s="957"/>
      <c r="G85" s="957"/>
      <c r="H85" s="975"/>
      <c r="I85" s="975"/>
      <c r="J85" s="975"/>
      <c r="K85" s="976"/>
    </row>
    <row r="86" spans="2:11" ht="15.75" customHeight="1" x14ac:dyDescent="0.3">
      <c r="B86" s="929"/>
      <c r="K86" s="930"/>
    </row>
    <row r="87" spans="2:11" ht="15.75" customHeight="1" x14ac:dyDescent="0.3">
      <c r="B87" s="929"/>
      <c r="C87" s="933" t="s">
        <v>1771</v>
      </c>
      <c r="K87" s="930"/>
    </row>
    <row r="88" spans="2:11" ht="15.75" customHeight="1" x14ac:dyDescent="0.3">
      <c r="B88" s="929"/>
      <c r="C88" s="959" t="s">
        <v>1792</v>
      </c>
      <c r="D88" t="s">
        <v>1672</v>
      </c>
      <c r="K88" s="930"/>
    </row>
    <row r="89" spans="2:11" ht="15.75" customHeight="1" x14ac:dyDescent="0.3">
      <c r="B89" s="929"/>
      <c r="C89" s="959" t="s">
        <v>10</v>
      </c>
      <c r="D89">
        <f>0.02+0.0005/(D23/1000)</f>
        <v>2.4316586359038033E-2</v>
      </c>
      <c r="K89" s="930"/>
    </row>
    <row r="90" spans="2:11" ht="15.75" customHeight="1" x14ac:dyDescent="0.3">
      <c r="B90" s="929"/>
      <c r="C90" s="959" t="s">
        <v>1750</v>
      </c>
      <c r="D90" t="s">
        <v>1793</v>
      </c>
      <c r="K90" s="930"/>
    </row>
    <row r="91" spans="2:11" ht="15.75" customHeight="1" x14ac:dyDescent="0.3">
      <c r="B91" s="929"/>
      <c r="C91" s="959" t="s">
        <v>10</v>
      </c>
      <c r="D91" s="977">
        <v>103</v>
      </c>
      <c r="E91" t="s">
        <v>11</v>
      </c>
      <c r="K91" s="930"/>
    </row>
    <row r="92" spans="2:11" ht="15.75" customHeight="1" x14ac:dyDescent="0.3">
      <c r="B92" s="929"/>
      <c r="C92" s="959" t="s">
        <v>1794</v>
      </c>
      <c r="D92" s="978">
        <v>2</v>
      </c>
      <c r="E92" t="s">
        <v>129</v>
      </c>
      <c r="K92" s="930"/>
    </row>
    <row r="93" spans="2:11" ht="15.75" customHeight="1" x14ac:dyDescent="0.3">
      <c r="B93" s="929"/>
      <c r="C93" s="959" t="s">
        <v>1795</v>
      </c>
      <c r="D93" s="978" t="s">
        <v>1796</v>
      </c>
      <c r="K93" s="930"/>
    </row>
    <row r="94" spans="2:11" ht="15.75" customHeight="1" x14ac:dyDescent="0.3">
      <c r="B94" s="929"/>
      <c r="C94" s="959" t="s">
        <v>10</v>
      </c>
      <c r="D94" s="978">
        <f>D23</f>
        <v>115.83227078339442</v>
      </c>
      <c r="E94" t="s">
        <v>28</v>
      </c>
      <c r="G94" s="979"/>
      <c r="K94" s="930"/>
    </row>
    <row r="95" spans="2:11" ht="15.75" customHeight="1" x14ac:dyDescent="0.3">
      <c r="B95" s="929"/>
      <c r="K95" s="930"/>
    </row>
    <row r="96" spans="2:11" ht="15.75" customHeight="1" x14ac:dyDescent="0.3">
      <c r="B96" s="929"/>
      <c r="C96" s="933" t="s">
        <v>1791</v>
      </c>
      <c r="D96" s="959"/>
      <c r="K96" s="930"/>
    </row>
    <row r="97" spans="2:11" ht="15.75" customHeight="1" x14ac:dyDescent="0.3">
      <c r="B97" s="929"/>
      <c r="C97" s="959" t="s">
        <v>10</v>
      </c>
      <c r="D97" t="s">
        <v>1797</v>
      </c>
      <c r="K97" s="930"/>
    </row>
    <row r="98" spans="2:11" ht="15.75" customHeight="1" x14ac:dyDescent="0.3">
      <c r="B98" s="929"/>
      <c r="C98" s="959" t="s">
        <v>10</v>
      </c>
      <c r="D98" s="980">
        <f>(D89*D91*2^2)/((D94/1000)*(2*9.8))</f>
        <v>4.4127993602068436</v>
      </c>
      <c r="E98" t="s">
        <v>11</v>
      </c>
      <c r="K98" s="930"/>
    </row>
    <row r="99" spans="2:11" ht="15.75" customHeight="1" x14ac:dyDescent="0.3">
      <c r="B99" s="935"/>
      <c r="C99" s="937"/>
      <c r="D99" s="937"/>
      <c r="E99" s="937"/>
      <c r="F99" s="937"/>
      <c r="G99" s="937"/>
      <c r="H99" s="937"/>
      <c r="I99" s="937"/>
      <c r="J99" s="937"/>
      <c r="K99" s="938"/>
    </row>
    <row r="100" spans="2:11" ht="15.75" customHeight="1" x14ac:dyDescent="0.3">
      <c r="B100" s="952" t="s">
        <v>175</v>
      </c>
      <c r="C100" s="981" t="s">
        <v>1798</v>
      </c>
      <c r="D100" s="953"/>
      <c r="E100" s="982"/>
      <c r="F100" s="953"/>
      <c r="G100" s="953"/>
      <c r="H100" s="953"/>
      <c r="I100" s="953"/>
      <c r="J100" s="953"/>
      <c r="K100" s="954"/>
    </row>
    <row r="101" spans="2:11" ht="15.75" customHeight="1" x14ac:dyDescent="0.3">
      <c r="B101" s="929"/>
      <c r="C101" s="933"/>
      <c r="E101" s="933"/>
      <c r="K101" s="930"/>
    </row>
    <row r="102" spans="2:11" ht="15.75" customHeight="1" x14ac:dyDescent="0.3">
      <c r="B102" s="929"/>
      <c r="C102" s="983" t="s">
        <v>1679</v>
      </c>
      <c r="D102" s="1349" t="s">
        <v>1680</v>
      </c>
      <c r="E102" s="1349"/>
      <c r="F102" s="1349"/>
      <c r="G102" s="983" t="s">
        <v>1681</v>
      </c>
      <c r="H102" s="983" t="s">
        <v>1682</v>
      </c>
      <c r="I102" s="983" t="s">
        <v>1683</v>
      </c>
      <c r="K102" s="930"/>
    </row>
    <row r="103" spans="2:11" ht="15.75" customHeight="1" x14ac:dyDescent="0.3">
      <c r="B103" s="929"/>
      <c r="C103" s="983">
        <v>1</v>
      </c>
      <c r="D103" s="1350" t="s">
        <v>1695</v>
      </c>
      <c r="E103" s="1350"/>
      <c r="F103" s="1350"/>
      <c r="G103" s="978">
        <v>10</v>
      </c>
      <c r="H103" s="978">
        <v>2</v>
      </c>
      <c r="I103" s="939">
        <f>G103*H103</f>
        <v>20</v>
      </c>
      <c r="K103" s="930"/>
    </row>
    <row r="104" spans="2:11" ht="15.75" customHeight="1" x14ac:dyDescent="0.3">
      <c r="B104" s="929"/>
      <c r="C104" s="983">
        <v>2</v>
      </c>
      <c r="D104" s="1350" t="s">
        <v>1687</v>
      </c>
      <c r="E104" s="1350"/>
      <c r="F104" s="1350"/>
      <c r="G104" s="978">
        <v>6</v>
      </c>
      <c r="H104" s="978">
        <v>0.8</v>
      </c>
      <c r="I104" s="939">
        <f>G104*H104</f>
        <v>4.8000000000000007</v>
      </c>
      <c r="K104" s="930"/>
    </row>
    <row r="105" spans="2:11" ht="15.75" customHeight="1" x14ac:dyDescent="0.3">
      <c r="B105" s="929"/>
      <c r="C105" s="983">
        <v>3</v>
      </c>
      <c r="D105" s="1350" t="s">
        <v>1688</v>
      </c>
      <c r="E105" s="1350"/>
      <c r="F105" s="1350"/>
      <c r="G105" s="978">
        <v>10</v>
      </c>
      <c r="H105" s="978">
        <v>0.5</v>
      </c>
      <c r="I105" s="939">
        <f>G105*H105</f>
        <v>5</v>
      </c>
      <c r="K105" s="930"/>
    </row>
    <row r="106" spans="2:11" ht="15.75" customHeight="1" x14ac:dyDescent="0.3">
      <c r="B106" s="929"/>
      <c r="H106" s="978" t="s">
        <v>1799</v>
      </c>
      <c r="I106" s="939">
        <f>SUM(I103:I105)</f>
        <v>29.8</v>
      </c>
      <c r="K106" s="930"/>
    </row>
    <row r="107" spans="2:11" ht="15.75" customHeight="1" x14ac:dyDescent="0.3">
      <c r="B107" s="929"/>
      <c r="K107" s="930"/>
    </row>
    <row r="108" spans="2:11" ht="15.75" customHeight="1" x14ac:dyDescent="0.3">
      <c r="B108" s="929"/>
      <c r="C108" s="933" t="s">
        <v>1800</v>
      </c>
      <c r="K108" s="930"/>
    </row>
    <row r="109" spans="2:11" ht="15.75" customHeight="1" x14ac:dyDescent="0.3">
      <c r="B109" s="929"/>
      <c r="C109" s="959" t="s">
        <v>10</v>
      </c>
      <c r="D109" t="s">
        <v>1801</v>
      </c>
      <c r="K109" s="930"/>
    </row>
    <row r="110" spans="2:11" ht="15.75" customHeight="1" x14ac:dyDescent="0.3">
      <c r="B110" s="929"/>
      <c r="C110" s="959" t="s">
        <v>10</v>
      </c>
      <c r="D110" s="980">
        <f>I106*2^2 /(2*9.8)</f>
        <v>6.0816326530612246</v>
      </c>
      <c r="E110" t="s">
        <v>11</v>
      </c>
      <c r="K110" s="930"/>
    </row>
    <row r="111" spans="2:11" ht="15.75" customHeight="1" x14ac:dyDescent="0.3">
      <c r="B111" s="935"/>
      <c r="C111" s="937"/>
      <c r="D111" s="937"/>
      <c r="E111" s="937"/>
      <c r="F111" s="937"/>
      <c r="G111" s="937"/>
      <c r="H111" s="937"/>
      <c r="I111" s="937"/>
      <c r="J111" s="937"/>
      <c r="K111" s="938"/>
    </row>
    <row r="112" spans="2:11" ht="15.75" customHeight="1" x14ac:dyDescent="0.3">
      <c r="B112" s="952" t="s">
        <v>358</v>
      </c>
      <c r="C112" s="960" t="s">
        <v>1802</v>
      </c>
      <c r="D112" s="953"/>
      <c r="E112" s="953"/>
      <c r="F112" s="953"/>
      <c r="G112" s="953"/>
      <c r="H112" s="953"/>
      <c r="I112" s="953"/>
      <c r="J112" s="953"/>
      <c r="K112" s="954"/>
    </row>
    <row r="113" spans="2:11" ht="15.75" customHeight="1" x14ac:dyDescent="0.3">
      <c r="B113" s="929"/>
      <c r="C113" s="959" t="s">
        <v>10</v>
      </c>
      <c r="D113" t="s">
        <v>1692</v>
      </c>
      <c r="K113" s="930"/>
    </row>
    <row r="114" spans="2:11" ht="15.75" customHeight="1" x14ac:dyDescent="0.3">
      <c r="B114" s="929"/>
      <c r="C114" s="959" t="s">
        <v>10</v>
      </c>
      <c r="D114" s="980">
        <f>D98+D110</f>
        <v>10.494432013268067</v>
      </c>
      <c r="E114" t="s">
        <v>11</v>
      </c>
      <c r="K114" s="930"/>
    </row>
    <row r="115" spans="2:11" ht="15.75" customHeight="1" x14ac:dyDescent="0.3">
      <c r="B115" s="935"/>
      <c r="C115" s="984"/>
      <c r="D115" s="985"/>
      <c r="E115" s="937"/>
      <c r="F115" s="937"/>
      <c r="G115" s="937"/>
      <c r="H115" s="937"/>
      <c r="I115" s="937"/>
      <c r="J115" s="937"/>
      <c r="K115" s="938"/>
    </row>
    <row r="117" spans="2:11" ht="15.75" customHeight="1" x14ac:dyDescent="0.3">
      <c r="B117" s="970" t="s">
        <v>1803</v>
      </c>
      <c r="C117" s="953"/>
      <c r="D117" s="953"/>
      <c r="E117" s="953"/>
      <c r="F117" s="953"/>
      <c r="G117" s="953"/>
      <c r="H117" s="953"/>
      <c r="I117" s="953"/>
      <c r="J117" s="953"/>
      <c r="K117" s="954"/>
    </row>
    <row r="118" spans="2:11" ht="15.75" customHeight="1" x14ac:dyDescent="0.3">
      <c r="B118" s="973" t="s">
        <v>174</v>
      </c>
      <c r="C118" s="974" t="s">
        <v>1791</v>
      </c>
      <c r="D118" s="957"/>
      <c r="E118" s="957"/>
      <c r="F118" s="957"/>
      <c r="G118" s="957"/>
      <c r="H118" s="957"/>
      <c r="I118" s="957"/>
      <c r="J118" s="957"/>
      <c r="K118" s="958"/>
    </row>
    <row r="119" spans="2:11" ht="15.75" customHeight="1" x14ac:dyDescent="0.3">
      <c r="B119" s="929"/>
      <c r="C119" s="933"/>
      <c r="K119" s="930"/>
    </row>
    <row r="120" spans="2:11" ht="15.75" customHeight="1" x14ac:dyDescent="0.3">
      <c r="B120" s="929"/>
      <c r="C120" s="933" t="s">
        <v>1771</v>
      </c>
      <c r="K120" s="930"/>
    </row>
    <row r="121" spans="2:11" ht="15.75" customHeight="1" x14ac:dyDescent="0.3">
      <c r="B121" s="929"/>
      <c r="C121" s="959" t="s">
        <v>1792</v>
      </c>
      <c r="D121" t="s">
        <v>1804</v>
      </c>
      <c r="K121" s="930"/>
    </row>
    <row r="122" spans="2:11" ht="15.75" customHeight="1" x14ac:dyDescent="0.3">
      <c r="B122" s="929"/>
      <c r="C122" s="959" t="s">
        <v>10</v>
      </c>
      <c r="D122">
        <f>0.02+0.0005/(D94/1000)</f>
        <v>2.4316586359038033E-2</v>
      </c>
      <c r="K122" s="930"/>
    </row>
    <row r="123" spans="2:11" ht="15.75" customHeight="1" x14ac:dyDescent="0.3">
      <c r="B123" s="929"/>
      <c r="C123" s="959" t="s">
        <v>1750</v>
      </c>
      <c r="D123" t="s">
        <v>1805</v>
      </c>
      <c r="K123" s="930"/>
    </row>
    <row r="124" spans="2:11" ht="15.75" customHeight="1" x14ac:dyDescent="0.3">
      <c r="B124" s="929"/>
      <c r="C124" s="959" t="s">
        <v>10</v>
      </c>
      <c r="D124" s="986">
        <v>17</v>
      </c>
      <c r="E124" t="s">
        <v>11</v>
      </c>
      <c r="K124" s="930"/>
    </row>
    <row r="125" spans="2:11" ht="15.75" customHeight="1" x14ac:dyDescent="0.3">
      <c r="B125" s="929"/>
      <c r="C125" s="959" t="s">
        <v>1794</v>
      </c>
      <c r="D125" s="978">
        <v>2</v>
      </c>
      <c r="E125" t="s">
        <v>129</v>
      </c>
      <c r="K125" s="930"/>
    </row>
    <row r="126" spans="2:11" ht="15.75" customHeight="1" x14ac:dyDescent="0.3">
      <c r="B126" s="929"/>
      <c r="C126" s="959" t="s">
        <v>1795</v>
      </c>
      <c r="D126" s="978" t="s">
        <v>1796</v>
      </c>
      <c r="K126" s="930"/>
    </row>
    <row r="127" spans="2:11" ht="15.75" customHeight="1" x14ac:dyDescent="0.3">
      <c r="B127" s="929"/>
      <c r="C127" s="959" t="s">
        <v>10</v>
      </c>
      <c r="D127" s="978">
        <f>D94</f>
        <v>115.83227078339442</v>
      </c>
      <c r="E127" t="s">
        <v>28</v>
      </c>
      <c r="K127" s="930"/>
    </row>
    <row r="128" spans="2:11" ht="15.75" customHeight="1" x14ac:dyDescent="0.3">
      <c r="B128" s="929"/>
      <c r="K128" s="930"/>
    </row>
    <row r="129" spans="2:11" ht="15.75" customHeight="1" x14ac:dyDescent="0.3">
      <c r="B129" s="929"/>
      <c r="C129" s="933" t="s">
        <v>1791</v>
      </c>
      <c r="K129" s="930"/>
    </row>
    <row r="130" spans="2:11" ht="15.75" customHeight="1" x14ac:dyDescent="0.3">
      <c r="B130" s="929"/>
      <c r="C130" s="959" t="s">
        <v>10</v>
      </c>
      <c r="D130" t="s">
        <v>1806</v>
      </c>
      <c r="K130" s="930"/>
    </row>
    <row r="131" spans="2:11" ht="15.75" customHeight="1" x14ac:dyDescent="0.3">
      <c r="B131" s="929"/>
      <c r="C131" s="959" t="s">
        <v>10</v>
      </c>
      <c r="D131" s="980">
        <f>(D122*D124*2^2)/((D127/1000)*(2*9.8))</f>
        <v>0.72832610799530439</v>
      </c>
      <c r="E131" t="s">
        <v>11</v>
      </c>
      <c r="K131" s="930"/>
    </row>
    <row r="132" spans="2:11" ht="15.75" customHeight="1" x14ac:dyDescent="0.3">
      <c r="B132" s="935"/>
      <c r="C132" s="984"/>
      <c r="D132" s="985"/>
      <c r="E132" s="937"/>
      <c r="F132" s="937"/>
      <c r="G132" s="937"/>
      <c r="H132" s="937"/>
      <c r="I132" s="937"/>
      <c r="J132" s="937"/>
      <c r="K132" s="938"/>
    </row>
    <row r="133" spans="2:11" ht="15.75" customHeight="1" x14ac:dyDescent="0.3">
      <c r="B133" s="952" t="s">
        <v>175</v>
      </c>
      <c r="C133" s="981" t="s">
        <v>1807</v>
      </c>
      <c r="D133" s="953"/>
      <c r="E133" s="953"/>
      <c r="F133" s="953"/>
      <c r="G133" s="953"/>
      <c r="H133" s="953"/>
      <c r="I133" s="953"/>
      <c r="J133" s="953"/>
      <c r="K133" s="954"/>
    </row>
    <row r="134" spans="2:11" ht="15.75" customHeight="1" x14ac:dyDescent="0.3">
      <c r="B134" s="929"/>
      <c r="C134" s="933"/>
      <c r="K134" s="930"/>
    </row>
    <row r="135" spans="2:11" ht="15.75" customHeight="1" x14ac:dyDescent="0.3">
      <c r="B135" s="929"/>
      <c r="C135" s="983" t="s">
        <v>1679</v>
      </c>
      <c r="D135" s="1349" t="s">
        <v>1680</v>
      </c>
      <c r="E135" s="1349"/>
      <c r="F135" s="1349"/>
      <c r="G135" s="983" t="s">
        <v>1681</v>
      </c>
      <c r="H135" s="983" t="s">
        <v>1682</v>
      </c>
      <c r="I135" s="983" t="s">
        <v>1683</v>
      </c>
      <c r="K135" s="930"/>
    </row>
    <row r="136" spans="2:11" ht="15.75" customHeight="1" x14ac:dyDescent="0.3">
      <c r="B136" s="929"/>
      <c r="C136" s="983">
        <v>1</v>
      </c>
      <c r="D136" s="1350" t="s">
        <v>1695</v>
      </c>
      <c r="E136" s="1350"/>
      <c r="F136" s="1350"/>
      <c r="G136" s="978">
        <v>2</v>
      </c>
      <c r="H136" s="978">
        <v>2</v>
      </c>
      <c r="I136" s="939">
        <f>G136*H136</f>
        <v>4</v>
      </c>
      <c r="K136" s="930"/>
    </row>
    <row r="137" spans="2:11" ht="15.75" customHeight="1" x14ac:dyDescent="0.3">
      <c r="B137" s="929"/>
      <c r="C137" s="983">
        <v>2</v>
      </c>
      <c r="D137" s="1350" t="s">
        <v>1808</v>
      </c>
      <c r="E137" s="1350"/>
      <c r="F137" s="1350"/>
      <c r="G137" s="978">
        <v>1</v>
      </c>
      <c r="H137" s="978">
        <v>0.14000000000000001</v>
      </c>
      <c r="I137" s="939">
        <f>G137*H137</f>
        <v>0.14000000000000001</v>
      </c>
      <c r="K137" s="930"/>
    </row>
    <row r="138" spans="2:11" ht="15.75" customHeight="1" x14ac:dyDescent="0.3">
      <c r="B138" s="929"/>
      <c r="H138" s="978" t="s">
        <v>1799</v>
      </c>
      <c r="I138" s="939">
        <f>SUM(I136:I137)</f>
        <v>4.1399999999999997</v>
      </c>
      <c r="K138" s="930"/>
    </row>
    <row r="139" spans="2:11" ht="15.75" customHeight="1" x14ac:dyDescent="0.3">
      <c r="B139" s="929"/>
      <c r="H139" s="959"/>
      <c r="I139" s="939"/>
      <c r="K139" s="930"/>
    </row>
    <row r="140" spans="2:11" ht="15.75" customHeight="1" x14ac:dyDescent="0.3">
      <c r="B140" s="929"/>
      <c r="C140" s="933" t="s">
        <v>1800</v>
      </c>
      <c r="K140" s="930"/>
    </row>
    <row r="141" spans="2:11" ht="15.75" customHeight="1" x14ac:dyDescent="0.3">
      <c r="B141" s="929"/>
      <c r="C141" s="959" t="s">
        <v>10</v>
      </c>
      <c r="D141" t="s">
        <v>1809</v>
      </c>
      <c r="K141" s="930"/>
    </row>
    <row r="142" spans="2:11" ht="15.75" customHeight="1" x14ac:dyDescent="0.3">
      <c r="B142" s="929"/>
      <c r="C142" s="959" t="s">
        <v>10</v>
      </c>
      <c r="D142" s="980">
        <f>I138*2^2 /(2*9.8)</f>
        <v>0.84489795918367339</v>
      </c>
      <c r="E142" t="s">
        <v>11</v>
      </c>
      <c r="K142" s="930"/>
    </row>
    <row r="143" spans="2:11" ht="15.75" customHeight="1" x14ac:dyDescent="0.3">
      <c r="B143" s="935"/>
      <c r="C143" s="937"/>
      <c r="D143" s="937"/>
      <c r="E143" s="937"/>
      <c r="F143" s="937"/>
      <c r="G143" s="937"/>
      <c r="H143" s="937"/>
      <c r="I143" s="937"/>
      <c r="J143" s="937"/>
      <c r="K143" s="938"/>
    </row>
    <row r="144" spans="2:11" ht="15.75" customHeight="1" x14ac:dyDescent="0.3">
      <c r="B144" s="952" t="s">
        <v>358</v>
      </c>
      <c r="C144" s="960" t="s">
        <v>1810</v>
      </c>
      <c r="D144" s="953"/>
      <c r="E144" s="953"/>
      <c r="F144" s="953"/>
      <c r="G144" s="953"/>
      <c r="H144" s="953"/>
      <c r="I144" s="953"/>
      <c r="J144" s="953"/>
      <c r="K144" s="954"/>
    </row>
    <row r="145" spans="2:11" ht="15.75" customHeight="1" x14ac:dyDescent="0.3">
      <c r="B145" s="929"/>
      <c r="C145" s="959" t="s">
        <v>10</v>
      </c>
      <c r="D145" t="s">
        <v>1692</v>
      </c>
      <c r="K145" s="930"/>
    </row>
    <row r="146" spans="2:11" ht="15.75" customHeight="1" x14ac:dyDescent="0.3">
      <c r="B146" s="929"/>
      <c r="C146" s="959" t="s">
        <v>10</v>
      </c>
      <c r="D146" s="980">
        <f>D142+D131</f>
        <v>1.5732240671789777</v>
      </c>
      <c r="E146" t="s">
        <v>11</v>
      </c>
      <c r="K146" s="930"/>
    </row>
    <row r="147" spans="2:11" ht="15.75" customHeight="1" x14ac:dyDescent="0.3">
      <c r="B147" s="929"/>
      <c r="K147" s="930"/>
    </row>
    <row r="148" spans="2:11" ht="15.75" customHeight="1" x14ac:dyDescent="0.3">
      <c r="B148" s="929"/>
      <c r="C148" s="959"/>
      <c r="D148" s="959" t="s">
        <v>1811</v>
      </c>
      <c r="E148" t="s">
        <v>1812</v>
      </c>
      <c r="K148" s="930"/>
    </row>
    <row r="149" spans="2:11" ht="15.75" customHeight="1" x14ac:dyDescent="0.3">
      <c r="B149" s="929"/>
      <c r="D149" s="959" t="s">
        <v>10</v>
      </c>
      <c r="E149" t="s">
        <v>1813</v>
      </c>
      <c r="K149" s="930"/>
    </row>
    <row r="150" spans="2:11" ht="15.75" customHeight="1" x14ac:dyDescent="0.3">
      <c r="B150" s="935"/>
      <c r="C150" s="937"/>
      <c r="D150" s="984" t="s">
        <v>10</v>
      </c>
      <c r="E150" s="987">
        <f>(D114+D146)</f>
        <v>12.067656080447044</v>
      </c>
      <c r="F150" s="937" t="s">
        <v>11</v>
      </c>
      <c r="G150" s="937"/>
      <c r="H150" s="937"/>
      <c r="I150" s="937"/>
      <c r="J150" s="937"/>
      <c r="K150" s="938"/>
    </row>
  </sheetData>
  <mergeCells count="22">
    <mergeCell ref="D136:F136"/>
    <mergeCell ref="D137:F137"/>
    <mergeCell ref="D102:F102"/>
    <mergeCell ref="D103:F103"/>
    <mergeCell ref="D104:F104"/>
    <mergeCell ref="D105:F105"/>
    <mergeCell ref="D135:F135"/>
    <mergeCell ref="E13:F13"/>
    <mergeCell ref="E14:F14"/>
    <mergeCell ref="E15:F15"/>
    <mergeCell ref="E16:F16"/>
    <mergeCell ref="E17:F17"/>
    <mergeCell ref="E8:F8"/>
    <mergeCell ref="E9:F9"/>
    <mergeCell ref="E10:F10"/>
    <mergeCell ref="E11:F11"/>
    <mergeCell ref="E12:F12"/>
    <mergeCell ref="B2:G2"/>
    <mergeCell ref="E4:F4"/>
    <mergeCell ref="E5:F5"/>
    <mergeCell ref="E6:F6"/>
    <mergeCell ref="E7:F7"/>
  </mergeCells>
  <pageMargins left="0.7" right="0.7" top="0.75" bottom="0.75" header="0.511811023622047" footer="0.511811023622047"/>
  <pageSetup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W178"/>
  <sheetViews>
    <sheetView topLeftCell="A131" zoomScale="84" zoomScaleNormal="84" workbookViewId="0">
      <selection activeCell="F184" sqref="F184"/>
    </sheetView>
  </sheetViews>
  <sheetFormatPr defaultColWidth="9" defaultRowHeight="15.6" x14ac:dyDescent="0.3"/>
  <cols>
    <col min="1" max="1" width="6" style="155" customWidth="1"/>
    <col min="2" max="2" width="3.59765625" style="155" customWidth="1"/>
    <col min="3" max="3" width="5.3984375" style="155" customWidth="1"/>
    <col min="4" max="4" width="13.69921875" style="155" customWidth="1"/>
    <col min="5" max="6" width="9" style="155"/>
    <col min="7" max="7" width="9.59765625" style="155" customWidth="1"/>
    <col min="8" max="16384" width="9" style="155"/>
  </cols>
  <sheetData>
    <row r="1" spans="2:23" ht="15.75" customHeight="1" x14ac:dyDescent="0.3"/>
    <row r="2" spans="2:23" ht="15.75" customHeight="1" x14ac:dyDescent="0.3">
      <c r="B2" s="1351" t="s">
        <v>114</v>
      </c>
      <c r="C2" s="1351"/>
      <c r="D2" s="1351"/>
      <c r="E2" s="1351"/>
      <c r="F2" s="1351"/>
      <c r="G2" s="1351"/>
    </row>
    <row r="3" spans="2:23" ht="15.75" customHeight="1" x14ac:dyDescent="0.3">
      <c r="B3" s="217"/>
      <c r="G3" s="168"/>
    </row>
    <row r="4" spans="2:23" ht="15.75" customHeight="1" x14ac:dyDescent="0.3">
      <c r="B4" s="988" t="s">
        <v>116</v>
      </c>
      <c r="C4" s="154"/>
      <c r="D4" s="154"/>
      <c r="E4" s="1352" t="s">
        <v>330</v>
      </c>
      <c r="F4" s="1352"/>
      <c r="G4" s="168"/>
      <c r="M4" s="990"/>
      <c r="N4" s="990"/>
      <c r="O4" s="990"/>
      <c r="P4" s="990"/>
      <c r="Q4" s="990"/>
      <c r="R4" s="990"/>
      <c r="S4" s="191"/>
      <c r="T4" s="191"/>
      <c r="U4" s="191"/>
      <c r="V4" s="191"/>
      <c r="W4" s="191"/>
    </row>
    <row r="5" spans="2:23" ht="15.75" customHeight="1" x14ac:dyDescent="0.3">
      <c r="B5" s="988" t="s">
        <v>118</v>
      </c>
      <c r="C5" s="154"/>
      <c r="D5" s="154"/>
      <c r="E5" s="186" t="e">
        <f>HARVARLD!F6</f>
        <v>#REF!</v>
      </c>
      <c r="F5" s="186"/>
      <c r="G5" s="168" t="s">
        <v>11</v>
      </c>
      <c r="M5" s="990"/>
      <c r="N5" s="990"/>
      <c r="O5" s="990"/>
      <c r="P5" s="990"/>
      <c r="Q5" s="990"/>
      <c r="R5" s="990"/>
      <c r="S5" s="191"/>
      <c r="T5" s="191"/>
      <c r="U5" s="191"/>
      <c r="V5" s="191"/>
      <c r="W5" s="191"/>
    </row>
    <row r="6" spans="2:23" ht="15.75" customHeight="1" x14ac:dyDescent="0.3">
      <c r="B6" s="988" t="s">
        <v>121</v>
      </c>
      <c r="C6" s="154"/>
      <c r="D6" s="154"/>
      <c r="E6" s="186" t="e">
        <f>HARVARLD!F8</f>
        <v>#REF!</v>
      </c>
      <c r="F6" s="186"/>
      <c r="G6" s="168" t="s">
        <v>11</v>
      </c>
      <c r="M6" s="990"/>
      <c r="N6" s="990"/>
      <c r="O6" s="990"/>
      <c r="P6" s="990"/>
      <c r="Q6" s="990"/>
      <c r="R6" s="990"/>
      <c r="S6" s="191"/>
      <c r="T6" s="191"/>
      <c r="U6" s="191"/>
      <c r="V6" s="191"/>
      <c r="W6" s="191"/>
    </row>
    <row r="7" spans="2:23" ht="15.75" customHeight="1" x14ac:dyDescent="0.3">
      <c r="B7" s="988" t="s">
        <v>124</v>
      </c>
      <c r="C7" s="154"/>
      <c r="D7" s="154"/>
      <c r="E7" s="991" t="e">
        <f>HARVARLD!F14</f>
        <v>#REF!</v>
      </c>
      <c r="F7" s="991"/>
      <c r="G7" s="168" t="s">
        <v>11</v>
      </c>
      <c r="M7" s="990"/>
      <c r="N7" s="990"/>
      <c r="O7" s="990"/>
      <c r="P7" s="990"/>
      <c r="Q7" s="990"/>
      <c r="R7" s="990"/>
      <c r="S7" s="191"/>
      <c r="T7" s="191"/>
      <c r="U7" s="191"/>
      <c r="V7" s="191"/>
      <c r="W7" s="191"/>
    </row>
    <row r="8" spans="2:23" ht="15.75" customHeight="1" x14ac:dyDescent="0.3">
      <c r="B8" s="988" t="s">
        <v>12</v>
      </c>
      <c r="C8" s="154"/>
      <c r="D8" s="154"/>
      <c r="E8" s="186">
        <f>HARVARLD!F16</f>
        <v>23.7</v>
      </c>
      <c r="F8" s="186"/>
      <c r="G8" s="168" t="s">
        <v>11</v>
      </c>
    </row>
    <row r="9" spans="2:23" ht="15.75" customHeight="1" x14ac:dyDescent="0.3">
      <c r="B9" s="988" t="s">
        <v>14</v>
      </c>
      <c r="C9" s="154"/>
      <c r="D9" s="154"/>
      <c r="E9" s="186">
        <f>HARVARLD!F23</f>
        <v>9.9469999999999992</v>
      </c>
      <c r="F9" s="186"/>
      <c r="G9" s="168" t="s">
        <v>11</v>
      </c>
    </row>
    <row r="10" spans="2:23" ht="15.75" customHeight="1" x14ac:dyDescent="0.3">
      <c r="B10" s="988" t="s">
        <v>13</v>
      </c>
      <c r="C10" s="154"/>
      <c r="D10" s="154"/>
      <c r="E10" s="186">
        <f>HARVARLD!F25</f>
        <v>13.34</v>
      </c>
      <c r="F10" s="186"/>
      <c r="G10" s="168" t="s">
        <v>11</v>
      </c>
    </row>
    <row r="11" spans="2:23" ht="15.75" customHeight="1" x14ac:dyDescent="0.3">
      <c r="B11" s="988" t="s">
        <v>130</v>
      </c>
      <c r="C11" s="154"/>
      <c r="D11" s="154"/>
      <c r="E11" s="186">
        <f>HARVARLD!F27</f>
        <v>16</v>
      </c>
      <c r="F11" s="186"/>
      <c r="G11" s="168" t="s">
        <v>16</v>
      </c>
    </row>
    <row r="12" spans="2:23" ht="15.75" customHeight="1" x14ac:dyDescent="0.3">
      <c r="B12" s="988" t="s">
        <v>19</v>
      </c>
      <c r="C12" s="154"/>
      <c r="D12" s="154"/>
      <c r="E12" s="186" t="e">
        <f>HARVARLD!F28</f>
        <v>#REF!</v>
      </c>
      <c r="F12" s="186"/>
      <c r="G12" s="168" t="s">
        <v>20</v>
      </c>
    </row>
    <row r="13" spans="2:23" ht="15.75" customHeight="1" x14ac:dyDescent="0.3">
      <c r="B13" s="988" t="s">
        <v>137</v>
      </c>
      <c r="C13" s="154"/>
      <c r="D13" s="154"/>
      <c r="E13" s="186">
        <f>HARVARLD!F30</f>
        <v>0.98199999999999998</v>
      </c>
      <c r="F13" s="186"/>
      <c r="G13" s="168"/>
    </row>
    <row r="14" spans="2:23" ht="15.75" customHeight="1" x14ac:dyDescent="0.3">
      <c r="B14" s="988" t="s">
        <v>140</v>
      </c>
      <c r="C14" s="154"/>
      <c r="D14" s="154"/>
      <c r="E14" s="186">
        <f>HARVARLD!F31</f>
        <v>0.68</v>
      </c>
      <c r="F14" s="186"/>
      <c r="G14" s="168"/>
    </row>
    <row r="15" spans="2:23" ht="15.75" customHeight="1" x14ac:dyDescent="0.3">
      <c r="B15" s="988" t="s">
        <v>141</v>
      </c>
      <c r="C15" s="154"/>
      <c r="D15" s="154"/>
      <c r="E15" s="186">
        <f>HARVARLD!F32</f>
        <v>0.69</v>
      </c>
      <c r="F15" s="186"/>
      <c r="G15" s="168"/>
    </row>
    <row r="16" spans="2:23" ht="15.75" customHeight="1" x14ac:dyDescent="0.3">
      <c r="B16" s="988" t="s">
        <v>1615</v>
      </c>
      <c r="E16" s="186">
        <v>19.600000000000001</v>
      </c>
      <c r="F16" s="186"/>
      <c r="G16" s="168"/>
    </row>
    <row r="17" spans="2:7" ht="15.75" customHeight="1" x14ac:dyDescent="0.3">
      <c r="B17" s="992" t="s">
        <v>1616</v>
      </c>
      <c r="C17" s="195"/>
      <c r="D17" s="195"/>
      <c r="E17" s="993">
        <v>28</v>
      </c>
      <c r="F17" s="993"/>
      <c r="G17" s="196"/>
    </row>
    <row r="18" spans="2:7" ht="15.75" customHeight="1" x14ac:dyDescent="0.3"/>
    <row r="19" spans="2:7" ht="15.75" customHeight="1" x14ac:dyDescent="0.3">
      <c r="B19" s="155" t="s">
        <v>1814</v>
      </c>
    </row>
    <row r="20" spans="2:7" ht="15.75" customHeight="1" x14ac:dyDescent="0.3">
      <c r="B20" s="154" t="s">
        <v>174</v>
      </c>
      <c r="C20" s="155" t="s">
        <v>1815</v>
      </c>
    </row>
    <row r="21" spans="2:7" ht="15.75" customHeight="1" x14ac:dyDescent="0.3"/>
    <row r="22" spans="2:7" ht="15.75" customHeight="1" x14ac:dyDescent="0.3">
      <c r="G22" s="153"/>
    </row>
    <row r="23" spans="2:7" ht="15.75" customHeight="1" x14ac:dyDescent="0.3">
      <c r="C23" s="153"/>
    </row>
    <row r="24" spans="2:7" ht="15.75" customHeight="1" x14ac:dyDescent="0.3"/>
    <row r="25" spans="2:7" ht="15.75" customHeight="1" x14ac:dyDescent="0.3">
      <c r="C25" s="154" t="s">
        <v>107</v>
      </c>
      <c r="D25" s="154"/>
      <c r="E25" s="154"/>
    </row>
    <row r="26" spans="2:7" ht="15.75" customHeight="1" x14ac:dyDescent="0.3">
      <c r="C26" s="1353" t="s">
        <v>1816</v>
      </c>
      <c r="D26" s="1353"/>
      <c r="E26" s="154">
        <v>1.7</v>
      </c>
      <c r="F26" s="154" t="s">
        <v>11</v>
      </c>
    </row>
    <row r="27" spans="2:7" ht="15.75" customHeight="1" x14ac:dyDescent="0.3">
      <c r="C27" s="1353" t="s">
        <v>1397</v>
      </c>
      <c r="D27" s="1353"/>
      <c r="E27" s="154">
        <v>1.47</v>
      </c>
      <c r="F27" s="154" t="s">
        <v>11</v>
      </c>
    </row>
    <row r="28" spans="2:7" ht="15.75" customHeight="1" x14ac:dyDescent="0.3">
      <c r="C28" s="1353" t="s">
        <v>1817</v>
      </c>
      <c r="D28" s="1353"/>
      <c r="E28" s="154">
        <v>1</v>
      </c>
      <c r="F28" s="154" t="s">
        <v>11</v>
      </c>
    </row>
    <row r="29" spans="2:7" ht="15.75" customHeight="1" x14ac:dyDescent="0.3">
      <c r="C29" s="1354" t="s">
        <v>1818</v>
      </c>
      <c r="D29" s="1354"/>
      <c r="E29" s="994">
        <f>E26*E27*E28</f>
        <v>2.4990000000000001</v>
      </c>
      <c r="F29" s="204" t="s">
        <v>1819</v>
      </c>
    </row>
    <row r="30" spans="2:7" ht="15.75" customHeight="1" x14ac:dyDescent="0.3"/>
    <row r="31" spans="2:7" ht="15.75" customHeight="1" x14ac:dyDescent="0.3">
      <c r="B31" s="167" t="s">
        <v>175</v>
      </c>
      <c r="C31" s="155" t="s">
        <v>1820</v>
      </c>
    </row>
    <row r="32" spans="2:7" ht="15.75" customHeight="1" x14ac:dyDescent="0.3">
      <c r="C32" s="155" t="s">
        <v>1821</v>
      </c>
      <c r="G32" s="155" t="s">
        <v>1822</v>
      </c>
    </row>
    <row r="33" spans="2:7" ht="15.75" customHeight="1" x14ac:dyDescent="0.3">
      <c r="C33" s="153" t="s">
        <v>877</v>
      </c>
      <c r="D33" s="154" t="s">
        <v>1823</v>
      </c>
      <c r="G33" s="155" t="s">
        <v>1824</v>
      </c>
    </row>
    <row r="34" spans="2:7" ht="15.75" customHeight="1" x14ac:dyDescent="0.3">
      <c r="C34" s="153" t="s">
        <v>877</v>
      </c>
      <c r="D34" s="154" t="s">
        <v>1825</v>
      </c>
    </row>
    <row r="35" spans="2:7" ht="15.75" customHeight="1" x14ac:dyDescent="0.3">
      <c r="C35" s="163" t="s">
        <v>877</v>
      </c>
      <c r="D35" s="204">
        <f>E29/1.5</f>
        <v>1.6660000000000001</v>
      </c>
      <c r="E35" s="167" t="s">
        <v>1826</v>
      </c>
    </row>
    <row r="36" spans="2:7" ht="15.75" customHeight="1" x14ac:dyDescent="0.3"/>
    <row r="37" spans="2:7" ht="15.75" customHeight="1" x14ac:dyDescent="0.3">
      <c r="C37" s="155" t="s">
        <v>1827</v>
      </c>
    </row>
    <row r="38" spans="2:7" ht="15.75" customHeight="1" x14ac:dyDescent="0.3">
      <c r="C38" s="153" t="s">
        <v>1313</v>
      </c>
      <c r="D38" s="154" t="s">
        <v>1828</v>
      </c>
    </row>
    <row r="39" spans="2:7" ht="15.75" customHeight="1" x14ac:dyDescent="0.3">
      <c r="B39" s="167"/>
      <c r="C39" s="153" t="s">
        <v>1313</v>
      </c>
      <c r="D39" s="995">
        <f>(D35/3600)/2</f>
        <v>2.3138888888888891E-4</v>
      </c>
      <c r="E39" s="204" t="s">
        <v>1819</v>
      </c>
    </row>
    <row r="40" spans="2:7" ht="15.75" customHeight="1" x14ac:dyDescent="0.3"/>
    <row r="41" spans="2:7" ht="15.75" customHeight="1" x14ac:dyDescent="0.3">
      <c r="C41" s="155" t="s">
        <v>1829</v>
      </c>
    </row>
    <row r="42" spans="2:7" ht="15.75" customHeight="1" x14ac:dyDescent="0.3">
      <c r="C42" s="153" t="s">
        <v>1313</v>
      </c>
      <c r="D42" s="155" t="s">
        <v>1830</v>
      </c>
    </row>
    <row r="43" spans="2:7" ht="15.75" customHeight="1" x14ac:dyDescent="0.3">
      <c r="C43" s="153" t="s">
        <v>1831</v>
      </c>
      <c r="D43" s="995">
        <f>SQRT(D39/((1/4)*(22/7)))</f>
        <v>1.7160855150456504E-2</v>
      </c>
      <c r="E43" s="167" t="s">
        <v>11</v>
      </c>
    </row>
    <row r="44" spans="2:7" ht="15.75" customHeight="1" x14ac:dyDescent="0.3">
      <c r="D44" s="996">
        <f>D43*1000</f>
        <v>17.160855150456506</v>
      </c>
      <c r="E44" s="167" t="s">
        <v>28</v>
      </c>
    </row>
    <row r="45" spans="2:7" ht="15.75" customHeight="1" x14ac:dyDescent="0.3"/>
    <row r="46" spans="2:7" ht="15.75" customHeight="1" x14ac:dyDescent="0.3">
      <c r="C46" s="155" t="s">
        <v>1832</v>
      </c>
    </row>
    <row r="47" spans="2:7" ht="15.75" customHeight="1" x14ac:dyDescent="0.3">
      <c r="C47" s="155" t="s">
        <v>1649</v>
      </c>
      <c r="F47" s="153">
        <v>18.88</v>
      </c>
      <c r="G47" s="155" t="s">
        <v>28</v>
      </c>
    </row>
    <row r="48" spans="2:7" ht="15.75" customHeight="1" x14ac:dyDescent="0.3">
      <c r="C48" s="155" t="s">
        <v>1778</v>
      </c>
      <c r="F48" s="153">
        <v>3.91</v>
      </c>
      <c r="G48" s="155" t="s">
        <v>28</v>
      </c>
    </row>
    <row r="49" spans="2:9" ht="15.75" customHeight="1" x14ac:dyDescent="0.3">
      <c r="C49" s="155" t="s">
        <v>1651</v>
      </c>
      <c r="F49" s="153">
        <v>26.7</v>
      </c>
      <c r="G49" s="155" t="s">
        <v>28</v>
      </c>
    </row>
    <row r="50" spans="2:9" ht="15.75" customHeight="1" x14ac:dyDescent="0.3">
      <c r="C50" s="155" t="s">
        <v>1652</v>
      </c>
      <c r="F50" s="153" t="s">
        <v>1833</v>
      </c>
      <c r="G50" s="155" t="s">
        <v>1834</v>
      </c>
    </row>
    <row r="51" spans="2:9" ht="15.75" customHeight="1" x14ac:dyDescent="0.3"/>
    <row r="52" spans="2:9" ht="15.75" customHeight="1" x14ac:dyDescent="0.3">
      <c r="B52" s="155" t="s">
        <v>1835</v>
      </c>
    </row>
    <row r="53" spans="2:9" ht="15.75" customHeight="1" x14ac:dyDescent="0.3">
      <c r="B53" s="1355" t="s">
        <v>1836</v>
      </c>
      <c r="C53" s="1355"/>
      <c r="D53" s="1355"/>
      <c r="E53" s="1355"/>
      <c r="F53" s="1355"/>
      <c r="G53" s="1355"/>
      <c r="H53" s="1355"/>
      <c r="I53" s="1355"/>
    </row>
    <row r="54" spans="2:9" ht="15.75" customHeight="1" x14ac:dyDescent="0.3">
      <c r="B54" s="155" t="s">
        <v>1837</v>
      </c>
    </row>
    <row r="55" spans="2:9" ht="15.75" customHeight="1" x14ac:dyDescent="0.3">
      <c r="B55" s="155" t="s">
        <v>174</v>
      </c>
      <c r="C55" s="155" t="s">
        <v>1838</v>
      </c>
    </row>
    <row r="56" spans="2:9" ht="15.75" customHeight="1" x14ac:dyDescent="0.3">
      <c r="C56" s="155" t="s">
        <v>1839</v>
      </c>
    </row>
    <row r="57" spans="2:9" ht="15.75" customHeight="1" x14ac:dyDescent="0.3">
      <c r="C57" s="155" t="s">
        <v>1840</v>
      </c>
    </row>
    <row r="58" spans="2:9" ht="15.75" customHeight="1" x14ac:dyDescent="0.3">
      <c r="C58" s="997" t="s">
        <v>1841</v>
      </c>
      <c r="D58" s="155" t="s">
        <v>1842</v>
      </c>
    </row>
    <row r="59" spans="2:9" ht="15.75" customHeight="1" x14ac:dyDescent="0.3">
      <c r="C59" s="155" t="s">
        <v>107</v>
      </c>
    </row>
    <row r="60" spans="2:9" ht="15.75" customHeight="1" x14ac:dyDescent="0.3">
      <c r="C60" s="153" t="s">
        <v>1843</v>
      </c>
      <c r="D60" s="155" t="s">
        <v>1844</v>
      </c>
    </row>
    <row r="61" spans="2:9" ht="15.75" customHeight="1" x14ac:dyDescent="0.3">
      <c r="C61" s="153"/>
      <c r="D61" s="155" t="s">
        <v>1845</v>
      </c>
    </row>
    <row r="62" spans="2:9" ht="15.75" customHeight="1" x14ac:dyDescent="0.3">
      <c r="C62" s="153" t="s">
        <v>1485</v>
      </c>
      <c r="D62" s="155" t="s">
        <v>1846</v>
      </c>
    </row>
    <row r="63" spans="2:9" ht="15.75" customHeight="1" x14ac:dyDescent="0.3">
      <c r="C63" s="153" t="s">
        <v>780</v>
      </c>
      <c r="D63" s="155" t="s">
        <v>1847</v>
      </c>
    </row>
    <row r="64" spans="2:9" ht="15.75" customHeight="1" x14ac:dyDescent="0.3">
      <c r="C64" s="153" t="s">
        <v>1322</v>
      </c>
      <c r="D64" s="155" t="s">
        <v>1848</v>
      </c>
    </row>
    <row r="65" spans="3:5" ht="15.75" customHeight="1" x14ac:dyDescent="0.3">
      <c r="C65" s="153" t="s">
        <v>10</v>
      </c>
      <c r="D65" s="155">
        <v>2970</v>
      </c>
      <c r="E65" s="155" t="s">
        <v>260</v>
      </c>
    </row>
    <row r="66" spans="3:5" ht="15.75" customHeight="1" x14ac:dyDescent="0.3"/>
    <row r="67" spans="3:5" ht="15.75" customHeight="1" x14ac:dyDescent="0.3">
      <c r="C67" s="153" t="s">
        <v>1849</v>
      </c>
      <c r="D67" s="155" t="s">
        <v>1850</v>
      </c>
    </row>
    <row r="68" spans="3:5" ht="15.75" customHeight="1" x14ac:dyDescent="0.3">
      <c r="C68" s="153" t="s">
        <v>10</v>
      </c>
      <c r="D68" s="155">
        <v>191.8</v>
      </c>
      <c r="E68" s="155" t="s">
        <v>1851</v>
      </c>
    </row>
    <row r="69" spans="3:5" ht="15.75" customHeight="1" x14ac:dyDescent="0.3">
      <c r="C69" s="153" t="s">
        <v>1852</v>
      </c>
      <c r="D69" s="155">
        <f>D68/1000</f>
        <v>0.1918</v>
      </c>
      <c r="E69" s="155" t="s">
        <v>1853</v>
      </c>
    </row>
    <row r="70" spans="3:5" ht="15.75" customHeight="1" x14ac:dyDescent="0.3"/>
    <row r="71" spans="3:5" ht="15.75" customHeight="1" x14ac:dyDescent="0.3">
      <c r="C71" s="155" t="s">
        <v>1854</v>
      </c>
    </row>
    <row r="72" spans="3:5" ht="15.75" customHeight="1" x14ac:dyDescent="0.3">
      <c r="C72" s="153" t="s">
        <v>1855</v>
      </c>
      <c r="D72" s="155" t="s">
        <v>1856</v>
      </c>
    </row>
    <row r="73" spans="3:5" ht="15.75" customHeight="1" x14ac:dyDescent="0.3">
      <c r="C73" s="153" t="s">
        <v>10</v>
      </c>
      <c r="D73" s="155">
        <f>D65*D68*24*1.4*10^-6</f>
        <v>19.140105599999998</v>
      </c>
      <c r="E73" s="155" t="s">
        <v>134</v>
      </c>
    </row>
    <row r="74" spans="3:5" ht="15.75" customHeight="1" x14ac:dyDescent="0.3">
      <c r="C74" s="155" t="s">
        <v>10</v>
      </c>
      <c r="D74" s="155">
        <f>D73/D69</f>
        <v>99.791999999999987</v>
      </c>
      <c r="E74" s="155" t="s">
        <v>1857</v>
      </c>
    </row>
    <row r="75" spans="3:5" ht="15.75" customHeight="1" x14ac:dyDescent="0.3"/>
    <row r="76" spans="3:5" ht="15.75" customHeight="1" x14ac:dyDescent="0.3">
      <c r="C76" s="153" t="s">
        <v>1858</v>
      </c>
      <c r="D76" s="155" t="s">
        <v>1859</v>
      </c>
    </row>
    <row r="77" spans="3:5" ht="15.75" customHeight="1" x14ac:dyDescent="0.3">
      <c r="C77" s="155" t="s">
        <v>10</v>
      </c>
      <c r="D77" s="155">
        <v>0.6</v>
      </c>
      <c r="E77" s="155" t="s">
        <v>1851</v>
      </c>
    </row>
    <row r="78" spans="3:5" ht="15.75" customHeight="1" x14ac:dyDescent="0.3">
      <c r="C78" s="155" t="s">
        <v>1860</v>
      </c>
      <c r="D78" s="155">
        <f>D77/1000</f>
        <v>5.9999999999999995E-4</v>
      </c>
      <c r="E78" s="155" t="s">
        <v>1853</v>
      </c>
    </row>
    <row r="79" spans="3:5" ht="15.75" customHeight="1" x14ac:dyDescent="0.3"/>
    <row r="80" spans="3:5" ht="15.75" customHeight="1" x14ac:dyDescent="0.3">
      <c r="C80" s="155" t="s">
        <v>1861</v>
      </c>
    </row>
    <row r="81" spans="2:11" ht="15.75" customHeight="1" x14ac:dyDescent="0.3">
      <c r="C81" s="153" t="s">
        <v>1862</v>
      </c>
      <c r="D81" s="155" t="s">
        <v>1863</v>
      </c>
    </row>
    <row r="82" spans="2:11" ht="15.75" customHeight="1" x14ac:dyDescent="0.3">
      <c r="C82" s="153" t="s">
        <v>10</v>
      </c>
      <c r="D82" s="155">
        <f>0.15*D74</f>
        <v>14.968799999999998</v>
      </c>
      <c r="E82" s="155" t="s">
        <v>1857</v>
      </c>
    </row>
    <row r="83" spans="2:11" ht="15.75" customHeight="1" x14ac:dyDescent="0.4">
      <c r="C83" s="153" t="s">
        <v>1864</v>
      </c>
      <c r="D83" s="155">
        <f>D74+D82</f>
        <v>114.76079999999999</v>
      </c>
    </row>
    <row r="84" spans="2:11" ht="15.75" customHeight="1" x14ac:dyDescent="0.3">
      <c r="B84" s="998"/>
      <c r="C84" s="167"/>
      <c r="H84" s="999"/>
      <c r="I84" s="999"/>
      <c r="J84" s="999"/>
      <c r="K84" s="999"/>
    </row>
    <row r="85" spans="2:11" ht="15.75" customHeight="1" x14ac:dyDescent="0.3">
      <c r="B85" s="167"/>
      <c r="C85" s="154" t="s">
        <v>1865</v>
      </c>
      <c r="H85" s="999"/>
      <c r="I85" s="999"/>
      <c r="J85" s="999"/>
      <c r="K85" s="999"/>
    </row>
    <row r="86" spans="2:11" ht="15.75" customHeight="1" x14ac:dyDescent="0.3">
      <c r="C86" s="155" t="s">
        <v>1866</v>
      </c>
      <c r="D86" s="155" t="s">
        <v>1842</v>
      </c>
    </row>
    <row r="87" spans="2:11" ht="15.75" customHeight="1" x14ac:dyDescent="0.3">
      <c r="C87" s="154"/>
      <c r="D87" s="155">
        <f>0.015*D83*E9</f>
        <v>17.122885163999996</v>
      </c>
      <c r="E87" s="155" t="s">
        <v>1857</v>
      </c>
    </row>
    <row r="88" spans="2:11" ht="15.75" customHeight="1" x14ac:dyDescent="0.3">
      <c r="C88" s="153"/>
    </row>
    <row r="89" spans="2:11" ht="15.75" customHeight="1" x14ac:dyDescent="0.3">
      <c r="C89" s="154" t="s">
        <v>1867</v>
      </c>
    </row>
    <row r="90" spans="2:11" ht="15.75" customHeight="1" x14ac:dyDescent="0.3">
      <c r="C90" s="1353" t="s">
        <v>1816</v>
      </c>
      <c r="D90" s="1353"/>
      <c r="E90" s="154">
        <v>2.35</v>
      </c>
      <c r="F90" s="154" t="s">
        <v>11</v>
      </c>
    </row>
    <row r="91" spans="2:11" ht="15.75" customHeight="1" x14ac:dyDescent="0.3">
      <c r="C91" s="1353" t="s">
        <v>1397</v>
      </c>
      <c r="D91" s="1353"/>
      <c r="E91" s="154">
        <v>2.35</v>
      </c>
      <c r="F91" s="154" t="s">
        <v>11</v>
      </c>
    </row>
    <row r="92" spans="2:11" ht="15.75" customHeight="1" x14ac:dyDescent="0.3">
      <c r="C92" s="1353" t="s">
        <v>1817</v>
      </c>
      <c r="D92" s="1353"/>
      <c r="E92" s="154">
        <v>2.34</v>
      </c>
      <c r="F92" s="154" t="s">
        <v>11</v>
      </c>
    </row>
    <row r="93" spans="2:11" ht="15.75" customHeight="1" x14ac:dyDescent="0.3">
      <c r="C93" s="1354" t="s">
        <v>1818</v>
      </c>
      <c r="D93" s="1354"/>
      <c r="E93" s="1000">
        <f>E90*E91*E92</f>
        <v>12.922650000000001</v>
      </c>
      <c r="F93" s="204" t="s">
        <v>1819</v>
      </c>
    </row>
    <row r="94" spans="2:11" ht="15.75" customHeight="1" x14ac:dyDescent="0.3">
      <c r="C94" s="153"/>
      <c r="D94" s="203"/>
      <c r="G94" s="1001"/>
    </row>
    <row r="95" spans="2:11" ht="15.75" customHeight="1" x14ac:dyDescent="0.3">
      <c r="C95" s="155" t="s">
        <v>1868</v>
      </c>
    </row>
    <row r="96" spans="2:11" ht="15.75" customHeight="1" x14ac:dyDescent="0.3">
      <c r="C96" s="154"/>
      <c r="D96" s="153"/>
    </row>
    <row r="97" spans="2:9" ht="15.75" customHeight="1" x14ac:dyDescent="0.3">
      <c r="C97" s="153"/>
    </row>
    <row r="98" spans="2:9" ht="15.75" customHeight="1" x14ac:dyDescent="0.3">
      <c r="C98" s="153"/>
      <c r="D98" s="1002"/>
    </row>
    <row r="99" spans="2:9" ht="15.75" customHeight="1" x14ac:dyDescent="0.3"/>
    <row r="100" spans="2:9" ht="15.75" customHeight="1" x14ac:dyDescent="0.3">
      <c r="B100" s="167"/>
      <c r="C100" s="204"/>
      <c r="E100" s="154"/>
    </row>
    <row r="101" spans="2:9" ht="15.75" customHeight="1" x14ac:dyDescent="0.3">
      <c r="C101" s="154"/>
      <c r="E101" s="154"/>
    </row>
    <row r="102" spans="2:9" ht="15.75" customHeight="1" x14ac:dyDescent="0.3">
      <c r="C102" s="155" t="s">
        <v>1322</v>
      </c>
      <c r="D102" s="154">
        <v>2970</v>
      </c>
      <c r="E102" s="155" t="s">
        <v>260</v>
      </c>
      <c r="H102" s="203"/>
      <c r="I102" s="203"/>
    </row>
    <row r="103" spans="2:9" ht="15.75" customHeight="1" x14ac:dyDescent="0.3">
      <c r="C103" s="167" t="s">
        <v>1869</v>
      </c>
      <c r="D103" s="163"/>
      <c r="E103" s="167"/>
      <c r="F103" s="204">
        <f>D102/250</f>
        <v>11.88</v>
      </c>
      <c r="G103" s="167" t="s">
        <v>1575</v>
      </c>
      <c r="H103" s="203"/>
      <c r="I103" s="989"/>
    </row>
    <row r="104" spans="2:9" ht="15.75" customHeight="1" x14ac:dyDescent="0.3">
      <c r="C104" s="203"/>
      <c r="D104" s="203"/>
      <c r="E104" s="203"/>
      <c r="F104" s="203"/>
      <c r="G104" s="203"/>
      <c r="H104" s="203"/>
      <c r="I104" s="989"/>
    </row>
    <row r="105" spans="2:9" ht="15.75" customHeight="1" x14ac:dyDescent="0.3">
      <c r="B105" s="154" t="s">
        <v>1870</v>
      </c>
      <c r="D105" s="203"/>
      <c r="E105" s="203"/>
      <c r="F105" s="203"/>
      <c r="G105" s="203"/>
      <c r="H105" s="203"/>
      <c r="I105" s="989"/>
    </row>
    <row r="106" spans="2:9" ht="15.75" customHeight="1" x14ac:dyDescent="0.3">
      <c r="C106" s="155" t="s">
        <v>1871</v>
      </c>
      <c r="D106" s="153"/>
      <c r="E106" s="203"/>
      <c r="H106" s="203"/>
      <c r="I106" s="989"/>
    </row>
    <row r="107" spans="2:9" ht="15.75" customHeight="1" x14ac:dyDescent="0.3">
      <c r="C107" s="155" t="s">
        <v>1872</v>
      </c>
      <c r="F107" s="155" t="s">
        <v>1873</v>
      </c>
    </row>
    <row r="108" spans="2:9" ht="15.75" customHeight="1" x14ac:dyDescent="0.3">
      <c r="E108" s="203" t="s">
        <v>10</v>
      </c>
      <c r="F108" s="154">
        <v>33.97</v>
      </c>
      <c r="G108" s="155" t="s">
        <v>11</v>
      </c>
    </row>
    <row r="109" spans="2:9" ht="15.75" customHeight="1" x14ac:dyDescent="0.3">
      <c r="C109" s="155" t="s">
        <v>1874</v>
      </c>
      <c r="D109" s="153"/>
    </row>
    <row r="110" spans="2:9" ht="15.75" customHeight="1" x14ac:dyDescent="0.3">
      <c r="C110" s="155" t="s">
        <v>10</v>
      </c>
      <c r="D110" s="203">
        <v>0</v>
      </c>
      <c r="E110" s="155" t="s">
        <v>11</v>
      </c>
      <c r="F110" s="1003" t="s">
        <v>1665</v>
      </c>
    </row>
    <row r="111" spans="2:9" ht="15.75" customHeight="1" x14ac:dyDescent="0.3">
      <c r="C111" s="155" t="s">
        <v>1875</v>
      </c>
      <c r="D111" s="153"/>
      <c r="E111" s="167"/>
    </row>
    <row r="112" spans="2:9" ht="15.75" customHeight="1" x14ac:dyDescent="0.3">
      <c r="B112" s="167"/>
      <c r="C112" s="155" t="s">
        <v>1876</v>
      </c>
      <c r="F112" s="203">
        <v>0</v>
      </c>
      <c r="G112" s="155" t="s">
        <v>11</v>
      </c>
    </row>
    <row r="113" spans="2:7" ht="15.75" customHeight="1" x14ac:dyDescent="0.3">
      <c r="C113" s="155" t="s">
        <v>1877</v>
      </c>
      <c r="D113" s="153"/>
    </row>
    <row r="114" spans="2:7" ht="15.75" customHeight="1" x14ac:dyDescent="0.3">
      <c r="C114" s="155" t="s">
        <v>1878</v>
      </c>
    </row>
    <row r="115" spans="2:7" ht="15.75" customHeight="1" x14ac:dyDescent="0.3">
      <c r="C115" s="1003" t="s">
        <v>1879</v>
      </c>
      <c r="D115" s="1003"/>
      <c r="E115" s="1003"/>
      <c r="F115" s="1003"/>
      <c r="G115" s="1003"/>
    </row>
    <row r="116" spans="2:7" ht="15.75" customHeight="1" x14ac:dyDescent="0.3">
      <c r="C116" s="155" t="s">
        <v>1880</v>
      </c>
    </row>
    <row r="117" spans="2:7" ht="15.75" customHeight="1" x14ac:dyDescent="0.3">
      <c r="B117" s="998"/>
      <c r="C117" s="155" t="s">
        <v>1881</v>
      </c>
      <c r="E117" s="155" t="s">
        <v>1882</v>
      </c>
      <c r="G117" s="155" t="s">
        <v>1883</v>
      </c>
    </row>
    <row r="118" spans="2:7" ht="15.75" customHeight="1" x14ac:dyDescent="0.3">
      <c r="B118" s="167"/>
      <c r="C118" s="204"/>
    </row>
    <row r="119" spans="2:7" ht="15.75" customHeight="1" x14ac:dyDescent="0.3">
      <c r="C119" s="155" t="s">
        <v>1884</v>
      </c>
    </row>
    <row r="120" spans="2:7" ht="15.75" customHeight="1" x14ac:dyDescent="0.3">
      <c r="C120" s="155" t="s">
        <v>1885</v>
      </c>
      <c r="F120" s="155">
        <f>F47/1000</f>
        <v>1.8879999999999997E-2</v>
      </c>
      <c r="G120" s="155" t="s">
        <v>11</v>
      </c>
    </row>
    <row r="121" spans="2:7" ht="15.75" customHeight="1" x14ac:dyDescent="0.3">
      <c r="E121" s="153" t="s">
        <v>1886</v>
      </c>
      <c r="F121" s="155">
        <v>3</v>
      </c>
      <c r="G121" s="155" t="s">
        <v>129</v>
      </c>
    </row>
    <row r="122" spans="2:7" ht="15.75" customHeight="1" x14ac:dyDescent="0.3">
      <c r="E122" s="153" t="s">
        <v>1887</v>
      </c>
      <c r="F122" s="155">
        <v>180</v>
      </c>
      <c r="G122" s="155" t="s">
        <v>1888</v>
      </c>
    </row>
    <row r="123" spans="2:7" ht="15.75" customHeight="1" x14ac:dyDescent="0.3">
      <c r="E123" s="163" t="s">
        <v>10</v>
      </c>
      <c r="F123" s="155">
        <f>F122/1000000</f>
        <v>1.8000000000000001E-4</v>
      </c>
      <c r="G123" s="155" t="s">
        <v>1889</v>
      </c>
    </row>
    <row r="124" spans="2:7" ht="15.75" customHeight="1" x14ac:dyDescent="0.3">
      <c r="E124" s="153" t="s">
        <v>144</v>
      </c>
      <c r="F124" s="155" t="s">
        <v>1890</v>
      </c>
    </row>
    <row r="125" spans="2:7" ht="15.75" customHeight="1" x14ac:dyDescent="0.3">
      <c r="D125" s="153"/>
      <c r="E125" s="153" t="s">
        <v>144</v>
      </c>
      <c r="F125" s="155">
        <f>F121*F120/F123</f>
        <v>314.66666666666663</v>
      </c>
      <c r="G125" s="155" t="s">
        <v>1891</v>
      </c>
    </row>
    <row r="126" spans="2:7" ht="15.75" customHeight="1" x14ac:dyDescent="0.3">
      <c r="C126" s="155" t="s">
        <v>1892</v>
      </c>
      <c r="E126" s="167"/>
    </row>
    <row r="127" spans="2:7" ht="15.75" customHeight="1" x14ac:dyDescent="0.3">
      <c r="E127" s="153" t="s">
        <v>1893</v>
      </c>
      <c r="F127" s="155">
        <f>64/F125</f>
        <v>0.20338983050847459</v>
      </c>
    </row>
    <row r="128" spans="2:7" ht="15.75" customHeight="1" x14ac:dyDescent="0.3">
      <c r="C128" s="155" t="s">
        <v>1894</v>
      </c>
      <c r="D128" s="153"/>
      <c r="F128" s="203">
        <v>18</v>
      </c>
      <c r="G128" s="155" t="s">
        <v>11</v>
      </c>
    </row>
    <row r="129" spans="2:10" ht="15.75" customHeight="1" x14ac:dyDescent="0.3">
      <c r="C129" s="155" t="s">
        <v>1895</v>
      </c>
      <c r="E129" s="163" t="s">
        <v>10</v>
      </c>
      <c r="F129" s="155" t="s">
        <v>1896</v>
      </c>
    </row>
    <row r="130" spans="2:10" ht="15.75" customHeight="1" x14ac:dyDescent="0.3">
      <c r="E130" s="153" t="s">
        <v>10</v>
      </c>
      <c r="F130" s="155">
        <f>F127*F128*9/(0.243078*(2*9.8))</f>
        <v>6.9158015589463258</v>
      </c>
      <c r="G130" s="155" t="s">
        <v>11</v>
      </c>
    </row>
    <row r="131" spans="2:10" ht="15.75" customHeight="1" x14ac:dyDescent="0.3">
      <c r="C131" s="153"/>
      <c r="D131" s="1002"/>
    </row>
    <row r="132" spans="2:10" ht="15.75" customHeight="1" x14ac:dyDescent="0.3">
      <c r="C132" s="155" t="s">
        <v>1897</v>
      </c>
    </row>
    <row r="133" spans="2:10" ht="15.75" customHeight="1" x14ac:dyDescent="0.3">
      <c r="B133" s="167"/>
      <c r="C133" s="1004" t="s">
        <v>1679</v>
      </c>
      <c r="D133" s="1356" t="s">
        <v>1680</v>
      </c>
      <c r="E133" s="1356"/>
      <c r="F133" s="1004" t="s">
        <v>1681</v>
      </c>
      <c r="G133" s="1004" t="s">
        <v>1682</v>
      </c>
      <c r="H133" s="1004" t="s">
        <v>1683</v>
      </c>
    </row>
    <row r="134" spans="2:10" ht="15.75" customHeight="1" x14ac:dyDescent="0.3">
      <c r="C134" s="1004">
        <v>1</v>
      </c>
      <c r="D134" s="1005" t="s">
        <v>1695</v>
      </c>
      <c r="E134" s="1005"/>
      <c r="F134" s="1004">
        <v>14</v>
      </c>
      <c r="G134" s="1004">
        <v>2</v>
      </c>
      <c r="H134" s="1006">
        <f>F134*G134</f>
        <v>28</v>
      </c>
    </row>
    <row r="135" spans="2:10" ht="15.75" customHeight="1" x14ac:dyDescent="0.3">
      <c r="C135" s="1004">
        <v>2</v>
      </c>
      <c r="D135" s="1005" t="s">
        <v>1898</v>
      </c>
      <c r="E135" s="1005"/>
      <c r="F135" s="1004">
        <v>3</v>
      </c>
      <c r="G135" s="1004">
        <v>0.6</v>
      </c>
      <c r="H135" s="1006">
        <f>F135*G135</f>
        <v>1.7999999999999998</v>
      </c>
      <c r="I135" s="203"/>
    </row>
    <row r="136" spans="2:10" ht="15.75" customHeight="1" x14ac:dyDescent="0.3">
      <c r="C136" s="1004">
        <v>3</v>
      </c>
      <c r="D136" s="1005" t="s">
        <v>1687</v>
      </c>
      <c r="E136" s="1005"/>
      <c r="F136" s="1006">
        <v>8</v>
      </c>
      <c r="G136" s="1004">
        <v>0.8</v>
      </c>
      <c r="H136" s="1006">
        <f>F136*G136</f>
        <v>6.4</v>
      </c>
      <c r="I136" s="989"/>
    </row>
    <row r="137" spans="2:10" ht="15.75" customHeight="1" x14ac:dyDescent="0.3">
      <c r="C137" s="1004">
        <v>4</v>
      </c>
      <c r="D137" s="1005" t="s">
        <v>1688</v>
      </c>
      <c r="E137" s="1005"/>
      <c r="F137" s="1006">
        <v>15</v>
      </c>
      <c r="G137" s="1004">
        <v>0.5</v>
      </c>
      <c r="H137" s="1006">
        <f>F137*G137</f>
        <v>7.5</v>
      </c>
      <c r="I137" s="989"/>
    </row>
    <row r="138" spans="2:10" ht="15.75" customHeight="1" x14ac:dyDescent="0.3">
      <c r="C138" s="1004">
        <v>5</v>
      </c>
      <c r="D138" s="1005" t="s">
        <v>1899</v>
      </c>
      <c r="E138" s="1005"/>
      <c r="F138" s="1006">
        <v>2</v>
      </c>
      <c r="G138" s="1004">
        <v>0.75</v>
      </c>
      <c r="H138" s="1006">
        <f>F138*G138</f>
        <v>1.5</v>
      </c>
      <c r="I138" s="989"/>
    </row>
    <row r="139" spans="2:10" ht="15.75" customHeight="1" x14ac:dyDescent="0.3">
      <c r="G139" s="1007" t="s">
        <v>1799</v>
      </c>
      <c r="H139" s="1008">
        <f>SUM(H134:H138)</f>
        <v>45.2</v>
      </c>
      <c r="I139" s="989"/>
    </row>
    <row r="140" spans="2:10" ht="15.75" customHeight="1" x14ac:dyDescent="0.3">
      <c r="C140" s="155" t="s">
        <v>1900</v>
      </c>
    </row>
    <row r="141" spans="2:10" ht="15.75" customHeight="1" x14ac:dyDescent="0.3">
      <c r="C141" s="155" t="s">
        <v>1901</v>
      </c>
      <c r="E141" s="155">
        <f>H139*3^2/(2*9.8)</f>
        <v>20.755102040816325</v>
      </c>
      <c r="F141" s="155" t="s">
        <v>11</v>
      </c>
    </row>
    <row r="142" spans="2:10" ht="15.75" customHeight="1" x14ac:dyDescent="0.3">
      <c r="C142" s="155" t="s">
        <v>1902</v>
      </c>
      <c r="I142" s="203"/>
      <c r="J142" s="208"/>
    </row>
    <row r="143" spans="2:10" ht="15.75" customHeight="1" x14ac:dyDescent="0.3">
      <c r="D143" s="167"/>
      <c r="E143" s="167"/>
      <c r="F143" s="1009" t="s">
        <v>10</v>
      </c>
      <c r="G143" s="1010">
        <f>E141+F130</f>
        <v>27.670903599762653</v>
      </c>
      <c r="H143" s="204" t="s">
        <v>11</v>
      </c>
      <c r="I143" s="167"/>
      <c r="J143" s="167"/>
    </row>
    <row r="144" spans="2:10" ht="15.75" customHeight="1" x14ac:dyDescent="0.3">
      <c r="B144" s="167"/>
    </row>
    <row r="145" spans="3:9" ht="15.75" customHeight="1" x14ac:dyDescent="0.3">
      <c r="C145" s="155" t="s">
        <v>1903</v>
      </c>
      <c r="D145" s="153"/>
    </row>
    <row r="146" spans="3:9" ht="15.75" customHeight="1" x14ac:dyDescent="0.3">
      <c r="C146" s="155" t="s">
        <v>1881</v>
      </c>
      <c r="E146" s="155" t="s">
        <v>1882</v>
      </c>
      <c r="G146" s="155" t="s">
        <v>1883</v>
      </c>
    </row>
    <row r="147" spans="3:9" ht="15.75" customHeight="1" x14ac:dyDescent="0.3"/>
    <row r="148" spans="3:9" ht="15.75" customHeight="1" x14ac:dyDescent="0.3">
      <c r="C148" s="155" t="s">
        <v>1884</v>
      </c>
    </row>
    <row r="149" spans="3:9" ht="15.75" customHeight="1" x14ac:dyDescent="0.3">
      <c r="C149" s="155" t="s">
        <v>1885</v>
      </c>
      <c r="F149" s="155">
        <f>F120</f>
        <v>1.8879999999999997E-2</v>
      </c>
      <c r="G149" s="155" t="s">
        <v>11</v>
      </c>
    </row>
    <row r="150" spans="3:9" ht="15.75" customHeight="1" x14ac:dyDescent="0.3">
      <c r="E150" s="153" t="s">
        <v>1886</v>
      </c>
      <c r="F150" s="155">
        <v>3</v>
      </c>
      <c r="G150" s="155" t="s">
        <v>129</v>
      </c>
    </row>
    <row r="151" spans="3:9" x14ac:dyDescent="0.3">
      <c r="E151" s="153" t="s">
        <v>1887</v>
      </c>
      <c r="F151" s="155">
        <v>180</v>
      </c>
      <c r="G151" s="155" t="s">
        <v>1888</v>
      </c>
    </row>
    <row r="152" spans="3:9" x14ac:dyDescent="0.3">
      <c r="E152" s="163" t="s">
        <v>10</v>
      </c>
      <c r="F152" s="155">
        <f>F151/1000000</f>
        <v>1.8000000000000001E-4</v>
      </c>
      <c r="G152" s="155" t="s">
        <v>1889</v>
      </c>
    </row>
    <row r="153" spans="3:9" x14ac:dyDescent="0.3">
      <c r="E153" s="153" t="s">
        <v>144</v>
      </c>
      <c r="F153" s="155" t="s">
        <v>1890</v>
      </c>
    </row>
    <row r="154" spans="3:9" x14ac:dyDescent="0.3">
      <c r="D154" s="153"/>
      <c r="E154" s="153" t="s">
        <v>144</v>
      </c>
      <c r="F154" s="155">
        <f>F125</f>
        <v>314.66666666666663</v>
      </c>
      <c r="G154" s="155" t="s">
        <v>1891</v>
      </c>
    </row>
    <row r="155" spans="3:9" x14ac:dyDescent="0.3">
      <c r="C155" s="155" t="s">
        <v>1892</v>
      </c>
      <c r="E155" s="167"/>
    </row>
    <row r="156" spans="3:9" x14ac:dyDescent="0.3">
      <c r="E156" s="153" t="s">
        <v>1893</v>
      </c>
      <c r="F156" s="155">
        <f>64/F154</f>
        <v>0.20338983050847459</v>
      </c>
    </row>
    <row r="157" spans="3:9" x14ac:dyDescent="0.3">
      <c r="C157" s="155" t="s">
        <v>1884</v>
      </c>
    </row>
    <row r="158" spans="3:9" x14ac:dyDescent="0.3">
      <c r="C158" s="155" t="s">
        <v>1904</v>
      </c>
      <c r="H158" s="1011">
        <f>D44</f>
        <v>17.160855150456506</v>
      </c>
      <c r="I158" s="155" t="s">
        <v>28</v>
      </c>
    </row>
    <row r="159" spans="3:9" x14ac:dyDescent="0.3">
      <c r="C159" s="155" t="s">
        <v>1905</v>
      </c>
      <c r="H159" s="155">
        <v>23</v>
      </c>
      <c r="I159" s="155" t="s">
        <v>11</v>
      </c>
    </row>
    <row r="160" spans="3:9" x14ac:dyDescent="0.3">
      <c r="C160" s="155" t="s">
        <v>1906</v>
      </c>
    </row>
    <row r="161" spans="3:8" x14ac:dyDescent="0.3">
      <c r="D161" s="153" t="s">
        <v>10</v>
      </c>
      <c r="E161" s="155">
        <f>(F156*H159*3^2)/(H158/100*(2*9.8))</f>
        <v>12.517124817549673</v>
      </c>
      <c r="F161" s="155" t="s">
        <v>11</v>
      </c>
    </row>
    <row r="163" spans="3:8" x14ac:dyDescent="0.3">
      <c r="C163" s="155" t="s">
        <v>1897</v>
      </c>
    </row>
    <row r="164" spans="3:8" x14ac:dyDescent="0.3">
      <c r="C164" s="1004" t="s">
        <v>1679</v>
      </c>
      <c r="D164" s="1356" t="s">
        <v>1680</v>
      </c>
      <c r="E164" s="1356"/>
      <c r="F164" s="1012" t="s">
        <v>1681</v>
      </c>
      <c r="G164" s="1012" t="s">
        <v>1682</v>
      </c>
      <c r="H164" s="1004" t="s">
        <v>1683</v>
      </c>
    </row>
    <row r="165" spans="3:8" x14ac:dyDescent="0.3">
      <c r="C165" s="1013">
        <v>1</v>
      </c>
      <c r="D165" s="1014" t="s">
        <v>1695</v>
      </c>
      <c r="F165" s="1013">
        <v>3</v>
      </c>
      <c r="G165" s="1013">
        <v>2</v>
      </c>
      <c r="H165" s="1015">
        <f t="shared" ref="H165:H170" si="0">F165*G165</f>
        <v>6</v>
      </c>
    </row>
    <row r="166" spans="3:8" x14ac:dyDescent="0.3">
      <c r="C166" s="1013">
        <v>2</v>
      </c>
      <c r="D166" s="1014" t="s">
        <v>1898</v>
      </c>
      <c r="F166" s="1013">
        <v>7</v>
      </c>
      <c r="G166" s="1013">
        <v>0.6</v>
      </c>
      <c r="H166" s="1015">
        <f t="shared" si="0"/>
        <v>4.2</v>
      </c>
    </row>
    <row r="167" spans="3:8" x14ac:dyDescent="0.3">
      <c r="C167" s="1013">
        <v>3</v>
      </c>
      <c r="D167" s="1014" t="s">
        <v>1907</v>
      </c>
      <c r="F167" s="1013">
        <v>1</v>
      </c>
      <c r="G167" s="1013">
        <v>0.14000000000000001</v>
      </c>
      <c r="H167" s="1015">
        <f t="shared" si="0"/>
        <v>0.14000000000000001</v>
      </c>
    </row>
    <row r="168" spans="3:8" x14ac:dyDescent="0.3">
      <c r="C168" s="1013">
        <v>4</v>
      </c>
      <c r="D168" s="1014" t="s">
        <v>1687</v>
      </c>
      <c r="F168" s="1016">
        <v>2</v>
      </c>
      <c r="G168" s="1013">
        <v>0.8</v>
      </c>
      <c r="H168" s="1015">
        <f t="shared" si="0"/>
        <v>1.6</v>
      </c>
    </row>
    <row r="169" spans="3:8" x14ac:dyDescent="0.3">
      <c r="C169" s="1013">
        <v>5</v>
      </c>
      <c r="D169" s="1014" t="s">
        <v>1899</v>
      </c>
      <c r="F169" s="1016">
        <v>8</v>
      </c>
      <c r="G169" s="1013">
        <v>0.75</v>
      </c>
      <c r="H169" s="1015">
        <f t="shared" si="0"/>
        <v>6</v>
      </c>
    </row>
    <row r="170" spans="3:8" x14ac:dyDescent="0.3">
      <c r="C170" s="1017">
        <v>7</v>
      </c>
      <c r="D170" s="1018" t="s">
        <v>1688</v>
      </c>
      <c r="E170" s="1019"/>
      <c r="F170" s="1008">
        <v>0</v>
      </c>
      <c r="G170" s="1007">
        <v>0.5</v>
      </c>
      <c r="H170" s="1008">
        <f t="shared" si="0"/>
        <v>0</v>
      </c>
    </row>
    <row r="171" spans="3:8" x14ac:dyDescent="0.3">
      <c r="G171" s="1012" t="s">
        <v>1799</v>
      </c>
      <c r="H171" s="1006">
        <f>SUM(H165:H170)</f>
        <v>17.939999999999998</v>
      </c>
    </row>
    <row r="173" spans="3:8" x14ac:dyDescent="0.3">
      <c r="C173" s="155" t="s">
        <v>1900</v>
      </c>
    </row>
    <row r="174" spans="3:8" x14ac:dyDescent="0.3">
      <c r="C174" s="155" t="s">
        <v>1901</v>
      </c>
      <c r="E174" s="155">
        <f>H171*3^2/(2*9.8)</f>
        <v>8.2377551020408148</v>
      </c>
      <c r="F174" s="155" t="s">
        <v>11</v>
      </c>
    </row>
    <row r="175" spans="3:8" x14ac:dyDescent="0.3">
      <c r="C175" s="155" t="s">
        <v>1902</v>
      </c>
    </row>
    <row r="176" spans="3:8" x14ac:dyDescent="0.3">
      <c r="D176" s="167"/>
      <c r="E176" s="167"/>
      <c r="F176" s="1009" t="s">
        <v>10</v>
      </c>
      <c r="G176" s="1010">
        <f>E174+E161</f>
        <v>20.754879919590486</v>
      </c>
      <c r="H176" s="204" t="s">
        <v>11</v>
      </c>
    </row>
    <row r="177" spans="3:8" x14ac:dyDescent="0.3">
      <c r="C177" s="155" t="s">
        <v>1908</v>
      </c>
      <c r="F177" s="203" t="s">
        <v>10</v>
      </c>
      <c r="G177" s="1010">
        <f>G143+G176</f>
        <v>48.425783519353139</v>
      </c>
      <c r="H177" s="167" t="s">
        <v>11</v>
      </c>
    </row>
    <row r="178" spans="3:8" x14ac:dyDescent="0.3">
      <c r="C178" s="167" t="s">
        <v>1909</v>
      </c>
      <c r="D178" s="167"/>
      <c r="E178" s="167"/>
      <c r="F178" s="167"/>
      <c r="G178" s="1010">
        <f>G177+F104+D106+F108</f>
        <v>82.395783519353131</v>
      </c>
      <c r="H178" s="167" t="s">
        <v>11</v>
      </c>
    </row>
  </sheetData>
  <mergeCells count="13">
    <mergeCell ref="C93:D93"/>
    <mergeCell ref="D133:E133"/>
    <mergeCell ref="D164:E164"/>
    <mergeCell ref="C29:D29"/>
    <mergeCell ref="B53:I53"/>
    <mergeCell ref="C90:D90"/>
    <mergeCell ref="C91:D91"/>
    <mergeCell ref="C92:D92"/>
    <mergeCell ref="B2:G2"/>
    <mergeCell ref="E4:F4"/>
    <mergeCell ref="C26:D26"/>
    <mergeCell ref="C27:D27"/>
    <mergeCell ref="C28:D28"/>
  </mergeCells>
  <pageMargins left="0.7" right="0.7" top="0.75" bottom="0.75" header="0.511811023622047" footer="0.511811023622047"/>
  <pageSetup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456"/>
  <sheetViews>
    <sheetView showGridLines="0" topLeftCell="A53" zoomScaleNormal="100" workbookViewId="0">
      <selection activeCell="B308" sqref="B308"/>
    </sheetView>
  </sheetViews>
  <sheetFormatPr defaultColWidth="9" defaultRowHeight="12" x14ac:dyDescent="0.3"/>
  <cols>
    <col min="1" max="1" width="15.5" style="551" customWidth="1"/>
    <col min="2" max="2" width="13.09765625" style="551" customWidth="1"/>
    <col min="3" max="3" width="7" style="551" customWidth="1"/>
    <col min="4" max="4" width="13" style="551" customWidth="1"/>
    <col min="5" max="5" width="14.09765625" style="551" customWidth="1"/>
    <col min="6" max="6" width="22.69921875" style="551" customWidth="1"/>
    <col min="7" max="7" width="25.69921875" style="551" customWidth="1"/>
    <col min="8" max="8" width="26.59765625" style="551" customWidth="1"/>
    <col min="9" max="9" width="17.3984375" style="551" customWidth="1"/>
    <col min="10" max="10" width="18.8984375" style="551" customWidth="1"/>
    <col min="11" max="11" width="12.09765625" style="551" customWidth="1"/>
    <col min="12" max="12" width="9.5" style="551" customWidth="1"/>
    <col min="13" max="13" width="11" style="551" customWidth="1"/>
    <col min="14" max="16384" width="9" style="551"/>
  </cols>
  <sheetData>
    <row r="1" spans="1:16" ht="12" customHeight="1" x14ac:dyDescent="0.3">
      <c r="A1" s="1020" t="s">
        <v>1910</v>
      </c>
      <c r="B1" s="1020"/>
      <c r="C1" s="1021"/>
    </row>
    <row r="2" spans="1:16" ht="12" customHeight="1" x14ac:dyDescent="0.3">
      <c r="A2" s="1020"/>
      <c r="B2" s="1020"/>
      <c r="C2" s="1021"/>
    </row>
    <row r="3" spans="1:16" ht="12" customHeight="1" x14ac:dyDescent="0.3">
      <c r="A3" s="1357" t="s">
        <v>1911</v>
      </c>
      <c r="B3" s="1357"/>
      <c r="C3" s="1357"/>
      <c r="D3" s="1357"/>
      <c r="E3" s="1357"/>
      <c r="F3" s="1357"/>
      <c r="G3" s="1357"/>
      <c r="H3" s="1357"/>
      <c r="I3" s="1357"/>
      <c r="J3" s="1357"/>
      <c r="K3" s="1357"/>
      <c r="L3" s="1357"/>
      <c r="M3" s="1357"/>
      <c r="N3" s="1357"/>
      <c r="O3" s="1357"/>
      <c r="P3" s="1357"/>
    </row>
    <row r="4" spans="1:16" ht="12" customHeight="1" x14ac:dyDescent="0.3">
      <c r="A4" s="1358" t="s">
        <v>1912</v>
      </c>
      <c r="B4" s="1359" t="s">
        <v>660</v>
      </c>
      <c r="C4" s="1359"/>
      <c r="D4" s="1359"/>
      <c r="E4" s="1360" t="s">
        <v>1913</v>
      </c>
      <c r="F4" s="1359" t="s">
        <v>1914</v>
      </c>
      <c r="G4" s="1359"/>
      <c r="H4" s="1359" t="s">
        <v>1915</v>
      </c>
      <c r="I4" s="1359"/>
      <c r="J4" s="1359" t="s">
        <v>1916</v>
      </c>
      <c r="K4" s="1359" t="s">
        <v>1917</v>
      </c>
      <c r="L4" s="1359"/>
      <c r="M4" s="1359"/>
      <c r="N4" s="1359"/>
      <c r="O4" s="1359"/>
      <c r="P4" s="1361" t="s">
        <v>1918</v>
      </c>
    </row>
    <row r="5" spans="1:16" ht="12" customHeight="1" x14ac:dyDescent="0.3">
      <c r="A5" s="1358"/>
      <c r="B5" s="1023" t="s">
        <v>1919</v>
      </c>
      <c r="C5" s="1023" t="s">
        <v>1622</v>
      </c>
      <c r="D5" s="1023" t="s">
        <v>1920</v>
      </c>
      <c r="E5" s="1360"/>
      <c r="F5" s="1023" t="s">
        <v>1921</v>
      </c>
      <c r="G5" s="1023" t="s">
        <v>1922</v>
      </c>
      <c r="H5" s="1023" t="s">
        <v>1921</v>
      </c>
      <c r="I5" s="1023" t="s">
        <v>1922</v>
      </c>
      <c r="J5" s="1359"/>
      <c r="K5" s="1024" t="s">
        <v>1923</v>
      </c>
      <c r="L5" s="1023" t="s">
        <v>1924</v>
      </c>
      <c r="M5" s="1023" t="s">
        <v>1925</v>
      </c>
      <c r="N5" s="1023" t="s">
        <v>1926</v>
      </c>
      <c r="O5" s="1023" t="s">
        <v>1927</v>
      </c>
      <c r="P5" s="1361"/>
    </row>
    <row r="6" spans="1:16" ht="12" customHeight="1" x14ac:dyDescent="0.3">
      <c r="A6" s="1358"/>
      <c r="B6" s="1023" t="s">
        <v>11</v>
      </c>
      <c r="C6" s="1023" t="s">
        <v>11</v>
      </c>
      <c r="D6" s="1023" t="s">
        <v>11</v>
      </c>
      <c r="E6" s="1360"/>
      <c r="F6" s="1023" t="s">
        <v>1928</v>
      </c>
      <c r="G6" s="1023" t="s">
        <v>941</v>
      </c>
      <c r="H6" s="1023" t="s">
        <v>1928</v>
      </c>
      <c r="I6" s="1023" t="s">
        <v>941</v>
      </c>
      <c r="J6" s="1359"/>
      <c r="K6" s="1023" t="s">
        <v>1929</v>
      </c>
      <c r="L6" s="1023" t="s">
        <v>1930</v>
      </c>
      <c r="M6" s="1023" t="s">
        <v>1930</v>
      </c>
      <c r="N6" s="1023" t="s">
        <v>1930</v>
      </c>
      <c r="O6" s="1023" t="s">
        <v>1930</v>
      </c>
      <c r="P6" s="1025" t="s">
        <v>1931</v>
      </c>
    </row>
    <row r="7" spans="1:16" ht="12" customHeight="1" x14ac:dyDescent="0.3">
      <c r="A7" s="1026" t="s">
        <v>1932</v>
      </c>
      <c r="B7" s="1027">
        <v>4.2</v>
      </c>
      <c r="C7" s="1028">
        <v>5.4439000000000002</v>
      </c>
      <c r="D7" s="1028">
        <v>2.5</v>
      </c>
      <c r="E7" s="1028">
        <f t="shared" ref="E7:E18" si="0">B7*C7*D7</f>
        <v>57.16095</v>
      </c>
      <c r="F7" s="1029">
        <v>33</v>
      </c>
      <c r="G7" s="1029">
        <v>60</v>
      </c>
      <c r="H7" s="1029">
        <v>27</v>
      </c>
      <c r="I7" s="1029">
        <v>50</v>
      </c>
      <c r="J7" s="1029">
        <f t="shared" ref="J7:J18" si="1">F7-H7</f>
        <v>6</v>
      </c>
      <c r="K7" s="1029">
        <v>6.46</v>
      </c>
      <c r="L7" s="1028">
        <f>(C7*D7)</f>
        <v>13.60975</v>
      </c>
      <c r="M7" s="1028">
        <f t="shared" ref="M7:M13" si="2">2*(B7*D7)</f>
        <v>21</v>
      </c>
      <c r="N7" s="1028">
        <f>B7*C7</f>
        <v>22.864380000000001</v>
      </c>
      <c r="O7" s="1028">
        <f t="shared" ref="O7:O18" si="3">L7+M7+N7</f>
        <v>57.474130000000002</v>
      </c>
      <c r="P7" s="1030">
        <f t="shared" ref="P7:P18" si="4">K7*O7</f>
        <v>371.28287979999999</v>
      </c>
    </row>
    <row r="8" spans="1:16" ht="12" customHeight="1" x14ac:dyDescent="0.3">
      <c r="A8" s="1031" t="s">
        <v>1933</v>
      </c>
      <c r="B8" s="1032">
        <v>4.2</v>
      </c>
      <c r="C8" s="1032">
        <v>5.6254999999999997</v>
      </c>
      <c r="D8" s="1032">
        <v>2.5</v>
      </c>
      <c r="E8" s="1032">
        <f t="shared" si="0"/>
        <v>59.067749999999997</v>
      </c>
      <c r="F8" s="551">
        <v>33</v>
      </c>
      <c r="G8" s="551">
        <v>60</v>
      </c>
      <c r="H8" s="551">
        <v>27</v>
      </c>
      <c r="I8" s="551">
        <v>50</v>
      </c>
      <c r="J8" s="551">
        <f t="shared" si="1"/>
        <v>6</v>
      </c>
      <c r="K8" s="551">
        <v>6.46</v>
      </c>
      <c r="L8" s="1032">
        <v>0</v>
      </c>
      <c r="M8" s="1032">
        <f t="shared" si="2"/>
        <v>21</v>
      </c>
      <c r="N8" s="1032">
        <v>0</v>
      </c>
      <c r="O8" s="1032">
        <f t="shared" si="3"/>
        <v>21</v>
      </c>
      <c r="P8" s="1033">
        <f t="shared" si="4"/>
        <v>135.66</v>
      </c>
    </row>
    <row r="9" spans="1:16" ht="12" customHeight="1" x14ac:dyDescent="0.3">
      <c r="A9" s="1031" t="s">
        <v>1934</v>
      </c>
      <c r="B9" s="1028">
        <v>4.2</v>
      </c>
      <c r="C9" s="1028">
        <v>5.7702</v>
      </c>
      <c r="D9" s="1028">
        <v>2.5</v>
      </c>
      <c r="E9" s="1028">
        <f t="shared" si="0"/>
        <v>60.587100000000007</v>
      </c>
      <c r="F9" s="1029">
        <v>33</v>
      </c>
      <c r="G9" s="1029">
        <v>60</v>
      </c>
      <c r="H9" s="1029">
        <v>27</v>
      </c>
      <c r="I9" s="1029">
        <v>50</v>
      </c>
      <c r="J9" s="1029">
        <f t="shared" si="1"/>
        <v>6</v>
      </c>
      <c r="K9" s="1029">
        <v>6.46</v>
      </c>
      <c r="L9" s="1028">
        <f>2*(C9*D9)</f>
        <v>28.850999999999999</v>
      </c>
      <c r="M9" s="1028">
        <f t="shared" si="2"/>
        <v>21</v>
      </c>
      <c r="N9" s="1028">
        <v>0</v>
      </c>
      <c r="O9" s="1028">
        <f t="shared" si="3"/>
        <v>49.850999999999999</v>
      </c>
      <c r="P9" s="1030">
        <f t="shared" si="4"/>
        <v>322.03746000000001</v>
      </c>
    </row>
    <row r="10" spans="1:16" ht="12" customHeight="1" x14ac:dyDescent="0.3">
      <c r="A10" s="1031" t="s">
        <v>1935</v>
      </c>
      <c r="B10" s="1032">
        <v>4.2</v>
      </c>
      <c r="C10" s="1032">
        <v>5.7702</v>
      </c>
      <c r="D10" s="1032">
        <v>2.5</v>
      </c>
      <c r="E10" s="1032">
        <f t="shared" si="0"/>
        <v>60.587100000000007</v>
      </c>
      <c r="F10" s="551">
        <v>33</v>
      </c>
      <c r="G10" s="551">
        <v>60</v>
      </c>
      <c r="H10" s="551">
        <v>27</v>
      </c>
      <c r="I10" s="551">
        <v>50</v>
      </c>
      <c r="J10" s="551">
        <f t="shared" si="1"/>
        <v>6</v>
      </c>
      <c r="K10" s="551">
        <v>6.46</v>
      </c>
      <c r="L10" s="1032">
        <v>0</v>
      </c>
      <c r="M10" s="1032">
        <f t="shared" si="2"/>
        <v>21</v>
      </c>
      <c r="N10" s="1032">
        <v>0</v>
      </c>
      <c r="O10" s="1032">
        <f t="shared" si="3"/>
        <v>21</v>
      </c>
      <c r="P10" s="1033">
        <f t="shared" si="4"/>
        <v>135.66</v>
      </c>
    </row>
    <row r="11" spans="1:16" ht="12" customHeight="1" x14ac:dyDescent="0.3">
      <c r="A11" s="1031" t="s">
        <v>1936</v>
      </c>
      <c r="B11" s="1028">
        <v>3.5</v>
      </c>
      <c r="C11" s="1028">
        <v>5.8723000000000001</v>
      </c>
      <c r="D11" s="1028">
        <v>2.5</v>
      </c>
      <c r="E11" s="1028">
        <f t="shared" si="0"/>
        <v>51.382624999999997</v>
      </c>
      <c r="F11" s="1029">
        <v>33</v>
      </c>
      <c r="G11" s="1029">
        <v>60</v>
      </c>
      <c r="H11" s="1029">
        <v>27</v>
      </c>
      <c r="I11" s="1029">
        <v>50</v>
      </c>
      <c r="J11" s="1029">
        <f t="shared" si="1"/>
        <v>6</v>
      </c>
      <c r="K11" s="1029">
        <v>6.46</v>
      </c>
      <c r="L11" s="1028">
        <f>(C11*D11)</f>
        <v>14.68075</v>
      </c>
      <c r="M11" s="1028">
        <f t="shared" si="2"/>
        <v>17.5</v>
      </c>
      <c r="N11" s="1028">
        <v>0</v>
      </c>
      <c r="O11" s="1028">
        <f t="shared" si="3"/>
        <v>32.180750000000003</v>
      </c>
      <c r="P11" s="1030">
        <f t="shared" si="4"/>
        <v>207.88764500000002</v>
      </c>
    </row>
    <row r="12" spans="1:16" ht="12" customHeight="1" x14ac:dyDescent="0.3">
      <c r="A12" s="1031" t="s">
        <v>1740</v>
      </c>
      <c r="B12" s="1032">
        <v>4.9000000000000004</v>
      </c>
      <c r="C12" s="1032">
        <v>2.8100999999999998</v>
      </c>
      <c r="D12" s="1032">
        <v>2.5</v>
      </c>
      <c r="E12" s="1032">
        <f t="shared" si="0"/>
        <v>34.423724999999997</v>
      </c>
      <c r="F12" s="551">
        <v>33</v>
      </c>
      <c r="G12" s="551">
        <v>60</v>
      </c>
      <c r="H12" s="551">
        <v>27</v>
      </c>
      <c r="I12" s="551">
        <v>50</v>
      </c>
      <c r="J12" s="551">
        <f t="shared" si="1"/>
        <v>6</v>
      </c>
      <c r="K12" s="551">
        <v>6.46</v>
      </c>
      <c r="L12" s="1032">
        <v>0</v>
      </c>
      <c r="M12" s="1032">
        <f t="shared" si="2"/>
        <v>24.5</v>
      </c>
      <c r="N12" s="1032">
        <v>0</v>
      </c>
      <c r="O12" s="1032">
        <f t="shared" si="3"/>
        <v>24.5</v>
      </c>
      <c r="P12" s="1033">
        <f t="shared" si="4"/>
        <v>158.27000000000001</v>
      </c>
    </row>
    <row r="13" spans="1:16" ht="12" customHeight="1" x14ac:dyDescent="0.3">
      <c r="A13" s="1031" t="s">
        <v>1731</v>
      </c>
      <c r="B13" s="1028">
        <v>4.2</v>
      </c>
      <c r="C13" s="1028">
        <v>2.8831000000000002</v>
      </c>
      <c r="D13" s="1028">
        <v>2.5</v>
      </c>
      <c r="E13" s="1028">
        <f t="shared" si="0"/>
        <v>30.272550000000003</v>
      </c>
      <c r="F13" s="1029">
        <v>33</v>
      </c>
      <c r="G13" s="1029">
        <v>60</v>
      </c>
      <c r="H13" s="1029">
        <v>27</v>
      </c>
      <c r="I13" s="1029">
        <v>50</v>
      </c>
      <c r="J13" s="1029">
        <f t="shared" si="1"/>
        <v>6</v>
      </c>
      <c r="K13" s="1029">
        <v>6.46</v>
      </c>
      <c r="L13" s="1028">
        <f>(C13*D13)</f>
        <v>7.2077500000000008</v>
      </c>
      <c r="M13" s="1028">
        <f t="shared" si="2"/>
        <v>21</v>
      </c>
      <c r="N13" s="1028">
        <v>0</v>
      </c>
      <c r="O13" s="1028">
        <f t="shared" si="3"/>
        <v>28.207750000000001</v>
      </c>
      <c r="P13" s="1030">
        <f t="shared" si="4"/>
        <v>182.22206500000001</v>
      </c>
    </row>
    <row r="14" spans="1:16" ht="12" customHeight="1" x14ac:dyDescent="0.3">
      <c r="A14" s="1031" t="s">
        <v>1737</v>
      </c>
      <c r="B14" s="1032">
        <v>2.8</v>
      </c>
      <c r="C14" s="1032">
        <v>2.5</v>
      </c>
      <c r="D14" s="1032">
        <v>2.5</v>
      </c>
      <c r="E14" s="1032">
        <f t="shared" si="0"/>
        <v>17.5</v>
      </c>
      <c r="F14" s="551">
        <v>33</v>
      </c>
      <c r="G14" s="551">
        <v>60</v>
      </c>
      <c r="H14" s="551">
        <v>27</v>
      </c>
      <c r="I14" s="551">
        <v>50</v>
      </c>
      <c r="J14" s="551">
        <f t="shared" si="1"/>
        <v>6</v>
      </c>
      <c r="K14" s="551">
        <v>6.46</v>
      </c>
      <c r="L14" s="1032">
        <f>2*(C14*D14)</f>
        <v>12.5</v>
      </c>
      <c r="M14" s="1032">
        <v>0</v>
      </c>
      <c r="N14" s="1032">
        <v>0</v>
      </c>
      <c r="O14" s="1032">
        <f t="shared" si="3"/>
        <v>12.5</v>
      </c>
      <c r="P14" s="1033">
        <f t="shared" si="4"/>
        <v>80.75</v>
      </c>
    </row>
    <row r="15" spans="1:16" ht="12" customHeight="1" x14ac:dyDescent="0.3">
      <c r="A15" s="1031" t="s">
        <v>1937</v>
      </c>
      <c r="B15" s="1028">
        <v>2.8</v>
      </c>
      <c r="C15" s="1028">
        <v>2.5</v>
      </c>
      <c r="D15" s="1028">
        <v>2.5</v>
      </c>
      <c r="E15" s="1028">
        <f t="shared" si="0"/>
        <v>17.5</v>
      </c>
      <c r="F15" s="1029">
        <v>33</v>
      </c>
      <c r="G15" s="1029">
        <v>60</v>
      </c>
      <c r="H15" s="1029">
        <v>27</v>
      </c>
      <c r="I15" s="1029">
        <v>50</v>
      </c>
      <c r="J15" s="1029">
        <f t="shared" si="1"/>
        <v>6</v>
      </c>
      <c r="K15" s="1029">
        <v>6.46</v>
      </c>
      <c r="L15" s="1028">
        <f>2*(C15*D15)</f>
        <v>12.5</v>
      </c>
      <c r="M15" s="1028">
        <f>(B15*D15)</f>
        <v>7</v>
      </c>
      <c r="N15" s="1028">
        <v>0</v>
      </c>
      <c r="O15" s="1028">
        <f t="shared" si="3"/>
        <v>19.5</v>
      </c>
      <c r="P15" s="1030">
        <f t="shared" si="4"/>
        <v>125.97</v>
      </c>
    </row>
    <row r="16" spans="1:16" ht="12" customHeight="1" x14ac:dyDescent="0.3">
      <c r="A16" s="1031" t="s">
        <v>1738</v>
      </c>
      <c r="B16" s="1032">
        <v>2.8</v>
      </c>
      <c r="C16" s="1032">
        <v>2.5</v>
      </c>
      <c r="D16" s="1032">
        <v>2.5</v>
      </c>
      <c r="E16" s="1032">
        <f t="shared" si="0"/>
        <v>17.5</v>
      </c>
      <c r="F16" s="551">
        <v>33</v>
      </c>
      <c r="G16" s="551">
        <v>60</v>
      </c>
      <c r="H16" s="551">
        <v>27</v>
      </c>
      <c r="I16" s="551">
        <v>50</v>
      </c>
      <c r="J16" s="551">
        <f t="shared" si="1"/>
        <v>6</v>
      </c>
      <c r="K16" s="551">
        <v>6.46</v>
      </c>
      <c r="L16" s="1032">
        <f>2*(C16*D16)</f>
        <v>12.5</v>
      </c>
      <c r="M16" s="1032">
        <f>(B16*D16)</f>
        <v>7</v>
      </c>
      <c r="N16" s="1032">
        <v>0</v>
      </c>
      <c r="O16" s="1032">
        <f t="shared" si="3"/>
        <v>19.5</v>
      </c>
      <c r="P16" s="1033">
        <f t="shared" si="4"/>
        <v>125.97</v>
      </c>
    </row>
    <row r="17" spans="1:16" ht="12" customHeight="1" x14ac:dyDescent="0.3">
      <c r="A17" s="1031" t="s">
        <v>1938</v>
      </c>
      <c r="B17" s="1028">
        <v>2.8</v>
      </c>
      <c r="C17" s="1028">
        <v>2.5</v>
      </c>
      <c r="D17" s="1028">
        <v>2.5</v>
      </c>
      <c r="E17" s="1028">
        <f t="shared" si="0"/>
        <v>17.5</v>
      </c>
      <c r="F17" s="1029">
        <v>33</v>
      </c>
      <c r="G17" s="1029">
        <v>60</v>
      </c>
      <c r="H17" s="1029">
        <v>27</v>
      </c>
      <c r="I17" s="1029">
        <v>50</v>
      </c>
      <c r="J17" s="1029">
        <f t="shared" si="1"/>
        <v>6</v>
      </c>
      <c r="K17" s="1029">
        <v>6.46</v>
      </c>
      <c r="L17" s="1028">
        <f>2*(C17*D17)</f>
        <v>12.5</v>
      </c>
      <c r="M17" s="1028">
        <v>0</v>
      </c>
      <c r="N17" s="1028">
        <v>0</v>
      </c>
      <c r="O17" s="1028">
        <f t="shared" si="3"/>
        <v>12.5</v>
      </c>
      <c r="P17" s="1030">
        <f t="shared" si="4"/>
        <v>80.75</v>
      </c>
    </row>
    <row r="18" spans="1:16" ht="12" customHeight="1" x14ac:dyDescent="0.3">
      <c r="A18" s="1034" t="s">
        <v>1742</v>
      </c>
      <c r="B18" s="1032">
        <v>2.8</v>
      </c>
      <c r="C18" s="1032">
        <v>2.8831000000000002</v>
      </c>
      <c r="D18" s="1032">
        <v>2.5</v>
      </c>
      <c r="E18" s="1032">
        <f t="shared" si="0"/>
        <v>20.181699999999999</v>
      </c>
      <c r="F18" s="551">
        <v>33</v>
      </c>
      <c r="G18" s="551">
        <v>60</v>
      </c>
      <c r="H18" s="551">
        <v>27</v>
      </c>
      <c r="I18" s="551">
        <v>50</v>
      </c>
      <c r="J18" s="551">
        <f t="shared" si="1"/>
        <v>6</v>
      </c>
      <c r="K18" s="551">
        <v>6.46</v>
      </c>
      <c r="L18" s="1032">
        <f>(C18*D18)</f>
        <v>7.2077500000000008</v>
      </c>
      <c r="M18" s="1032">
        <f>2*(B18*D18)</f>
        <v>14</v>
      </c>
      <c r="N18" s="1032">
        <v>0</v>
      </c>
      <c r="O18" s="1032">
        <f t="shared" si="3"/>
        <v>21.207750000000001</v>
      </c>
      <c r="P18" s="1033">
        <f t="shared" si="4"/>
        <v>137.00206500000002</v>
      </c>
    </row>
    <row r="19" spans="1:16" ht="12" customHeight="1" x14ac:dyDescent="0.3">
      <c r="A19" s="1362" t="s">
        <v>1743</v>
      </c>
      <c r="B19" s="1362"/>
      <c r="C19" s="1362"/>
      <c r="D19" s="1362"/>
      <c r="E19" s="1362"/>
      <c r="F19" s="1362"/>
      <c r="G19" s="1362"/>
      <c r="H19" s="1362"/>
      <c r="I19" s="1362"/>
      <c r="J19" s="1362"/>
      <c r="K19" s="1362"/>
      <c r="L19" s="1362"/>
      <c r="M19" s="1362"/>
      <c r="N19" s="1362"/>
      <c r="O19" s="1362"/>
      <c r="P19" s="1036">
        <f>SUM(P7:P18)</f>
        <v>2063.4621148000001</v>
      </c>
    </row>
    <row r="20" spans="1:16" ht="12" customHeight="1" x14ac:dyDescent="0.3"/>
    <row r="21" spans="1:16" ht="12" customHeight="1" x14ac:dyDescent="0.3">
      <c r="A21" s="1363" t="s">
        <v>1939</v>
      </c>
      <c r="B21" s="1363"/>
      <c r="C21" s="1363"/>
      <c r="D21" s="1363"/>
      <c r="E21" s="1363"/>
      <c r="F21" s="1363"/>
    </row>
    <row r="22" spans="1:16" ht="12" customHeight="1" x14ac:dyDescent="0.3">
      <c r="A22" s="1364" t="s">
        <v>1912</v>
      </c>
      <c r="B22" s="1038" t="s">
        <v>1940</v>
      </c>
      <c r="C22" s="1038" t="s">
        <v>1941</v>
      </c>
      <c r="D22" s="1038" t="s">
        <v>1942</v>
      </c>
      <c r="E22" s="1038" t="s">
        <v>1743</v>
      </c>
      <c r="F22" s="1039" t="s">
        <v>1943</v>
      </c>
    </row>
    <row r="23" spans="1:16" ht="12" customHeight="1" x14ac:dyDescent="0.3">
      <c r="A23" s="1364"/>
      <c r="B23" s="1038" t="s">
        <v>1944</v>
      </c>
      <c r="C23" s="1038" t="s">
        <v>1945</v>
      </c>
      <c r="D23" s="1038" t="s">
        <v>1945</v>
      </c>
      <c r="E23" s="1038" t="s">
        <v>1945</v>
      </c>
      <c r="F23" s="1039" t="s">
        <v>1945</v>
      </c>
    </row>
    <row r="24" spans="1:16" ht="12" customHeight="1" x14ac:dyDescent="0.3">
      <c r="A24" s="1040" t="s">
        <v>1932</v>
      </c>
      <c r="B24" s="1029">
        <v>10</v>
      </c>
      <c r="C24" s="1029">
        <v>64</v>
      </c>
      <c r="D24" s="1029">
        <v>97</v>
      </c>
      <c r="E24" s="1029">
        <v>161</v>
      </c>
      <c r="F24" s="1041">
        <f t="shared" ref="F24:F35" si="5">B24*E24</f>
        <v>1610</v>
      </c>
    </row>
    <row r="25" spans="1:16" ht="12" customHeight="1" x14ac:dyDescent="0.3">
      <c r="A25" s="1040" t="s">
        <v>1933</v>
      </c>
      <c r="B25" s="551">
        <v>2</v>
      </c>
      <c r="C25" s="551">
        <v>59</v>
      </c>
      <c r="D25" s="551">
        <v>73</v>
      </c>
      <c r="E25" s="551">
        <v>132</v>
      </c>
      <c r="F25" s="1042">
        <f t="shared" si="5"/>
        <v>264</v>
      </c>
    </row>
    <row r="26" spans="1:16" ht="12" customHeight="1" x14ac:dyDescent="0.3">
      <c r="A26" s="1040" t="s">
        <v>1934</v>
      </c>
      <c r="B26" s="1029">
        <v>7</v>
      </c>
      <c r="C26" s="1029">
        <v>64</v>
      </c>
      <c r="D26" s="1029">
        <v>97</v>
      </c>
      <c r="E26" s="1029">
        <v>161</v>
      </c>
      <c r="F26" s="1041">
        <f t="shared" si="5"/>
        <v>1127</v>
      </c>
    </row>
    <row r="27" spans="1:16" ht="12" customHeight="1" x14ac:dyDescent="0.3">
      <c r="A27" s="1040" t="s">
        <v>1935</v>
      </c>
      <c r="B27" s="551">
        <v>4</v>
      </c>
      <c r="C27" s="551">
        <v>59</v>
      </c>
      <c r="D27" s="551">
        <v>73</v>
      </c>
      <c r="E27" s="551">
        <v>117</v>
      </c>
      <c r="F27" s="1042">
        <f t="shared" si="5"/>
        <v>468</v>
      </c>
    </row>
    <row r="28" spans="1:16" ht="12" customHeight="1" x14ac:dyDescent="0.3">
      <c r="A28" s="1040" t="s">
        <v>1936</v>
      </c>
      <c r="B28" s="1029">
        <v>1</v>
      </c>
      <c r="C28" s="1029">
        <v>59</v>
      </c>
      <c r="D28" s="1029">
        <v>73</v>
      </c>
      <c r="E28" s="1029">
        <v>132</v>
      </c>
      <c r="F28" s="1041">
        <f t="shared" si="5"/>
        <v>132</v>
      </c>
    </row>
    <row r="29" spans="1:16" ht="12" customHeight="1" x14ac:dyDescent="0.3">
      <c r="A29" s="1040" t="s">
        <v>1740</v>
      </c>
      <c r="B29" s="551">
        <v>1</v>
      </c>
      <c r="C29" s="551">
        <v>57</v>
      </c>
      <c r="D29" s="551">
        <v>60</v>
      </c>
      <c r="E29" s="551">
        <v>117</v>
      </c>
      <c r="F29" s="1042">
        <f t="shared" si="5"/>
        <v>117</v>
      </c>
    </row>
    <row r="30" spans="1:16" ht="12" customHeight="1" x14ac:dyDescent="0.3">
      <c r="A30" s="1040" t="s">
        <v>1731</v>
      </c>
      <c r="B30" s="1029">
        <v>1</v>
      </c>
      <c r="C30" s="1029">
        <v>57</v>
      </c>
      <c r="D30" s="1029">
        <v>60</v>
      </c>
      <c r="E30" s="1029">
        <v>117</v>
      </c>
      <c r="F30" s="1041">
        <f t="shared" si="5"/>
        <v>117</v>
      </c>
    </row>
    <row r="31" spans="1:16" ht="12" customHeight="1" x14ac:dyDescent="0.3">
      <c r="A31" s="1040" t="s">
        <v>1737</v>
      </c>
      <c r="B31" s="551">
        <v>1</v>
      </c>
      <c r="C31" s="551">
        <v>57</v>
      </c>
      <c r="D31" s="551">
        <v>60</v>
      </c>
      <c r="E31" s="551">
        <v>117</v>
      </c>
      <c r="F31" s="1042">
        <f t="shared" si="5"/>
        <v>117</v>
      </c>
    </row>
    <row r="32" spans="1:16" ht="12" customHeight="1" x14ac:dyDescent="0.3">
      <c r="A32" s="1040" t="s">
        <v>1937</v>
      </c>
      <c r="B32" s="1029">
        <v>1</v>
      </c>
      <c r="C32" s="1029">
        <v>57</v>
      </c>
      <c r="D32" s="1029">
        <v>60</v>
      </c>
      <c r="E32" s="1029">
        <v>117</v>
      </c>
      <c r="F32" s="1041">
        <f t="shared" si="5"/>
        <v>117</v>
      </c>
      <c r="G32" s="258" t="s">
        <v>1946</v>
      </c>
      <c r="H32" s="258"/>
      <c r="I32" s="258"/>
      <c r="J32" s="258"/>
    </row>
    <row r="33" spans="1:17" ht="12" customHeight="1" x14ac:dyDescent="0.3">
      <c r="A33" s="1040" t="s">
        <v>1738</v>
      </c>
      <c r="B33" s="551">
        <v>1</v>
      </c>
      <c r="C33" s="551">
        <v>57</v>
      </c>
      <c r="D33" s="551">
        <v>60</v>
      </c>
      <c r="E33" s="551">
        <v>117</v>
      </c>
      <c r="F33" s="1042">
        <f t="shared" si="5"/>
        <v>117</v>
      </c>
    </row>
    <row r="34" spans="1:17" ht="12" customHeight="1" x14ac:dyDescent="0.3">
      <c r="A34" s="1040" t="s">
        <v>1938</v>
      </c>
      <c r="B34" s="1029">
        <v>1</v>
      </c>
      <c r="C34" s="1029">
        <v>57</v>
      </c>
      <c r="D34" s="1029">
        <v>60</v>
      </c>
      <c r="E34" s="1029">
        <v>117</v>
      </c>
      <c r="F34" s="1041">
        <f t="shared" si="5"/>
        <v>117</v>
      </c>
      <c r="G34" s="551" t="s">
        <v>1947</v>
      </c>
      <c r="H34" s="551">
        <v>0.27779999999999999</v>
      </c>
      <c r="I34" s="551" t="s">
        <v>129</v>
      </c>
    </row>
    <row r="35" spans="1:17" ht="12" customHeight="1" x14ac:dyDescent="0.3">
      <c r="A35" s="1043" t="s">
        <v>1742</v>
      </c>
      <c r="B35" s="551">
        <v>1</v>
      </c>
      <c r="C35" s="551">
        <v>57</v>
      </c>
      <c r="D35" s="551">
        <v>60</v>
      </c>
      <c r="E35" s="551">
        <v>117</v>
      </c>
      <c r="F35" s="1042">
        <f t="shared" si="5"/>
        <v>117</v>
      </c>
      <c r="G35" s="258" t="s">
        <v>1948</v>
      </c>
      <c r="H35" s="258"/>
      <c r="I35" s="258"/>
      <c r="J35" s="551">
        <v>16.2</v>
      </c>
      <c r="K35" s="551" t="s">
        <v>1949</v>
      </c>
    </row>
    <row r="36" spans="1:17" ht="12" customHeight="1" x14ac:dyDescent="0.3">
      <c r="A36" s="1362" t="s">
        <v>1743</v>
      </c>
      <c r="B36" s="1362"/>
      <c r="C36" s="1362"/>
      <c r="D36" s="1362"/>
      <c r="E36" s="1362"/>
      <c r="F36" s="1036">
        <f>SUM(F24:F35)</f>
        <v>4420</v>
      </c>
      <c r="I36" s="551" t="s">
        <v>10</v>
      </c>
      <c r="J36" s="551">
        <f>J35*H34</f>
        <v>4.5003599999999997</v>
      </c>
      <c r="K36" s="551" t="s">
        <v>129</v>
      </c>
    </row>
    <row r="37" spans="1:17" ht="12" customHeight="1" x14ac:dyDescent="0.3">
      <c r="P37" s="551">
        <v>0.4</v>
      </c>
      <c r="Q37" s="551">
        <v>0.4</v>
      </c>
    </row>
    <row r="38" spans="1:17" ht="12" customHeight="1" x14ac:dyDescent="0.3">
      <c r="A38" s="1363" t="s">
        <v>1950</v>
      </c>
      <c r="B38" s="1363"/>
      <c r="C38" s="1363"/>
      <c r="D38" s="1363"/>
      <c r="E38" s="1363"/>
      <c r="F38" s="1363"/>
      <c r="G38" s="1363"/>
      <c r="H38" s="1363"/>
      <c r="I38" s="1044"/>
      <c r="J38" s="1044"/>
    </row>
    <row r="39" spans="1:17" ht="12" customHeight="1" x14ac:dyDescent="0.3">
      <c r="A39" s="1364" t="s">
        <v>1912</v>
      </c>
      <c r="B39" s="1365" t="s">
        <v>1914</v>
      </c>
      <c r="C39" s="1365" t="s">
        <v>1915</v>
      </c>
      <c r="D39" s="1365" t="s">
        <v>1951</v>
      </c>
      <c r="E39" s="1365" t="s">
        <v>1952</v>
      </c>
      <c r="F39" s="1365" t="s">
        <v>1953</v>
      </c>
      <c r="G39" s="1365" t="s">
        <v>1954</v>
      </c>
      <c r="H39" s="1366" t="s">
        <v>1955</v>
      </c>
    </row>
    <row r="40" spans="1:17" ht="12" customHeight="1" x14ac:dyDescent="0.3">
      <c r="A40" s="1364"/>
      <c r="B40" s="1365"/>
      <c r="C40" s="1365"/>
      <c r="D40" s="1365"/>
      <c r="E40" s="1365"/>
      <c r="F40" s="1365"/>
      <c r="G40" s="1365"/>
      <c r="H40" s="1366"/>
    </row>
    <row r="41" spans="1:17" ht="12" customHeight="1" x14ac:dyDescent="0.3">
      <c r="A41" s="1364"/>
      <c r="B41" s="1038" t="s">
        <v>1928</v>
      </c>
      <c r="C41" s="1038" t="s">
        <v>1928</v>
      </c>
      <c r="D41" s="1045" t="s">
        <v>1928</v>
      </c>
      <c r="E41" s="1038" t="s">
        <v>1956</v>
      </c>
      <c r="F41" s="1038" t="s">
        <v>1957</v>
      </c>
      <c r="G41" s="1038" t="s">
        <v>1930</v>
      </c>
      <c r="H41" s="1039" t="s">
        <v>1931</v>
      </c>
    </row>
    <row r="42" spans="1:17" ht="12" customHeight="1" x14ac:dyDescent="0.25">
      <c r="A42" s="1040" t="s">
        <v>1932</v>
      </c>
      <c r="B42" s="1029">
        <v>33</v>
      </c>
      <c r="C42" s="1029">
        <v>27</v>
      </c>
      <c r="D42" s="1046">
        <f t="shared" ref="D42:D53" si="6">B42-C42</f>
        <v>6</v>
      </c>
      <c r="E42" s="1046">
        <v>2</v>
      </c>
      <c r="F42" s="1046">
        <v>3.6</v>
      </c>
      <c r="G42" s="1046">
        <v>0.12559999999999999</v>
      </c>
      <c r="H42" s="1047">
        <f t="shared" ref="H42:H53" si="7">E42*F42*G42</f>
        <v>0.9043199999999999</v>
      </c>
    </row>
    <row r="43" spans="1:17" ht="12" customHeight="1" x14ac:dyDescent="0.25">
      <c r="A43" s="1040" t="s">
        <v>1933</v>
      </c>
      <c r="B43" s="551">
        <v>33</v>
      </c>
      <c r="C43" s="551">
        <v>27</v>
      </c>
      <c r="D43" s="548">
        <f t="shared" si="6"/>
        <v>6</v>
      </c>
      <c r="E43" s="548">
        <v>2</v>
      </c>
      <c r="F43" s="548">
        <v>3.6</v>
      </c>
      <c r="G43" s="548">
        <v>0.12559999999999999</v>
      </c>
      <c r="H43" s="1048">
        <f t="shared" si="7"/>
        <v>0.9043199999999999</v>
      </c>
    </row>
    <row r="44" spans="1:17" ht="12" customHeight="1" x14ac:dyDescent="0.25">
      <c r="A44" s="1040" t="s">
        <v>1934</v>
      </c>
      <c r="B44" s="1029">
        <v>33</v>
      </c>
      <c r="C44" s="1029">
        <v>27</v>
      </c>
      <c r="D44" s="1046">
        <f t="shared" si="6"/>
        <v>6</v>
      </c>
      <c r="E44" s="1046">
        <v>2</v>
      </c>
      <c r="F44" s="1046">
        <v>3.6</v>
      </c>
      <c r="G44" s="1046">
        <v>0.12559999999999999</v>
      </c>
      <c r="H44" s="1047">
        <f t="shared" si="7"/>
        <v>0.9043199999999999</v>
      </c>
    </row>
    <row r="45" spans="1:17" ht="12" customHeight="1" x14ac:dyDescent="0.25">
      <c r="A45" s="1040" t="s">
        <v>1935</v>
      </c>
      <c r="B45" s="551">
        <v>33</v>
      </c>
      <c r="C45" s="551">
        <v>27</v>
      </c>
      <c r="D45" s="548">
        <f t="shared" si="6"/>
        <v>6</v>
      </c>
      <c r="E45" s="548">
        <v>2</v>
      </c>
      <c r="F45" s="548">
        <v>3.6</v>
      </c>
      <c r="G45" s="548">
        <v>0.12559999999999999</v>
      </c>
      <c r="H45" s="1048">
        <f t="shared" si="7"/>
        <v>0.9043199999999999</v>
      </c>
    </row>
    <row r="46" spans="1:17" ht="12" customHeight="1" x14ac:dyDescent="0.25">
      <c r="A46" s="1040" t="s">
        <v>1936</v>
      </c>
      <c r="B46" s="1029">
        <v>33</v>
      </c>
      <c r="C46" s="1029">
        <v>27</v>
      </c>
      <c r="D46" s="1046">
        <f t="shared" si="6"/>
        <v>6</v>
      </c>
      <c r="E46" s="1046">
        <v>2</v>
      </c>
      <c r="F46" s="1046">
        <v>3.6</v>
      </c>
      <c r="G46" s="1046">
        <v>0.12559999999999999</v>
      </c>
      <c r="H46" s="1047">
        <f t="shared" si="7"/>
        <v>0.9043199999999999</v>
      </c>
    </row>
    <row r="47" spans="1:17" ht="12" customHeight="1" x14ac:dyDescent="0.25">
      <c r="A47" s="1040" t="s">
        <v>1740</v>
      </c>
      <c r="B47" s="551">
        <v>33</v>
      </c>
      <c r="C47" s="551">
        <v>27</v>
      </c>
      <c r="D47" s="548">
        <f t="shared" si="6"/>
        <v>6</v>
      </c>
      <c r="E47" s="548">
        <v>2</v>
      </c>
      <c r="F47" s="548">
        <v>3.6</v>
      </c>
      <c r="G47" s="548">
        <v>0.12559999999999999</v>
      </c>
      <c r="H47" s="1048">
        <f t="shared" si="7"/>
        <v>0.9043199999999999</v>
      </c>
    </row>
    <row r="48" spans="1:17" ht="12" customHeight="1" x14ac:dyDescent="0.25">
      <c r="A48" s="1040" t="s">
        <v>1731</v>
      </c>
      <c r="B48" s="1029">
        <v>33</v>
      </c>
      <c r="C48" s="1029">
        <v>27</v>
      </c>
      <c r="D48" s="1046">
        <f t="shared" si="6"/>
        <v>6</v>
      </c>
      <c r="E48" s="1046">
        <v>2</v>
      </c>
      <c r="F48" s="1046">
        <v>3.6</v>
      </c>
      <c r="G48" s="1046">
        <v>0.12559999999999999</v>
      </c>
      <c r="H48" s="1047">
        <f t="shared" si="7"/>
        <v>0.9043199999999999</v>
      </c>
    </row>
    <row r="49" spans="1:9" ht="12" customHeight="1" x14ac:dyDescent="0.25">
      <c r="A49" s="1040" t="s">
        <v>1737</v>
      </c>
      <c r="B49" s="551">
        <v>33</v>
      </c>
      <c r="C49" s="551">
        <v>27</v>
      </c>
      <c r="D49" s="548">
        <f t="shared" si="6"/>
        <v>6</v>
      </c>
      <c r="E49" s="548">
        <v>1</v>
      </c>
      <c r="F49" s="548">
        <v>3.6</v>
      </c>
      <c r="G49" s="548">
        <v>0.12559999999999999</v>
      </c>
      <c r="H49" s="1048">
        <f t="shared" si="7"/>
        <v>0.45215999999999995</v>
      </c>
    </row>
    <row r="50" spans="1:9" ht="12" customHeight="1" x14ac:dyDescent="0.25">
      <c r="A50" s="1040" t="s">
        <v>1937</v>
      </c>
      <c r="B50" s="1029">
        <v>33</v>
      </c>
      <c r="C50" s="1029">
        <v>27</v>
      </c>
      <c r="D50" s="1046">
        <f t="shared" si="6"/>
        <v>6</v>
      </c>
      <c r="E50" s="1046">
        <v>1</v>
      </c>
      <c r="F50" s="1046">
        <v>3.6</v>
      </c>
      <c r="G50" s="1046">
        <v>0.12559999999999999</v>
      </c>
      <c r="H50" s="1047">
        <f t="shared" si="7"/>
        <v>0.45215999999999995</v>
      </c>
    </row>
    <row r="51" spans="1:9" ht="12" customHeight="1" x14ac:dyDescent="0.25">
      <c r="A51" s="1040" t="s">
        <v>1738</v>
      </c>
      <c r="B51" s="551">
        <v>33</v>
      </c>
      <c r="C51" s="551">
        <v>27</v>
      </c>
      <c r="D51" s="548">
        <f t="shared" si="6"/>
        <v>6</v>
      </c>
      <c r="E51" s="548">
        <v>1</v>
      </c>
      <c r="F51" s="548">
        <v>3.6</v>
      </c>
      <c r="G51" s="548">
        <v>0.12559999999999999</v>
      </c>
      <c r="H51" s="1048">
        <f t="shared" si="7"/>
        <v>0.45215999999999995</v>
      </c>
    </row>
    <row r="52" spans="1:9" ht="12" customHeight="1" x14ac:dyDescent="0.25">
      <c r="A52" s="1040" t="s">
        <v>1938</v>
      </c>
      <c r="B52" s="1029">
        <v>33</v>
      </c>
      <c r="C52" s="1029">
        <v>27</v>
      </c>
      <c r="D52" s="1046">
        <f t="shared" si="6"/>
        <v>6</v>
      </c>
      <c r="E52" s="1046">
        <v>1</v>
      </c>
      <c r="F52" s="1046">
        <v>3.6</v>
      </c>
      <c r="G52" s="1046">
        <v>0.12559999999999999</v>
      </c>
      <c r="H52" s="1047">
        <f t="shared" si="7"/>
        <v>0.45215999999999995</v>
      </c>
    </row>
    <row r="53" spans="1:9" ht="12" customHeight="1" x14ac:dyDescent="0.25">
      <c r="A53" s="1043" t="s">
        <v>1742</v>
      </c>
      <c r="B53" s="551">
        <v>33</v>
      </c>
      <c r="C53" s="551">
        <v>27</v>
      </c>
      <c r="D53" s="548">
        <f t="shared" si="6"/>
        <v>6</v>
      </c>
      <c r="E53" s="548">
        <v>1</v>
      </c>
      <c r="F53" s="548">
        <v>3.6</v>
      </c>
      <c r="G53" s="548">
        <v>0.12559999999999999</v>
      </c>
      <c r="H53" s="1048">
        <f t="shared" si="7"/>
        <v>0.45215999999999995</v>
      </c>
    </row>
    <row r="54" spans="1:9" ht="12" customHeight="1" x14ac:dyDescent="0.3">
      <c r="A54" s="1362" t="s">
        <v>1743</v>
      </c>
      <c r="B54" s="1362"/>
      <c r="C54" s="1362"/>
      <c r="D54" s="1362"/>
      <c r="E54" s="1362"/>
      <c r="F54" s="1362"/>
      <c r="G54" s="1362"/>
      <c r="H54" s="1036">
        <f>SUM(H42:H53)</f>
        <v>8.5910399999999996</v>
      </c>
      <c r="I54" s="1044"/>
    </row>
    <row r="55" spans="1:9" ht="12" customHeight="1" x14ac:dyDescent="0.3"/>
    <row r="56" spans="1:9" ht="12" customHeight="1" x14ac:dyDescent="0.3">
      <c r="A56" s="1363" t="s">
        <v>1958</v>
      </c>
      <c r="B56" s="1363"/>
      <c r="C56" s="1363"/>
      <c r="D56" s="1363"/>
      <c r="E56" s="1363"/>
      <c r="F56" s="1363"/>
      <c r="G56" s="1363"/>
    </row>
    <row r="57" spans="1:9" ht="12" customHeight="1" x14ac:dyDescent="0.3">
      <c r="A57" s="1364" t="s">
        <v>1912</v>
      </c>
      <c r="B57" s="1367" t="s">
        <v>660</v>
      </c>
      <c r="C57" s="1367"/>
      <c r="D57" s="1367"/>
      <c r="E57" s="1367" t="s">
        <v>1927</v>
      </c>
      <c r="F57" s="1038" t="s">
        <v>1959</v>
      </c>
      <c r="G57" s="1366" t="s">
        <v>1960</v>
      </c>
    </row>
    <row r="58" spans="1:9" ht="12" customHeight="1" x14ac:dyDescent="0.3">
      <c r="A58" s="1364"/>
      <c r="B58" s="1038" t="s">
        <v>1919</v>
      </c>
      <c r="C58" s="1038" t="s">
        <v>1622</v>
      </c>
      <c r="D58" s="1038" t="s">
        <v>1920</v>
      </c>
      <c r="E58" s="1367"/>
      <c r="F58" s="1038" t="s">
        <v>1961</v>
      </c>
      <c r="G58" s="1366"/>
    </row>
    <row r="59" spans="1:9" ht="12" customHeight="1" x14ac:dyDescent="0.3">
      <c r="A59" s="1364"/>
      <c r="B59" s="1038" t="s">
        <v>11</v>
      </c>
      <c r="C59" s="1038" t="s">
        <v>11</v>
      </c>
      <c r="D59" s="1038" t="s">
        <v>11</v>
      </c>
      <c r="E59" s="1038" t="s">
        <v>1930</v>
      </c>
      <c r="F59" s="1038" t="s">
        <v>1962</v>
      </c>
      <c r="G59" s="1039" t="s">
        <v>1931</v>
      </c>
    </row>
    <row r="60" spans="1:9" ht="12" customHeight="1" x14ac:dyDescent="0.3">
      <c r="A60" s="1040" t="s">
        <v>1932</v>
      </c>
      <c r="B60" s="1028">
        <f t="shared" ref="B60:C71" si="8">B7</f>
        <v>4.2</v>
      </c>
      <c r="C60" s="1028">
        <f t="shared" si="8"/>
        <v>5.4439000000000002</v>
      </c>
      <c r="D60" s="1028">
        <v>2.5</v>
      </c>
      <c r="E60" s="1028">
        <f t="shared" ref="E60:E71" si="9">B60*C60</f>
        <v>22.864380000000001</v>
      </c>
      <c r="F60" s="1028">
        <v>10</v>
      </c>
      <c r="G60" s="1030">
        <f t="shared" ref="G60:G71" si="10">E60*F60</f>
        <v>228.6438</v>
      </c>
    </row>
    <row r="61" spans="1:9" ht="12" customHeight="1" x14ac:dyDescent="0.3">
      <c r="A61" s="1040" t="s">
        <v>1933</v>
      </c>
      <c r="B61" s="1032">
        <f t="shared" si="8"/>
        <v>4.2</v>
      </c>
      <c r="C61" s="1032">
        <f t="shared" si="8"/>
        <v>5.6254999999999997</v>
      </c>
      <c r="D61" s="1032">
        <v>2.5</v>
      </c>
      <c r="E61" s="1032">
        <f t="shared" si="9"/>
        <v>23.627099999999999</v>
      </c>
      <c r="F61" s="1032">
        <v>10</v>
      </c>
      <c r="G61" s="1033">
        <f t="shared" si="10"/>
        <v>236.27099999999999</v>
      </c>
    </row>
    <row r="62" spans="1:9" ht="12" customHeight="1" x14ac:dyDescent="0.3">
      <c r="A62" s="1040" t="s">
        <v>1934</v>
      </c>
      <c r="B62" s="1028">
        <f t="shared" si="8"/>
        <v>4.2</v>
      </c>
      <c r="C62" s="1028">
        <f t="shared" si="8"/>
        <v>5.7702</v>
      </c>
      <c r="D62" s="1028">
        <v>2.5</v>
      </c>
      <c r="E62" s="1028">
        <f t="shared" si="9"/>
        <v>24.234840000000002</v>
      </c>
      <c r="F62" s="1028">
        <v>10</v>
      </c>
      <c r="G62" s="1030">
        <f t="shared" si="10"/>
        <v>242.34840000000003</v>
      </c>
    </row>
    <row r="63" spans="1:9" ht="12" customHeight="1" x14ac:dyDescent="0.3">
      <c r="A63" s="1040" t="s">
        <v>1935</v>
      </c>
      <c r="B63" s="1032">
        <f t="shared" si="8"/>
        <v>4.2</v>
      </c>
      <c r="C63" s="1032">
        <f t="shared" si="8"/>
        <v>5.7702</v>
      </c>
      <c r="D63" s="1032">
        <v>2.5</v>
      </c>
      <c r="E63" s="1032">
        <f t="shared" si="9"/>
        <v>24.234840000000002</v>
      </c>
      <c r="F63" s="1032">
        <v>10</v>
      </c>
      <c r="G63" s="1033">
        <f t="shared" si="10"/>
        <v>242.34840000000003</v>
      </c>
    </row>
    <row r="64" spans="1:9" ht="12" customHeight="1" x14ac:dyDescent="0.3">
      <c r="A64" s="1040" t="s">
        <v>1936</v>
      </c>
      <c r="B64" s="1028">
        <f t="shared" si="8"/>
        <v>3.5</v>
      </c>
      <c r="C64" s="1028">
        <f t="shared" si="8"/>
        <v>5.8723000000000001</v>
      </c>
      <c r="D64" s="1028">
        <v>2.5</v>
      </c>
      <c r="E64" s="1028">
        <f t="shared" si="9"/>
        <v>20.553049999999999</v>
      </c>
      <c r="F64" s="1028">
        <v>10</v>
      </c>
      <c r="G64" s="1030">
        <f t="shared" si="10"/>
        <v>205.53049999999999</v>
      </c>
    </row>
    <row r="65" spans="1:7" ht="12" customHeight="1" x14ac:dyDescent="0.3">
      <c r="A65" s="1040" t="s">
        <v>1740</v>
      </c>
      <c r="B65" s="1032">
        <f t="shared" si="8"/>
        <v>4.9000000000000004</v>
      </c>
      <c r="C65" s="1032">
        <f t="shared" si="8"/>
        <v>2.8100999999999998</v>
      </c>
      <c r="D65" s="1032">
        <v>2.5</v>
      </c>
      <c r="E65" s="1032">
        <f t="shared" si="9"/>
        <v>13.769489999999999</v>
      </c>
      <c r="F65" s="1032">
        <v>8</v>
      </c>
      <c r="G65" s="1033">
        <f t="shared" si="10"/>
        <v>110.15591999999999</v>
      </c>
    </row>
    <row r="66" spans="1:7" ht="12" customHeight="1" x14ac:dyDescent="0.3">
      <c r="A66" s="1040" t="s">
        <v>1731</v>
      </c>
      <c r="B66" s="1028">
        <f t="shared" si="8"/>
        <v>4.2</v>
      </c>
      <c r="C66" s="1049">
        <f t="shared" si="8"/>
        <v>2.8831000000000002</v>
      </c>
      <c r="D66" s="1028">
        <v>2.5</v>
      </c>
      <c r="E66" s="1028">
        <f t="shared" si="9"/>
        <v>12.109020000000001</v>
      </c>
      <c r="F66" s="1028">
        <v>8</v>
      </c>
      <c r="G66" s="1030">
        <f t="shared" si="10"/>
        <v>96.872160000000008</v>
      </c>
    </row>
    <row r="67" spans="1:7" ht="12" customHeight="1" x14ac:dyDescent="0.3">
      <c r="A67" s="1040" t="s">
        <v>1737</v>
      </c>
      <c r="B67" s="1032">
        <f t="shared" si="8"/>
        <v>2.8</v>
      </c>
      <c r="C67" s="1032">
        <f t="shared" si="8"/>
        <v>2.5</v>
      </c>
      <c r="D67" s="1032">
        <v>2.5</v>
      </c>
      <c r="E67" s="1032">
        <f t="shared" si="9"/>
        <v>7</v>
      </c>
      <c r="F67" s="1032">
        <v>8</v>
      </c>
      <c r="G67" s="1033">
        <f t="shared" si="10"/>
        <v>56</v>
      </c>
    </row>
    <row r="68" spans="1:7" ht="12" customHeight="1" x14ac:dyDescent="0.3">
      <c r="A68" s="1040" t="s">
        <v>1937</v>
      </c>
      <c r="B68" s="1028">
        <f t="shared" si="8"/>
        <v>2.8</v>
      </c>
      <c r="C68" s="1028">
        <f t="shared" si="8"/>
        <v>2.5</v>
      </c>
      <c r="D68" s="1028">
        <v>2.5</v>
      </c>
      <c r="E68" s="1028">
        <f t="shared" si="9"/>
        <v>7</v>
      </c>
      <c r="F68" s="1028">
        <v>8</v>
      </c>
      <c r="G68" s="1030">
        <f t="shared" si="10"/>
        <v>56</v>
      </c>
    </row>
    <row r="69" spans="1:7" ht="12" customHeight="1" x14ac:dyDescent="0.3">
      <c r="A69" s="1040" t="s">
        <v>1738</v>
      </c>
      <c r="B69" s="1032">
        <f t="shared" si="8"/>
        <v>2.8</v>
      </c>
      <c r="C69" s="1032">
        <f t="shared" si="8"/>
        <v>2.5</v>
      </c>
      <c r="D69" s="1032">
        <v>2.5</v>
      </c>
      <c r="E69" s="1032">
        <f t="shared" si="9"/>
        <v>7</v>
      </c>
      <c r="F69" s="1032">
        <v>8</v>
      </c>
      <c r="G69" s="1033">
        <f t="shared" si="10"/>
        <v>56</v>
      </c>
    </row>
    <row r="70" spans="1:7" ht="12" customHeight="1" x14ac:dyDescent="0.3">
      <c r="A70" s="1040" t="s">
        <v>1938</v>
      </c>
      <c r="B70" s="1028">
        <f t="shared" si="8"/>
        <v>2.8</v>
      </c>
      <c r="C70" s="1028">
        <f t="shared" si="8"/>
        <v>2.5</v>
      </c>
      <c r="D70" s="1028">
        <v>2.5</v>
      </c>
      <c r="E70" s="1028">
        <f t="shared" si="9"/>
        <v>7</v>
      </c>
      <c r="F70" s="1028">
        <v>8</v>
      </c>
      <c r="G70" s="1030">
        <f t="shared" si="10"/>
        <v>56</v>
      </c>
    </row>
    <row r="71" spans="1:7" ht="12" customHeight="1" x14ac:dyDescent="0.3">
      <c r="A71" s="1043" t="s">
        <v>1742</v>
      </c>
      <c r="B71" s="1032">
        <f t="shared" si="8"/>
        <v>2.8</v>
      </c>
      <c r="C71" s="1032">
        <f t="shared" si="8"/>
        <v>2.8831000000000002</v>
      </c>
      <c r="D71" s="1032">
        <v>2.5</v>
      </c>
      <c r="E71" s="1032">
        <f t="shared" si="9"/>
        <v>8.0726800000000001</v>
      </c>
      <c r="F71" s="1032">
        <v>8</v>
      </c>
      <c r="G71" s="1033">
        <f t="shared" si="10"/>
        <v>64.581440000000001</v>
      </c>
    </row>
    <row r="72" spans="1:7" ht="12" customHeight="1" x14ac:dyDescent="0.3">
      <c r="A72" s="1362" t="s">
        <v>1743</v>
      </c>
      <c r="B72" s="1362"/>
      <c r="C72" s="1362"/>
      <c r="D72" s="1362"/>
      <c r="E72" s="1362"/>
      <c r="F72" s="1362"/>
      <c r="G72" s="1036">
        <f>SUM(G60:G71)</f>
        <v>1650.75162</v>
      </c>
    </row>
    <row r="73" spans="1:7" ht="12" customHeight="1" x14ac:dyDescent="0.3"/>
    <row r="74" spans="1:7" ht="24" customHeight="1" x14ac:dyDescent="0.3">
      <c r="A74" s="1368" t="s">
        <v>1963</v>
      </c>
      <c r="B74" s="1368"/>
      <c r="C74" s="1368"/>
      <c r="D74" s="1044"/>
    </row>
    <row r="75" spans="1:7" ht="24" customHeight="1" x14ac:dyDescent="0.3">
      <c r="A75" s="1364" t="s">
        <v>1912</v>
      </c>
      <c r="B75" s="1369" t="s">
        <v>1964</v>
      </c>
      <c r="C75" s="1369"/>
      <c r="D75" s="1050"/>
    </row>
    <row r="76" spans="1:7" ht="12" customHeight="1" x14ac:dyDescent="0.3">
      <c r="A76" s="1364"/>
      <c r="B76" s="1366" t="s">
        <v>1931</v>
      </c>
      <c r="C76" s="1366"/>
      <c r="D76" s="1044"/>
    </row>
    <row r="77" spans="1:7" ht="12" customHeight="1" x14ac:dyDescent="0.3">
      <c r="A77" s="1051" t="s">
        <v>1932</v>
      </c>
      <c r="B77" s="1370">
        <v>300</v>
      </c>
      <c r="C77" s="1370"/>
      <c r="D77" s="258"/>
    </row>
    <row r="78" spans="1:7" ht="12" customHeight="1" x14ac:dyDescent="0.3">
      <c r="A78" s="1040" t="s">
        <v>1933</v>
      </c>
      <c r="B78" s="1371">
        <v>400</v>
      </c>
      <c r="C78" s="1371"/>
      <c r="D78" s="258"/>
    </row>
    <row r="79" spans="1:7" ht="12" customHeight="1" x14ac:dyDescent="0.3">
      <c r="A79" s="1040" t="s">
        <v>1934</v>
      </c>
      <c r="B79" s="1370">
        <v>100</v>
      </c>
      <c r="C79" s="1370"/>
      <c r="D79" s="258"/>
    </row>
    <row r="80" spans="1:7" ht="12" customHeight="1" x14ac:dyDescent="0.3">
      <c r="A80" s="1040" t="s">
        <v>1935</v>
      </c>
      <c r="B80" s="1371">
        <v>300</v>
      </c>
      <c r="C80" s="1371"/>
      <c r="D80" s="258"/>
      <c r="G80" s="1052"/>
    </row>
    <row r="81" spans="1:6" ht="12" customHeight="1" x14ac:dyDescent="0.3">
      <c r="A81" s="1040" t="s">
        <v>1936</v>
      </c>
      <c r="B81" s="1370">
        <v>300</v>
      </c>
      <c r="C81" s="1370"/>
      <c r="D81" s="258"/>
    </row>
    <row r="82" spans="1:6" ht="12" customHeight="1" x14ac:dyDescent="0.3">
      <c r="A82" s="1040" t="s">
        <v>1740</v>
      </c>
      <c r="B82" s="1371">
        <v>100</v>
      </c>
      <c r="C82" s="1371"/>
    </row>
    <row r="83" spans="1:6" ht="12" customHeight="1" x14ac:dyDescent="0.3">
      <c r="A83" s="1040" t="s">
        <v>1731</v>
      </c>
      <c r="B83" s="1370">
        <v>100</v>
      </c>
      <c r="C83" s="1370"/>
      <c r="D83" s="258"/>
    </row>
    <row r="84" spans="1:6" ht="12" customHeight="1" x14ac:dyDescent="0.3">
      <c r="A84" s="1040" t="s">
        <v>1737</v>
      </c>
      <c r="B84" s="1371">
        <v>100</v>
      </c>
      <c r="C84" s="1371"/>
      <c r="D84" s="258"/>
    </row>
    <row r="85" spans="1:6" ht="12" customHeight="1" x14ac:dyDescent="0.3">
      <c r="A85" s="1040" t="s">
        <v>1937</v>
      </c>
      <c r="B85" s="1370">
        <v>100</v>
      </c>
      <c r="C85" s="1370"/>
      <c r="D85" s="258"/>
    </row>
    <row r="86" spans="1:6" ht="12" customHeight="1" x14ac:dyDescent="0.3">
      <c r="A86" s="1040" t="s">
        <v>1738</v>
      </c>
      <c r="B86" s="1371">
        <v>100</v>
      </c>
      <c r="C86" s="1371"/>
      <c r="D86" s="258"/>
    </row>
    <row r="87" spans="1:6" ht="12" customHeight="1" x14ac:dyDescent="0.3">
      <c r="A87" s="1040" t="s">
        <v>1938</v>
      </c>
      <c r="B87" s="1370">
        <v>100</v>
      </c>
      <c r="C87" s="1370"/>
      <c r="D87" s="258"/>
    </row>
    <row r="88" spans="1:6" ht="12" customHeight="1" x14ac:dyDescent="0.3">
      <c r="A88" s="1040" t="s">
        <v>1742</v>
      </c>
      <c r="B88" s="1371">
        <v>100</v>
      </c>
      <c r="C88" s="1371"/>
      <c r="D88" s="258"/>
    </row>
    <row r="89" spans="1:6" ht="12" customHeight="1" x14ac:dyDescent="0.3">
      <c r="A89" s="1035" t="s">
        <v>1743</v>
      </c>
      <c r="B89" s="1367">
        <f>SUM(B77:D88)</f>
        <v>2100</v>
      </c>
      <c r="C89" s="1367"/>
      <c r="D89" s="1044"/>
    </row>
    <row r="90" spans="1:6" ht="12" customHeight="1" x14ac:dyDescent="0.3"/>
    <row r="91" spans="1:6" ht="12" customHeight="1" x14ac:dyDescent="0.3">
      <c r="A91" s="1372" t="s">
        <v>1912</v>
      </c>
      <c r="B91" s="1373" t="s">
        <v>1965</v>
      </c>
      <c r="C91" s="1373"/>
      <c r="D91" s="1373"/>
      <c r="E91" s="1373"/>
      <c r="F91" s="1373"/>
    </row>
    <row r="92" spans="1:6" ht="12" customHeight="1" x14ac:dyDescent="0.3">
      <c r="A92" s="1372"/>
      <c r="B92" s="1366" t="s">
        <v>1966</v>
      </c>
      <c r="C92" s="1366"/>
      <c r="D92" s="1366"/>
      <c r="E92" s="1366"/>
      <c r="F92" s="1366"/>
    </row>
    <row r="93" spans="1:6" ht="12" customHeight="1" x14ac:dyDescent="0.3">
      <c r="A93" s="1372"/>
      <c r="B93" s="1038" t="s">
        <v>1918</v>
      </c>
      <c r="C93" s="1038" t="s">
        <v>1967</v>
      </c>
      <c r="D93" s="1038" t="s">
        <v>1955</v>
      </c>
      <c r="E93" s="1038" t="s">
        <v>1960</v>
      </c>
      <c r="F93" s="1039" t="s">
        <v>1968</v>
      </c>
    </row>
    <row r="94" spans="1:6" ht="12" customHeight="1" x14ac:dyDescent="0.3">
      <c r="A94" s="1372"/>
      <c r="B94" s="1038" t="s">
        <v>1931</v>
      </c>
      <c r="C94" s="1038" t="s">
        <v>1931</v>
      </c>
      <c r="D94" s="1038" t="s">
        <v>1931</v>
      </c>
      <c r="E94" s="1038" t="s">
        <v>1931</v>
      </c>
      <c r="F94" s="1039" t="s">
        <v>1931</v>
      </c>
    </row>
    <row r="95" spans="1:6" ht="12" customHeight="1" x14ac:dyDescent="0.3">
      <c r="A95" s="1040" t="s">
        <v>1932</v>
      </c>
      <c r="B95" s="1053">
        <f t="shared" ref="B95:B107" si="11">P7</f>
        <v>371.28287979999999</v>
      </c>
      <c r="C95" s="1054">
        <f t="shared" ref="C95:C107" si="12">F24</f>
        <v>1610</v>
      </c>
      <c r="D95" s="1054">
        <f t="shared" ref="D95:D107" si="13">H42</f>
        <v>0.9043199999999999</v>
      </c>
      <c r="E95" s="1053">
        <f t="shared" ref="E95:E107" si="14">G60</f>
        <v>228.6438</v>
      </c>
      <c r="F95" s="1055">
        <f t="shared" ref="F95:F107" si="15">B77</f>
        <v>300</v>
      </c>
    </row>
    <row r="96" spans="1:6" ht="12" customHeight="1" x14ac:dyDescent="0.3">
      <c r="A96" s="1040" t="s">
        <v>1933</v>
      </c>
      <c r="B96" s="1056">
        <f t="shared" si="11"/>
        <v>135.66</v>
      </c>
      <c r="C96" s="551">
        <f t="shared" si="12"/>
        <v>264</v>
      </c>
      <c r="D96" s="551">
        <f t="shared" si="13"/>
        <v>0.9043199999999999</v>
      </c>
      <c r="E96" s="1056">
        <f t="shared" si="14"/>
        <v>236.27099999999999</v>
      </c>
      <c r="F96" s="1042">
        <f t="shared" si="15"/>
        <v>400</v>
      </c>
    </row>
    <row r="97" spans="1:13" ht="12" customHeight="1" x14ac:dyDescent="0.3">
      <c r="A97" s="1040" t="s">
        <v>1934</v>
      </c>
      <c r="B97" s="1053">
        <f t="shared" si="11"/>
        <v>322.03746000000001</v>
      </c>
      <c r="C97" s="1054">
        <f t="shared" si="12"/>
        <v>1127</v>
      </c>
      <c r="D97" s="1054">
        <f t="shared" si="13"/>
        <v>0.9043199999999999</v>
      </c>
      <c r="E97" s="1053">
        <f t="shared" si="14"/>
        <v>242.34840000000003</v>
      </c>
      <c r="F97" s="1055">
        <f t="shared" si="15"/>
        <v>100</v>
      </c>
    </row>
    <row r="98" spans="1:13" ht="12" customHeight="1" x14ac:dyDescent="0.3">
      <c r="A98" s="1040" t="s">
        <v>1935</v>
      </c>
      <c r="B98" s="1056">
        <f t="shared" si="11"/>
        <v>135.66</v>
      </c>
      <c r="C98" s="551">
        <f t="shared" si="12"/>
        <v>468</v>
      </c>
      <c r="D98" s="551">
        <f t="shared" si="13"/>
        <v>0.9043199999999999</v>
      </c>
      <c r="E98" s="1056">
        <f t="shared" si="14"/>
        <v>242.34840000000003</v>
      </c>
      <c r="F98" s="1042">
        <f t="shared" si="15"/>
        <v>300</v>
      </c>
    </row>
    <row r="99" spans="1:13" ht="12" customHeight="1" x14ac:dyDescent="0.3">
      <c r="A99" s="1040" t="s">
        <v>1936</v>
      </c>
      <c r="B99" s="1053">
        <f t="shared" si="11"/>
        <v>207.88764500000002</v>
      </c>
      <c r="C99" s="1054">
        <f t="shared" si="12"/>
        <v>132</v>
      </c>
      <c r="D99" s="1054">
        <f t="shared" si="13"/>
        <v>0.9043199999999999</v>
      </c>
      <c r="E99" s="1053">
        <f t="shared" si="14"/>
        <v>205.53049999999999</v>
      </c>
      <c r="F99" s="1055">
        <f t="shared" si="15"/>
        <v>300</v>
      </c>
    </row>
    <row r="100" spans="1:13" ht="12" customHeight="1" x14ac:dyDescent="0.3">
      <c r="A100" s="1040" t="s">
        <v>1740</v>
      </c>
      <c r="B100" s="1056">
        <f t="shared" si="11"/>
        <v>158.27000000000001</v>
      </c>
      <c r="C100" s="551">
        <f t="shared" si="12"/>
        <v>117</v>
      </c>
      <c r="D100" s="551">
        <f t="shared" si="13"/>
        <v>0.9043199999999999</v>
      </c>
      <c r="E100" s="1056">
        <f t="shared" si="14"/>
        <v>110.15591999999999</v>
      </c>
      <c r="F100" s="1042">
        <f t="shared" si="15"/>
        <v>100</v>
      </c>
    </row>
    <row r="101" spans="1:13" ht="12" customHeight="1" x14ac:dyDescent="0.3">
      <c r="A101" s="1040" t="s">
        <v>1731</v>
      </c>
      <c r="B101" s="1053">
        <f t="shared" si="11"/>
        <v>182.22206500000001</v>
      </c>
      <c r="C101" s="1054">
        <f t="shared" si="12"/>
        <v>117</v>
      </c>
      <c r="D101" s="1054">
        <f t="shared" si="13"/>
        <v>0.9043199999999999</v>
      </c>
      <c r="E101" s="1053">
        <f t="shared" si="14"/>
        <v>96.872160000000008</v>
      </c>
      <c r="F101" s="1055">
        <f t="shared" si="15"/>
        <v>100</v>
      </c>
    </row>
    <row r="102" spans="1:13" ht="12" customHeight="1" x14ac:dyDescent="0.3">
      <c r="A102" s="1040" t="s">
        <v>1737</v>
      </c>
      <c r="B102" s="1056">
        <f t="shared" si="11"/>
        <v>80.75</v>
      </c>
      <c r="C102" s="551">
        <f t="shared" si="12"/>
        <v>117</v>
      </c>
      <c r="D102" s="551">
        <f t="shared" si="13"/>
        <v>0.45215999999999995</v>
      </c>
      <c r="E102" s="1056">
        <f t="shared" si="14"/>
        <v>56</v>
      </c>
      <c r="F102" s="1042">
        <f t="shared" si="15"/>
        <v>100</v>
      </c>
    </row>
    <row r="103" spans="1:13" ht="12" customHeight="1" x14ac:dyDescent="0.3">
      <c r="A103" s="1040" t="s">
        <v>1937</v>
      </c>
      <c r="B103" s="1053">
        <f t="shared" si="11"/>
        <v>125.97</v>
      </c>
      <c r="C103" s="1054">
        <f t="shared" si="12"/>
        <v>117</v>
      </c>
      <c r="D103" s="1054">
        <f t="shared" si="13"/>
        <v>0.45215999999999995</v>
      </c>
      <c r="E103" s="1053">
        <f t="shared" si="14"/>
        <v>56</v>
      </c>
      <c r="F103" s="1055">
        <f t="shared" si="15"/>
        <v>100</v>
      </c>
    </row>
    <row r="104" spans="1:13" ht="12" customHeight="1" x14ac:dyDescent="0.3">
      <c r="A104" s="1040" t="s">
        <v>1738</v>
      </c>
      <c r="B104" s="1056">
        <f t="shared" si="11"/>
        <v>125.97</v>
      </c>
      <c r="C104" s="551">
        <f t="shared" si="12"/>
        <v>117</v>
      </c>
      <c r="D104" s="551">
        <f t="shared" si="13"/>
        <v>0.45215999999999995</v>
      </c>
      <c r="E104" s="1056">
        <f t="shared" si="14"/>
        <v>56</v>
      </c>
      <c r="F104" s="1042">
        <f t="shared" si="15"/>
        <v>100</v>
      </c>
    </row>
    <row r="105" spans="1:13" ht="12" customHeight="1" x14ac:dyDescent="0.3">
      <c r="A105" s="1040" t="s">
        <v>1938</v>
      </c>
      <c r="B105" s="1053">
        <f t="shared" si="11"/>
        <v>80.75</v>
      </c>
      <c r="C105" s="1054">
        <f t="shared" si="12"/>
        <v>117</v>
      </c>
      <c r="D105" s="1054">
        <f t="shared" si="13"/>
        <v>0.45215999999999995</v>
      </c>
      <c r="E105" s="1053">
        <f t="shared" si="14"/>
        <v>56</v>
      </c>
      <c r="F105" s="1055">
        <f t="shared" si="15"/>
        <v>100</v>
      </c>
    </row>
    <row r="106" spans="1:13" ht="12" customHeight="1" x14ac:dyDescent="0.3">
      <c r="A106" s="1040" t="s">
        <v>1742</v>
      </c>
      <c r="B106" s="1056">
        <f t="shared" si="11"/>
        <v>137.00206500000002</v>
      </c>
      <c r="C106" s="551">
        <f t="shared" si="12"/>
        <v>117</v>
      </c>
      <c r="D106" s="551">
        <f t="shared" si="13"/>
        <v>0.45215999999999995</v>
      </c>
      <c r="E106" s="1056">
        <f t="shared" si="14"/>
        <v>64.581440000000001</v>
      </c>
      <c r="F106" s="1042">
        <f t="shared" si="15"/>
        <v>100</v>
      </c>
    </row>
    <row r="107" spans="1:13" ht="12" customHeight="1" x14ac:dyDescent="0.3">
      <c r="A107" s="1037" t="s">
        <v>1969</v>
      </c>
      <c r="B107" s="1057">
        <f t="shared" si="11"/>
        <v>2063.4621148000001</v>
      </c>
      <c r="C107" s="1038">
        <f t="shared" si="12"/>
        <v>4420</v>
      </c>
      <c r="D107" s="1038">
        <f t="shared" si="13"/>
        <v>8.5910399999999996</v>
      </c>
      <c r="E107" s="1057">
        <f t="shared" si="14"/>
        <v>1650.75162</v>
      </c>
      <c r="F107" s="1039">
        <f t="shared" si="15"/>
        <v>2100</v>
      </c>
    </row>
    <row r="108" spans="1:13" ht="12" customHeight="1" x14ac:dyDescent="0.3">
      <c r="A108" s="1035" t="s">
        <v>1969</v>
      </c>
      <c r="B108" s="1374">
        <f>SUM(B107:F107)</f>
        <v>10242.804774800001</v>
      </c>
      <c r="C108" s="1374"/>
      <c r="D108" s="1374"/>
      <c r="E108" s="1374"/>
      <c r="F108" s="1374"/>
    </row>
    <row r="109" spans="1:13" ht="12" customHeight="1" x14ac:dyDescent="0.3"/>
    <row r="110" spans="1:13" ht="12" customHeight="1" x14ac:dyDescent="0.3">
      <c r="A110" s="1375" t="s">
        <v>1970</v>
      </c>
      <c r="B110" s="1375"/>
    </row>
    <row r="111" spans="1:13" ht="12" customHeight="1" x14ac:dyDescent="0.3"/>
    <row r="112" spans="1:13" ht="12" customHeight="1" x14ac:dyDescent="0.3">
      <c r="A112" s="1372" t="s">
        <v>1912</v>
      </c>
      <c r="B112" s="1376" t="s">
        <v>1966</v>
      </c>
      <c r="C112" s="1376"/>
      <c r="D112" s="1376"/>
      <c r="E112" s="1376"/>
      <c r="F112" s="1376"/>
      <c r="G112" s="1376" t="s">
        <v>1969</v>
      </c>
      <c r="H112" s="1376" t="s">
        <v>1971</v>
      </c>
      <c r="I112" s="1377" t="s">
        <v>1971</v>
      </c>
      <c r="J112" s="1378" t="s">
        <v>1971</v>
      </c>
      <c r="K112" s="1379" t="s">
        <v>1972</v>
      </c>
      <c r="L112" s="1379" t="s">
        <v>1973</v>
      </c>
      <c r="M112" s="1380" t="s">
        <v>1974</v>
      </c>
    </row>
    <row r="113" spans="1:13" ht="12" customHeight="1" x14ac:dyDescent="0.3">
      <c r="A113" s="1372"/>
      <c r="B113" s="1038" t="s">
        <v>1918</v>
      </c>
      <c r="C113" s="1038" t="s">
        <v>1967</v>
      </c>
      <c r="D113" s="1038" t="s">
        <v>1955</v>
      </c>
      <c r="E113" s="1038" t="s">
        <v>1960</v>
      </c>
      <c r="F113" s="1038" t="s">
        <v>1968</v>
      </c>
      <c r="G113" s="1376"/>
      <c r="H113" s="1376"/>
      <c r="I113" s="1377"/>
      <c r="J113" s="1378"/>
      <c r="K113" s="1379"/>
      <c r="L113" s="1379"/>
      <c r="M113" s="1380"/>
    </row>
    <row r="114" spans="1:13" ht="12" customHeight="1" x14ac:dyDescent="0.3">
      <c r="A114" s="1372"/>
      <c r="B114" s="1038" t="s">
        <v>1931</v>
      </c>
      <c r="C114" s="1038" t="s">
        <v>1931</v>
      </c>
      <c r="D114" s="1038" t="s">
        <v>1931</v>
      </c>
      <c r="E114" s="1038" t="s">
        <v>1931</v>
      </c>
      <c r="F114" s="1038" t="s">
        <v>1931</v>
      </c>
      <c r="G114" s="1038" t="s">
        <v>1931</v>
      </c>
      <c r="H114" s="1038" t="s">
        <v>1975</v>
      </c>
      <c r="I114" s="1062" t="s">
        <v>1976</v>
      </c>
      <c r="J114" s="1023" t="s">
        <v>1977</v>
      </c>
      <c r="K114" s="1023" t="s">
        <v>28</v>
      </c>
      <c r="L114" s="1023" t="s">
        <v>28</v>
      </c>
      <c r="M114" s="1063" t="s">
        <v>28</v>
      </c>
    </row>
    <row r="115" spans="1:13" ht="12" customHeight="1" x14ac:dyDescent="0.3">
      <c r="A115" s="1040" t="s">
        <v>1932</v>
      </c>
      <c r="B115" s="1053">
        <f t="shared" ref="B115:F126" si="16">B95</f>
        <v>371.28287979999999</v>
      </c>
      <c r="C115" s="1064">
        <f t="shared" si="16"/>
        <v>1610</v>
      </c>
      <c r="D115" s="1053">
        <f t="shared" si="16"/>
        <v>0.9043199999999999</v>
      </c>
      <c r="E115" s="1053">
        <f t="shared" si="16"/>
        <v>228.6438</v>
      </c>
      <c r="F115" s="1064">
        <f t="shared" si="16"/>
        <v>300</v>
      </c>
      <c r="G115" s="1053">
        <f t="shared" ref="G115:G126" si="17">SUM(B115:F115)</f>
        <v>2510.8309998</v>
      </c>
      <c r="H115" s="1053">
        <f t="shared" ref="H115:H127" si="18">G115/($P$164*$P$165*$P$171)</f>
        <v>255.16575201219516</v>
      </c>
      <c r="I115" s="1053">
        <f t="shared" ref="I115:I127" si="19">H115/3600</f>
        <v>7.0879375558943095E-2</v>
      </c>
      <c r="J115" s="1053">
        <f t="shared" ref="J115:J127" si="20">I115*1000</f>
        <v>70.879375558943096</v>
      </c>
      <c r="K115" s="1054">
        <v>80</v>
      </c>
      <c r="L115" s="1054">
        <v>109</v>
      </c>
      <c r="M115" s="1055" t="s">
        <v>1978</v>
      </c>
    </row>
    <row r="116" spans="1:13" ht="12" customHeight="1" x14ac:dyDescent="0.3">
      <c r="A116" s="1040" t="s">
        <v>1933</v>
      </c>
      <c r="B116" s="1056">
        <f t="shared" si="16"/>
        <v>135.66</v>
      </c>
      <c r="C116" s="1065">
        <f t="shared" si="16"/>
        <v>264</v>
      </c>
      <c r="D116" s="1056">
        <f t="shared" si="16"/>
        <v>0.9043199999999999</v>
      </c>
      <c r="E116" s="1056">
        <f t="shared" si="16"/>
        <v>236.27099999999999</v>
      </c>
      <c r="F116" s="1065">
        <f t="shared" si="16"/>
        <v>400</v>
      </c>
      <c r="G116" s="1056">
        <f t="shared" si="17"/>
        <v>1036.8353199999999</v>
      </c>
      <c r="H116" s="1056">
        <f t="shared" si="18"/>
        <v>105.3694430894309</v>
      </c>
      <c r="I116" s="1056">
        <f t="shared" si="19"/>
        <v>2.926928974706414E-2</v>
      </c>
      <c r="J116" s="1056">
        <f t="shared" si="20"/>
        <v>29.269289747064139</v>
      </c>
      <c r="K116" s="551">
        <v>125</v>
      </c>
      <c r="L116" s="551">
        <v>122</v>
      </c>
      <c r="M116" s="1042" t="s">
        <v>1979</v>
      </c>
    </row>
    <row r="117" spans="1:13" ht="12" customHeight="1" x14ac:dyDescent="0.3">
      <c r="A117" s="1040" t="s">
        <v>1934</v>
      </c>
      <c r="B117" s="1053">
        <f t="shared" si="16"/>
        <v>322.03746000000001</v>
      </c>
      <c r="C117" s="1064">
        <f t="shared" si="16"/>
        <v>1127</v>
      </c>
      <c r="D117" s="1053">
        <f t="shared" si="16"/>
        <v>0.9043199999999999</v>
      </c>
      <c r="E117" s="1053">
        <f t="shared" si="16"/>
        <v>242.34840000000003</v>
      </c>
      <c r="F117" s="1064">
        <f t="shared" si="16"/>
        <v>100</v>
      </c>
      <c r="G117" s="1053">
        <f t="shared" si="17"/>
        <v>1792.2901800000002</v>
      </c>
      <c r="H117" s="1053">
        <f t="shared" si="18"/>
        <v>182.14331097560981</v>
      </c>
      <c r="I117" s="1053">
        <f t="shared" si="19"/>
        <v>5.0595364159891611E-2</v>
      </c>
      <c r="J117" s="1053">
        <f t="shared" si="20"/>
        <v>50.595364159891609</v>
      </c>
      <c r="K117" s="1054">
        <v>100</v>
      </c>
      <c r="L117" s="1054">
        <v>109</v>
      </c>
      <c r="M117" s="1055" t="s">
        <v>1978</v>
      </c>
    </row>
    <row r="118" spans="1:13" ht="12" customHeight="1" x14ac:dyDescent="0.3">
      <c r="A118" s="1040" t="s">
        <v>1935</v>
      </c>
      <c r="B118" s="1056">
        <f t="shared" si="16"/>
        <v>135.66</v>
      </c>
      <c r="C118" s="1065">
        <f t="shared" si="16"/>
        <v>468</v>
      </c>
      <c r="D118" s="1056">
        <f t="shared" si="16"/>
        <v>0.9043199999999999</v>
      </c>
      <c r="E118" s="1056">
        <f t="shared" si="16"/>
        <v>242.34840000000003</v>
      </c>
      <c r="F118" s="1065">
        <f t="shared" si="16"/>
        <v>300</v>
      </c>
      <c r="G118" s="1056">
        <f t="shared" si="17"/>
        <v>1146.91272</v>
      </c>
      <c r="H118" s="1056">
        <f t="shared" si="18"/>
        <v>116.55617073170734</v>
      </c>
      <c r="I118" s="1056">
        <f t="shared" si="19"/>
        <v>3.2376714092140928E-2</v>
      </c>
      <c r="J118" s="1056">
        <f t="shared" si="20"/>
        <v>32.376714092140929</v>
      </c>
      <c r="K118" s="551">
        <v>125</v>
      </c>
      <c r="L118" s="551">
        <v>122</v>
      </c>
      <c r="M118" s="1042" t="s">
        <v>1979</v>
      </c>
    </row>
    <row r="119" spans="1:13" ht="12" customHeight="1" x14ac:dyDescent="0.3">
      <c r="A119" s="1040" t="s">
        <v>1936</v>
      </c>
      <c r="B119" s="1053">
        <f t="shared" si="16"/>
        <v>207.88764500000002</v>
      </c>
      <c r="C119" s="1064">
        <f t="shared" si="16"/>
        <v>132</v>
      </c>
      <c r="D119" s="1053">
        <f t="shared" si="16"/>
        <v>0.9043199999999999</v>
      </c>
      <c r="E119" s="1053">
        <f t="shared" si="16"/>
        <v>205.53049999999999</v>
      </c>
      <c r="F119" s="1064">
        <f t="shared" si="16"/>
        <v>300</v>
      </c>
      <c r="G119" s="1053">
        <f t="shared" si="17"/>
        <v>846.32246499999997</v>
      </c>
      <c r="H119" s="1053">
        <f t="shared" si="18"/>
        <v>86.008380589430914</v>
      </c>
      <c r="I119" s="1053">
        <f t="shared" si="19"/>
        <v>2.3891216830397476E-2</v>
      </c>
      <c r="J119" s="1053">
        <f t="shared" si="20"/>
        <v>23.891216830397475</v>
      </c>
      <c r="K119" s="1054">
        <v>100</v>
      </c>
      <c r="L119" s="1054">
        <v>109</v>
      </c>
      <c r="M119" s="1055" t="s">
        <v>1978</v>
      </c>
    </row>
    <row r="120" spans="1:13" ht="12" customHeight="1" x14ac:dyDescent="0.3">
      <c r="A120" s="1040" t="s">
        <v>1740</v>
      </c>
      <c r="B120" s="1056">
        <f t="shared" si="16"/>
        <v>158.27000000000001</v>
      </c>
      <c r="C120" s="1065">
        <f t="shared" si="16"/>
        <v>117</v>
      </c>
      <c r="D120" s="1056">
        <f t="shared" si="16"/>
        <v>0.9043199999999999</v>
      </c>
      <c r="E120" s="1056">
        <f t="shared" si="16"/>
        <v>110.15591999999999</v>
      </c>
      <c r="F120" s="1065">
        <f t="shared" si="16"/>
        <v>100</v>
      </c>
      <c r="G120" s="1056">
        <f t="shared" si="17"/>
        <v>486.33023999999995</v>
      </c>
      <c r="H120" s="1056">
        <f t="shared" si="18"/>
        <v>49.423804878048784</v>
      </c>
      <c r="I120" s="1056">
        <f t="shared" si="19"/>
        <v>1.3728834688346885E-2</v>
      </c>
      <c r="J120" s="1056">
        <f t="shared" si="20"/>
        <v>13.728834688346884</v>
      </c>
      <c r="K120" s="551">
        <v>80</v>
      </c>
      <c r="L120" s="551">
        <v>109</v>
      </c>
      <c r="M120" s="1042" t="s">
        <v>1978</v>
      </c>
    </row>
    <row r="121" spans="1:13" ht="12" customHeight="1" x14ac:dyDescent="0.3">
      <c r="A121" s="1040" t="s">
        <v>1731</v>
      </c>
      <c r="B121" s="1053">
        <f t="shared" si="16"/>
        <v>182.22206500000001</v>
      </c>
      <c r="C121" s="1064">
        <f t="shared" si="16"/>
        <v>117</v>
      </c>
      <c r="D121" s="1053">
        <f t="shared" si="16"/>
        <v>0.9043199999999999</v>
      </c>
      <c r="E121" s="1053">
        <f t="shared" si="16"/>
        <v>96.872160000000008</v>
      </c>
      <c r="F121" s="1064">
        <f t="shared" si="16"/>
        <v>100</v>
      </c>
      <c r="G121" s="1053">
        <f t="shared" si="17"/>
        <v>496.99854500000004</v>
      </c>
      <c r="H121" s="1053">
        <f t="shared" si="18"/>
        <v>50.507982215447171</v>
      </c>
      <c r="I121" s="1053">
        <f t="shared" si="19"/>
        <v>1.4029995059846437E-2</v>
      </c>
      <c r="J121" s="1053">
        <f t="shared" si="20"/>
        <v>14.029995059846437</v>
      </c>
      <c r="K121" s="1054">
        <v>80</v>
      </c>
      <c r="L121" s="1054">
        <v>109</v>
      </c>
      <c r="M121" s="1055" t="s">
        <v>1978</v>
      </c>
    </row>
    <row r="122" spans="1:13" ht="12" customHeight="1" x14ac:dyDescent="0.3">
      <c r="A122" s="1040" t="s">
        <v>1737</v>
      </c>
      <c r="B122" s="1056">
        <f t="shared" si="16"/>
        <v>80.75</v>
      </c>
      <c r="C122" s="1065">
        <f t="shared" si="16"/>
        <v>117</v>
      </c>
      <c r="D122" s="1056">
        <f t="shared" si="16"/>
        <v>0.45215999999999995</v>
      </c>
      <c r="E122" s="1056">
        <f t="shared" si="16"/>
        <v>56</v>
      </c>
      <c r="F122" s="1065">
        <f t="shared" si="16"/>
        <v>100</v>
      </c>
      <c r="G122" s="1056">
        <f t="shared" si="17"/>
        <v>354.20215999999999</v>
      </c>
      <c r="H122" s="1056">
        <f t="shared" si="18"/>
        <v>35.99615447154472</v>
      </c>
      <c r="I122" s="1056">
        <f t="shared" si="19"/>
        <v>9.9989317976513104E-3</v>
      </c>
      <c r="J122" s="1056">
        <f t="shared" si="20"/>
        <v>9.998931797651311</v>
      </c>
      <c r="K122" s="551">
        <v>80</v>
      </c>
      <c r="L122" s="551">
        <v>109</v>
      </c>
      <c r="M122" s="1042" t="s">
        <v>1978</v>
      </c>
    </row>
    <row r="123" spans="1:13" ht="12" customHeight="1" x14ac:dyDescent="0.3">
      <c r="A123" s="1040" t="s">
        <v>1937</v>
      </c>
      <c r="B123" s="1053">
        <f t="shared" si="16"/>
        <v>125.97</v>
      </c>
      <c r="C123" s="1064">
        <f t="shared" si="16"/>
        <v>117</v>
      </c>
      <c r="D123" s="1053">
        <f t="shared" si="16"/>
        <v>0.45215999999999995</v>
      </c>
      <c r="E123" s="1053">
        <f t="shared" si="16"/>
        <v>56</v>
      </c>
      <c r="F123" s="1064">
        <f t="shared" si="16"/>
        <v>100</v>
      </c>
      <c r="G123" s="1053">
        <f t="shared" si="17"/>
        <v>399.42215999999996</v>
      </c>
      <c r="H123" s="1053">
        <f t="shared" si="18"/>
        <v>40.591682926829272</v>
      </c>
      <c r="I123" s="1053">
        <f t="shared" si="19"/>
        <v>1.1275467479674797E-2</v>
      </c>
      <c r="J123" s="1053">
        <f t="shared" si="20"/>
        <v>11.275467479674797</v>
      </c>
      <c r="K123" s="1054">
        <v>80</v>
      </c>
      <c r="L123" s="1054">
        <v>109</v>
      </c>
      <c r="M123" s="1055" t="s">
        <v>1978</v>
      </c>
    </row>
    <row r="124" spans="1:13" ht="12" customHeight="1" x14ac:dyDescent="0.3">
      <c r="A124" s="1040" t="s">
        <v>1738</v>
      </c>
      <c r="B124" s="1056">
        <f t="shared" si="16"/>
        <v>125.97</v>
      </c>
      <c r="C124" s="1065">
        <f t="shared" si="16"/>
        <v>117</v>
      </c>
      <c r="D124" s="1056">
        <f t="shared" si="16"/>
        <v>0.45215999999999995</v>
      </c>
      <c r="E124" s="1056">
        <f t="shared" si="16"/>
        <v>56</v>
      </c>
      <c r="F124" s="1065">
        <f t="shared" si="16"/>
        <v>100</v>
      </c>
      <c r="G124" s="1056">
        <f t="shared" si="17"/>
        <v>399.42215999999996</v>
      </c>
      <c r="H124" s="1056">
        <f t="shared" si="18"/>
        <v>40.591682926829272</v>
      </c>
      <c r="I124" s="1056">
        <f t="shared" si="19"/>
        <v>1.1275467479674797E-2</v>
      </c>
      <c r="J124" s="1056">
        <f t="shared" si="20"/>
        <v>11.275467479674797</v>
      </c>
      <c r="K124" s="551">
        <v>80</v>
      </c>
      <c r="L124" s="551">
        <v>109</v>
      </c>
      <c r="M124" s="1042" t="s">
        <v>1978</v>
      </c>
    </row>
    <row r="125" spans="1:13" ht="12" customHeight="1" x14ac:dyDescent="0.3">
      <c r="A125" s="1040" t="s">
        <v>1938</v>
      </c>
      <c r="B125" s="1053">
        <f t="shared" si="16"/>
        <v>80.75</v>
      </c>
      <c r="C125" s="1064">
        <f t="shared" si="16"/>
        <v>117</v>
      </c>
      <c r="D125" s="1053">
        <f t="shared" si="16"/>
        <v>0.45215999999999995</v>
      </c>
      <c r="E125" s="1053">
        <f t="shared" si="16"/>
        <v>56</v>
      </c>
      <c r="F125" s="1064">
        <f t="shared" si="16"/>
        <v>100</v>
      </c>
      <c r="G125" s="1053">
        <f t="shared" si="17"/>
        <v>354.20215999999999</v>
      </c>
      <c r="H125" s="1053">
        <f t="shared" si="18"/>
        <v>35.99615447154472</v>
      </c>
      <c r="I125" s="1053">
        <f t="shared" si="19"/>
        <v>9.9989317976513104E-3</v>
      </c>
      <c r="J125" s="1053">
        <f t="shared" si="20"/>
        <v>9.998931797651311</v>
      </c>
      <c r="K125" s="1054">
        <v>80</v>
      </c>
      <c r="L125" s="1054">
        <v>109</v>
      </c>
      <c r="M125" s="1055" t="s">
        <v>1978</v>
      </c>
    </row>
    <row r="126" spans="1:13" ht="12" customHeight="1" x14ac:dyDescent="0.3">
      <c r="A126" s="1040" t="s">
        <v>1742</v>
      </c>
      <c r="B126" s="1056">
        <f t="shared" si="16"/>
        <v>137.00206500000002</v>
      </c>
      <c r="C126" s="1065">
        <f t="shared" si="16"/>
        <v>117</v>
      </c>
      <c r="D126" s="1056">
        <f t="shared" si="16"/>
        <v>0.45215999999999995</v>
      </c>
      <c r="E126" s="1056">
        <f t="shared" si="16"/>
        <v>64.581440000000001</v>
      </c>
      <c r="F126" s="1065">
        <f t="shared" si="16"/>
        <v>100</v>
      </c>
      <c r="G126" s="1056">
        <f t="shared" si="17"/>
        <v>419.03566499999999</v>
      </c>
      <c r="H126" s="1056">
        <f t="shared" si="18"/>
        <v>42.584925304878055</v>
      </c>
      <c r="I126" s="1056">
        <f t="shared" si="19"/>
        <v>1.1829145918021682E-2</v>
      </c>
      <c r="J126" s="1056">
        <f t="shared" si="20"/>
        <v>11.829145918021682</v>
      </c>
      <c r="K126" s="551">
        <v>80</v>
      </c>
      <c r="L126" s="551">
        <v>109</v>
      </c>
      <c r="M126" s="1042" t="s">
        <v>1978</v>
      </c>
    </row>
    <row r="127" spans="1:13" ht="12" customHeight="1" x14ac:dyDescent="0.3">
      <c r="A127" s="1362" t="s">
        <v>1969</v>
      </c>
      <c r="B127" s="1362"/>
      <c r="C127" s="1362"/>
      <c r="D127" s="1362"/>
      <c r="E127" s="1362"/>
      <c r="F127" s="1362"/>
      <c r="G127" s="1066">
        <f>SUM(G115:G126)</f>
        <v>10242.804774800001</v>
      </c>
      <c r="H127" s="1066">
        <f t="shared" si="18"/>
        <v>1040.9354445934962</v>
      </c>
      <c r="I127" s="1067">
        <f t="shared" si="19"/>
        <v>0.28914873460930451</v>
      </c>
      <c r="J127" s="1068">
        <f t="shared" si="20"/>
        <v>289.14873460930454</v>
      </c>
      <c r="K127" s="1069">
        <v>250</v>
      </c>
      <c r="L127" s="1069">
        <v>148</v>
      </c>
      <c r="M127" s="1070" t="s">
        <v>1980</v>
      </c>
    </row>
    <row r="128" spans="1:13" ht="12" customHeight="1" x14ac:dyDescent="0.3">
      <c r="A128" s="1052"/>
      <c r="B128" s="1052"/>
      <c r="C128" s="1052"/>
      <c r="D128" s="1052"/>
      <c r="E128" s="1052"/>
      <c r="F128" s="1052"/>
      <c r="G128" s="1071"/>
      <c r="H128" s="1071"/>
      <c r="I128" s="1071"/>
      <c r="J128" s="1071"/>
    </row>
    <row r="129" spans="1:14" ht="12" customHeight="1" x14ac:dyDescent="0.3">
      <c r="A129" s="1372" t="s">
        <v>1912</v>
      </c>
      <c r="B129" s="1376" t="s">
        <v>1981</v>
      </c>
      <c r="C129" s="1376"/>
      <c r="D129" s="1381" t="s">
        <v>1982</v>
      </c>
      <c r="E129" s="1381"/>
      <c r="F129" s="1058" t="s">
        <v>1983</v>
      </c>
      <c r="G129" s="1373" t="s">
        <v>1573</v>
      </c>
      <c r="H129" s="1373"/>
      <c r="I129" s="1071"/>
      <c r="J129" s="1071"/>
    </row>
    <row r="130" spans="1:14" ht="12" customHeight="1" x14ac:dyDescent="0.3">
      <c r="A130" s="1372"/>
      <c r="B130" s="1376"/>
      <c r="C130" s="1376"/>
      <c r="D130" s="1045" t="s">
        <v>1984</v>
      </c>
      <c r="E130" s="1045" t="s">
        <v>28</v>
      </c>
      <c r="F130" s="1072"/>
      <c r="G130" s="1038" t="s">
        <v>1977</v>
      </c>
      <c r="H130" s="1073" t="s">
        <v>1985</v>
      </c>
      <c r="I130" s="1071"/>
      <c r="J130" s="1071"/>
    </row>
    <row r="131" spans="1:14" ht="12" customHeight="1" x14ac:dyDescent="0.3">
      <c r="A131" s="1072" t="s">
        <v>1932</v>
      </c>
      <c r="B131" s="1382" t="s">
        <v>1986</v>
      </c>
      <c r="C131" s="1382"/>
      <c r="D131" s="1074">
        <v>16</v>
      </c>
      <c r="E131" s="1074">
        <v>400</v>
      </c>
      <c r="F131" s="1054">
        <v>4</v>
      </c>
      <c r="G131" s="1064">
        <f t="shared" ref="G131:G142" si="21">(H131*0.278)*F131</f>
        <v>72.28</v>
      </c>
      <c r="H131" s="1075">
        <v>65</v>
      </c>
      <c r="I131" s="1071"/>
      <c r="J131" s="1071"/>
    </row>
    <row r="132" spans="1:14" ht="12" customHeight="1" x14ac:dyDescent="0.3">
      <c r="A132" s="1072" t="s">
        <v>1933</v>
      </c>
      <c r="B132" s="1382"/>
      <c r="C132" s="1382"/>
      <c r="D132" s="1076">
        <v>12</v>
      </c>
      <c r="E132" s="1076">
        <v>300</v>
      </c>
      <c r="F132" s="551">
        <v>3</v>
      </c>
      <c r="G132" s="1065">
        <f t="shared" si="21"/>
        <v>30.024000000000001</v>
      </c>
      <c r="H132" s="1077">
        <v>36</v>
      </c>
      <c r="I132" s="1071"/>
      <c r="J132" s="1071"/>
    </row>
    <row r="133" spans="1:14" ht="12" customHeight="1" x14ac:dyDescent="0.3">
      <c r="A133" s="1072" t="s">
        <v>1934</v>
      </c>
      <c r="B133" s="1382"/>
      <c r="C133" s="1382"/>
      <c r="D133" s="1074">
        <v>16</v>
      </c>
      <c r="E133" s="1074">
        <v>400</v>
      </c>
      <c r="F133" s="1054">
        <v>3</v>
      </c>
      <c r="G133" s="1064">
        <f t="shared" si="21"/>
        <v>54.21</v>
      </c>
      <c r="H133" s="1075">
        <v>65</v>
      </c>
      <c r="I133" s="1071"/>
      <c r="J133" s="1071"/>
    </row>
    <row r="134" spans="1:14" ht="12" customHeight="1" x14ac:dyDescent="0.3">
      <c r="A134" s="1072" t="s">
        <v>1935</v>
      </c>
      <c r="B134" s="1382"/>
      <c r="C134" s="1382"/>
      <c r="D134" s="1076">
        <v>16</v>
      </c>
      <c r="E134" s="1076">
        <v>400</v>
      </c>
      <c r="F134" s="551">
        <v>2</v>
      </c>
      <c r="G134" s="1065">
        <f t="shared" si="21"/>
        <v>36.14</v>
      </c>
      <c r="H134" s="1077">
        <v>65</v>
      </c>
      <c r="I134" s="1071"/>
      <c r="J134" s="1071"/>
      <c r="K134" s="1056">
        <f>J117+J120+J126+J124+J125</f>
        <v>97.427744043586287</v>
      </c>
      <c r="L134" s="1056">
        <f>J115+J116</f>
        <v>100.14866530600723</v>
      </c>
    </row>
    <row r="135" spans="1:14" ht="12" customHeight="1" x14ac:dyDescent="0.3">
      <c r="A135" s="1072" t="s">
        <v>1936</v>
      </c>
      <c r="B135" s="1382"/>
      <c r="C135" s="1382"/>
      <c r="D135" s="1074">
        <v>16</v>
      </c>
      <c r="E135" s="1074">
        <v>400</v>
      </c>
      <c r="F135" s="1054">
        <v>2</v>
      </c>
      <c r="G135" s="1064">
        <f t="shared" si="21"/>
        <v>36.14</v>
      </c>
      <c r="H135" s="1075">
        <v>65</v>
      </c>
      <c r="I135" s="1071"/>
      <c r="J135" s="1071"/>
    </row>
    <row r="136" spans="1:14" ht="12" customHeight="1" x14ac:dyDescent="0.3">
      <c r="A136" s="1072" t="s">
        <v>1740</v>
      </c>
      <c r="B136" s="1382"/>
      <c r="C136" s="1382"/>
      <c r="D136" s="1076">
        <v>16</v>
      </c>
      <c r="E136" s="1076">
        <v>400</v>
      </c>
      <c r="F136" s="551">
        <v>1</v>
      </c>
      <c r="G136" s="1065">
        <f t="shared" si="21"/>
        <v>18.07</v>
      </c>
      <c r="H136" s="1077">
        <v>65</v>
      </c>
      <c r="I136" s="1071"/>
      <c r="J136" s="1071"/>
    </row>
    <row r="137" spans="1:14" ht="12" customHeight="1" x14ac:dyDescent="0.3">
      <c r="A137" s="1072" t="s">
        <v>1731</v>
      </c>
      <c r="B137" s="1382"/>
      <c r="C137" s="1382"/>
      <c r="D137" s="1074">
        <v>16</v>
      </c>
      <c r="E137" s="1074">
        <v>400</v>
      </c>
      <c r="F137" s="1054">
        <v>1</v>
      </c>
      <c r="G137" s="1064">
        <f t="shared" si="21"/>
        <v>18.07</v>
      </c>
      <c r="H137" s="1075">
        <v>65</v>
      </c>
      <c r="I137" s="1071"/>
      <c r="J137" s="1071"/>
    </row>
    <row r="138" spans="1:14" ht="12" customHeight="1" x14ac:dyDescent="0.3">
      <c r="A138" s="1072" t="s">
        <v>1737</v>
      </c>
      <c r="B138" s="1382"/>
      <c r="C138" s="1382"/>
      <c r="D138" s="1076">
        <v>12</v>
      </c>
      <c r="E138" s="1076">
        <v>300</v>
      </c>
      <c r="F138" s="551">
        <v>1</v>
      </c>
      <c r="G138" s="1065">
        <f t="shared" si="21"/>
        <v>10.008000000000001</v>
      </c>
      <c r="H138" s="1077">
        <v>36</v>
      </c>
      <c r="I138" s="1071"/>
      <c r="J138" s="1071"/>
    </row>
    <row r="139" spans="1:14" ht="12" customHeight="1" x14ac:dyDescent="0.3">
      <c r="A139" s="1072" t="s">
        <v>1937</v>
      </c>
      <c r="B139" s="1382"/>
      <c r="C139" s="1382"/>
      <c r="D139" s="1074">
        <v>16</v>
      </c>
      <c r="E139" s="1074">
        <v>400</v>
      </c>
      <c r="F139" s="1054">
        <v>1</v>
      </c>
      <c r="G139" s="1064">
        <f t="shared" si="21"/>
        <v>18.07</v>
      </c>
      <c r="H139" s="1075">
        <v>65</v>
      </c>
      <c r="I139" s="1071"/>
      <c r="J139" s="1071"/>
      <c r="M139" s="551">
        <v>1100</v>
      </c>
      <c r="N139" s="551">
        <v>1040.9349999999999</v>
      </c>
    </row>
    <row r="140" spans="1:14" ht="12" customHeight="1" x14ac:dyDescent="0.3">
      <c r="A140" s="1072" t="s">
        <v>1738</v>
      </c>
      <c r="B140" s="1382"/>
      <c r="C140" s="1382"/>
      <c r="D140" s="1076">
        <v>16</v>
      </c>
      <c r="E140" s="1076">
        <v>400</v>
      </c>
      <c r="F140" s="551">
        <v>1</v>
      </c>
      <c r="G140" s="1065">
        <f t="shared" si="21"/>
        <v>18.07</v>
      </c>
      <c r="H140" s="1077">
        <v>65</v>
      </c>
      <c r="I140" s="1071"/>
      <c r="J140" s="1071"/>
    </row>
    <row r="141" spans="1:14" ht="12" customHeight="1" x14ac:dyDescent="0.3">
      <c r="A141" s="1072" t="s">
        <v>1938</v>
      </c>
      <c r="B141" s="1382"/>
      <c r="C141" s="1382"/>
      <c r="D141" s="1074">
        <v>12</v>
      </c>
      <c r="E141" s="1074">
        <v>300</v>
      </c>
      <c r="F141" s="1054">
        <v>1</v>
      </c>
      <c r="G141" s="1064">
        <f t="shared" si="21"/>
        <v>10.008000000000001</v>
      </c>
      <c r="H141" s="1075">
        <v>36</v>
      </c>
      <c r="I141" s="1071"/>
      <c r="J141" s="1071"/>
      <c r="M141" s="1078">
        <f>((M139-N139)/N139)*100%</f>
        <v>5.6742255760446191E-2</v>
      </c>
    </row>
    <row r="142" spans="1:14" ht="12" customHeight="1" x14ac:dyDescent="0.3">
      <c r="A142" s="1072" t="s">
        <v>1742</v>
      </c>
      <c r="B142" s="1382"/>
      <c r="C142" s="1382"/>
      <c r="D142" s="1076">
        <v>16</v>
      </c>
      <c r="E142" s="1076">
        <v>400</v>
      </c>
      <c r="F142" s="551">
        <v>1</v>
      </c>
      <c r="G142" s="1065">
        <f t="shared" si="21"/>
        <v>18.07</v>
      </c>
      <c r="H142" s="1077">
        <v>65</v>
      </c>
      <c r="I142" s="1071"/>
      <c r="J142" s="1071"/>
    </row>
    <row r="143" spans="1:14" ht="12" customHeight="1" x14ac:dyDescent="0.3">
      <c r="A143" s="1362" t="s">
        <v>1743</v>
      </c>
      <c r="B143" s="1362"/>
      <c r="C143" s="1362"/>
      <c r="D143" s="1362"/>
      <c r="E143" s="1362"/>
      <c r="F143" s="1362"/>
      <c r="G143" s="1079">
        <f>SUM(G131:G142)</f>
        <v>339.15999999999991</v>
      </c>
      <c r="H143" s="1080">
        <f>SUM(H131:H142)</f>
        <v>693</v>
      </c>
      <c r="I143" s="1071"/>
      <c r="J143" s="1071"/>
    </row>
    <row r="144" spans="1:14" ht="12" customHeight="1" x14ac:dyDescent="0.3">
      <c r="A144" s="1052"/>
      <c r="B144" s="1052"/>
      <c r="C144" s="1052"/>
      <c r="D144" s="1052"/>
      <c r="E144" s="1052"/>
      <c r="F144" s="1052">
        <f>SUM(F131:F142)</f>
        <v>21</v>
      </c>
      <c r="G144" s="1071"/>
      <c r="H144" s="1071"/>
      <c r="J144" s="1071"/>
    </row>
    <row r="145" spans="1:14" ht="36" customHeight="1" x14ac:dyDescent="0.3">
      <c r="A145" s="1081" t="s">
        <v>1912</v>
      </c>
      <c r="B145" s="1059" t="s">
        <v>1987</v>
      </c>
      <c r="C145" s="1059" t="s">
        <v>1988</v>
      </c>
      <c r="D145" s="1060" t="s">
        <v>1989</v>
      </c>
      <c r="E145" s="1060" t="s">
        <v>1972</v>
      </c>
      <c r="F145" s="1060" t="s">
        <v>1973</v>
      </c>
      <c r="G145" s="1061" t="s">
        <v>1974</v>
      </c>
    </row>
    <row r="146" spans="1:14" ht="12" customHeight="1" x14ac:dyDescent="0.3">
      <c r="A146" s="1022"/>
      <c r="B146" s="1023" t="s">
        <v>1990</v>
      </c>
      <c r="C146" s="1023" t="s">
        <v>1977</v>
      </c>
      <c r="D146" s="1023" t="s">
        <v>1991</v>
      </c>
      <c r="E146" s="1023" t="s">
        <v>28</v>
      </c>
      <c r="F146" s="1023" t="s">
        <v>28</v>
      </c>
      <c r="G146" s="1063" t="s">
        <v>28</v>
      </c>
      <c r="L146" s="551">
        <f>1100/H127</f>
        <v>1.0567418044157095</v>
      </c>
      <c r="N146" s="551">
        <f>J116*L146</f>
        <v>30.930082061278785</v>
      </c>
    </row>
    <row r="147" spans="1:14" ht="12" customHeight="1" x14ac:dyDescent="0.3">
      <c r="A147" s="1040" t="s">
        <v>1992</v>
      </c>
      <c r="B147" s="1054">
        <v>5.8</v>
      </c>
      <c r="C147" s="1064">
        <f>J127</f>
        <v>289.14873460930454</v>
      </c>
      <c r="D147" s="1054">
        <v>1.7</v>
      </c>
      <c r="E147" s="1054">
        <v>250</v>
      </c>
      <c r="F147" s="1054">
        <v>248</v>
      </c>
      <c r="G147" s="1055" t="s">
        <v>1980</v>
      </c>
      <c r="H147" s="551">
        <f>300*175</f>
        <v>52500</v>
      </c>
      <c r="N147" s="551">
        <f>J125*L146</f>
        <v>10.566289230079661</v>
      </c>
    </row>
    <row r="148" spans="1:14" ht="12" customHeight="1" x14ac:dyDescent="0.3">
      <c r="A148" s="1040" t="s">
        <v>1932</v>
      </c>
      <c r="B148" s="551">
        <v>5.8</v>
      </c>
      <c r="C148" s="1065">
        <f t="shared" ref="C148:C159" si="22">J115</f>
        <v>70.879375558943096</v>
      </c>
      <c r="D148" s="551">
        <v>3.8</v>
      </c>
      <c r="E148" s="551">
        <v>125</v>
      </c>
      <c r="F148" s="551">
        <v>122</v>
      </c>
      <c r="G148" s="1042" t="s">
        <v>1979</v>
      </c>
      <c r="H148" s="551" t="s">
        <v>1993</v>
      </c>
    </row>
    <row r="149" spans="1:14" ht="12" customHeight="1" x14ac:dyDescent="0.3">
      <c r="A149" s="1040" t="s">
        <v>1933</v>
      </c>
      <c r="B149" s="1054">
        <v>3.75</v>
      </c>
      <c r="C149" s="1064">
        <f t="shared" si="22"/>
        <v>29.269289747064139</v>
      </c>
      <c r="D149" s="1054">
        <v>2.4</v>
      </c>
      <c r="E149" s="1054">
        <v>100</v>
      </c>
      <c r="F149" s="1054">
        <v>109</v>
      </c>
      <c r="G149" s="1055" t="s">
        <v>1978</v>
      </c>
    </row>
    <row r="150" spans="1:14" ht="12" customHeight="1" x14ac:dyDescent="0.3">
      <c r="A150" s="1040" t="s">
        <v>1934</v>
      </c>
      <c r="B150" s="551">
        <v>4.0999999999999996</v>
      </c>
      <c r="C150" s="1065">
        <f t="shared" si="22"/>
        <v>50.595364159891609</v>
      </c>
      <c r="D150" s="551">
        <v>1.9</v>
      </c>
      <c r="E150" s="551">
        <v>125</v>
      </c>
      <c r="F150" s="551">
        <v>122</v>
      </c>
      <c r="G150" s="1042" t="s">
        <v>1979</v>
      </c>
      <c r="K150" s="1082"/>
      <c r="L150" s="1083"/>
    </row>
    <row r="151" spans="1:14" ht="12" customHeight="1" x14ac:dyDescent="0.3">
      <c r="A151" s="1040" t="s">
        <v>1935</v>
      </c>
      <c r="B151" s="1054">
        <v>3.8</v>
      </c>
      <c r="C151" s="1064">
        <f t="shared" si="22"/>
        <v>32.376714092140929</v>
      </c>
      <c r="D151" s="1054">
        <v>2.5</v>
      </c>
      <c r="E151" s="1054">
        <v>100</v>
      </c>
      <c r="F151" s="1054">
        <v>109</v>
      </c>
      <c r="G151" s="1055" t="s">
        <v>1978</v>
      </c>
      <c r="K151" s="1082"/>
      <c r="L151" s="1083"/>
    </row>
    <row r="152" spans="1:14" ht="12" customHeight="1" x14ac:dyDescent="0.3">
      <c r="A152" s="1040" t="s">
        <v>1936</v>
      </c>
      <c r="B152" s="551">
        <v>4.8</v>
      </c>
      <c r="C152" s="1065">
        <f t="shared" si="22"/>
        <v>23.891216830397475</v>
      </c>
      <c r="D152" s="551">
        <v>4.5</v>
      </c>
      <c r="E152" s="551">
        <v>80</v>
      </c>
      <c r="F152" s="551">
        <v>109</v>
      </c>
      <c r="G152" s="1042" t="s">
        <v>1978</v>
      </c>
      <c r="K152" s="1082"/>
      <c r="L152" s="1083"/>
    </row>
    <row r="153" spans="1:14" ht="12" customHeight="1" x14ac:dyDescent="0.3">
      <c r="A153" s="1040" t="s">
        <v>1740</v>
      </c>
      <c r="B153" s="1054">
        <v>4</v>
      </c>
      <c r="C153" s="1064">
        <f t="shared" si="22"/>
        <v>13.728834688346884</v>
      </c>
      <c r="D153" s="1054">
        <v>3.3</v>
      </c>
      <c r="E153" s="1054">
        <v>80</v>
      </c>
      <c r="F153" s="1054">
        <v>109</v>
      </c>
      <c r="G153" s="1055" t="s">
        <v>1978</v>
      </c>
      <c r="K153" s="1083"/>
      <c r="L153" s="1083"/>
    </row>
    <row r="154" spans="1:14" ht="12" customHeight="1" x14ac:dyDescent="0.3">
      <c r="A154" s="1040" t="s">
        <v>1731</v>
      </c>
      <c r="B154" s="551">
        <v>4</v>
      </c>
      <c r="C154" s="1065">
        <f t="shared" si="22"/>
        <v>14.029995059846437</v>
      </c>
      <c r="D154" s="551">
        <v>3.3</v>
      </c>
      <c r="E154" s="551">
        <v>80</v>
      </c>
      <c r="F154" s="551">
        <v>109</v>
      </c>
      <c r="G154" s="1042" t="s">
        <v>1978</v>
      </c>
      <c r="K154" s="1083"/>
      <c r="L154" s="1083"/>
    </row>
    <row r="155" spans="1:14" ht="12" customHeight="1" x14ac:dyDescent="0.3">
      <c r="A155" s="1040" t="s">
        <v>1737</v>
      </c>
      <c r="B155" s="1054">
        <v>4</v>
      </c>
      <c r="C155" s="1064">
        <f t="shared" si="22"/>
        <v>9.998931797651311</v>
      </c>
      <c r="D155" s="1054">
        <v>3.3</v>
      </c>
      <c r="E155" s="1054">
        <v>80</v>
      </c>
      <c r="F155" s="1054">
        <v>109</v>
      </c>
      <c r="G155" s="1055" t="s">
        <v>1978</v>
      </c>
      <c r="K155" s="1083"/>
      <c r="L155" s="1083"/>
    </row>
    <row r="156" spans="1:14" ht="12" customHeight="1" x14ac:dyDescent="0.3">
      <c r="A156" s="1040" t="s">
        <v>1937</v>
      </c>
      <c r="B156" s="551">
        <v>4</v>
      </c>
      <c r="C156" s="1065">
        <f t="shared" si="22"/>
        <v>11.275467479674797</v>
      </c>
      <c r="D156" s="551">
        <v>3.3</v>
      </c>
      <c r="E156" s="551">
        <v>80</v>
      </c>
      <c r="F156" s="551">
        <v>109</v>
      </c>
      <c r="G156" s="1042" t="s">
        <v>1978</v>
      </c>
      <c r="K156" s="1083"/>
      <c r="L156" s="1083"/>
    </row>
    <row r="157" spans="1:14" ht="12" customHeight="1" x14ac:dyDescent="0.3">
      <c r="A157" s="1040" t="s">
        <v>1738</v>
      </c>
      <c r="B157" s="1054">
        <v>4</v>
      </c>
      <c r="C157" s="1064">
        <f t="shared" si="22"/>
        <v>11.275467479674797</v>
      </c>
      <c r="D157" s="1054">
        <v>3.3</v>
      </c>
      <c r="E157" s="1054">
        <v>80</v>
      </c>
      <c r="F157" s="1054">
        <v>109</v>
      </c>
      <c r="G157" s="1055" t="s">
        <v>1978</v>
      </c>
      <c r="K157" s="1083"/>
      <c r="L157" s="1083"/>
    </row>
    <row r="158" spans="1:14" ht="12" customHeight="1" x14ac:dyDescent="0.3">
      <c r="A158" s="1040" t="s">
        <v>1938</v>
      </c>
      <c r="B158" s="551">
        <v>4</v>
      </c>
      <c r="C158" s="1065">
        <f t="shared" si="22"/>
        <v>9.998931797651311</v>
      </c>
      <c r="D158" s="551">
        <v>3.3</v>
      </c>
      <c r="E158" s="551">
        <v>80</v>
      </c>
      <c r="F158" s="551">
        <v>109</v>
      </c>
      <c r="G158" s="1042" t="s">
        <v>1978</v>
      </c>
      <c r="K158" s="1083"/>
      <c r="L158" s="1083"/>
    </row>
    <row r="159" spans="1:14" ht="12" customHeight="1" x14ac:dyDescent="0.3">
      <c r="A159" s="1084" t="s">
        <v>1742</v>
      </c>
      <c r="B159" s="1085">
        <v>4</v>
      </c>
      <c r="C159" s="1086">
        <f t="shared" si="22"/>
        <v>11.829145918021682</v>
      </c>
      <c r="D159" s="1085">
        <v>3.3</v>
      </c>
      <c r="E159" s="1085">
        <v>80</v>
      </c>
      <c r="F159" s="1085">
        <v>109</v>
      </c>
      <c r="G159" s="1087" t="s">
        <v>1978</v>
      </c>
      <c r="I159" s="551">
        <f>1000*I115</f>
        <v>70.879375558943096</v>
      </c>
      <c r="K159" s="1083"/>
      <c r="L159" s="1083"/>
    </row>
    <row r="160" spans="1:14" ht="12" customHeight="1" x14ac:dyDescent="0.3">
      <c r="K160" s="1083"/>
      <c r="L160" s="1083"/>
    </row>
    <row r="161" spans="1:17" ht="12" customHeight="1" x14ac:dyDescent="0.3">
      <c r="A161" s="1383" t="s">
        <v>1994</v>
      </c>
      <c r="B161" s="1383"/>
      <c r="C161" s="1383"/>
      <c r="D161" s="1089"/>
      <c r="E161" s="1089"/>
      <c r="F161" s="1089"/>
      <c r="G161" s="1089"/>
      <c r="H161" s="1089"/>
      <c r="I161" s="1089"/>
      <c r="K161" s="1083"/>
      <c r="L161" s="1083"/>
    </row>
    <row r="162" spans="1:17" ht="12" customHeight="1" x14ac:dyDescent="0.3">
      <c r="A162" s="1088"/>
      <c r="B162" s="1088"/>
      <c r="C162" s="1088"/>
      <c r="D162" s="1089"/>
      <c r="E162" s="1089"/>
      <c r="F162" s="1089"/>
      <c r="G162" s="1089"/>
      <c r="H162" s="1089"/>
      <c r="I162" s="1089"/>
    </row>
    <row r="163" spans="1:17" ht="12" customHeight="1" x14ac:dyDescent="0.3">
      <c r="A163" s="1384" t="s">
        <v>1995</v>
      </c>
      <c r="B163" s="1384"/>
      <c r="C163" s="1088"/>
      <c r="D163" s="1089"/>
      <c r="E163" s="1089"/>
      <c r="F163" s="1089"/>
      <c r="G163" s="1089"/>
      <c r="H163" s="1089"/>
      <c r="I163" s="1089"/>
      <c r="L163" s="1052"/>
      <c r="M163" s="1052"/>
      <c r="N163" s="1052"/>
    </row>
    <row r="164" spans="1:17" ht="12" customHeight="1" x14ac:dyDescent="0.3">
      <c r="A164" s="1385" t="s">
        <v>1912</v>
      </c>
      <c r="B164" s="1090" t="s">
        <v>1966</v>
      </c>
      <c r="C164" s="1088"/>
      <c r="D164" s="1089"/>
      <c r="E164" s="1089"/>
      <c r="F164" s="1089"/>
      <c r="G164" s="1089"/>
      <c r="H164" s="1089"/>
      <c r="I164" s="1089"/>
      <c r="L164" s="1052"/>
      <c r="M164" s="1052"/>
      <c r="N164" s="1052"/>
      <c r="P164" s="551">
        <v>1.2</v>
      </c>
      <c r="Q164" s="551" t="s">
        <v>1996</v>
      </c>
    </row>
    <row r="165" spans="1:17" ht="12" customHeight="1" x14ac:dyDescent="0.3">
      <c r="A165" s="1385"/>
      <c r="B165" s="1091" t="s">
        <v>1975</v>
      </c>
      <c r="C165" s="1088"/>
      <c r="D165" s="1089"/>
      <c r="E165" s="1089"/>
      <c r="F165" s="1089"/>
      <c r="G165" s="1089"/>
      <c r="H165" s="1089"/>
      <c r="I165" s="1089"/>
      <c r="O165" s="551" t="s">
        <v>1997</v>
      </c>
      <c r="P165" s="551">
        <v>1.0249999999999999</v>
      </c>
      <c r="Q165" s="551" t="s">
        <v>1998</v>
      </c>
    </row>
    <row r="166" spans="1:17" ht="12" customHeight="1" x14ac:dyDescent="0.3">
      <c r="A166" s="1040" t="s">
        <v>1932</v>
      </c>
      <c r="B166" s="1092">
        <f t="shared" ref="B166:B177" si="23">20*B24</f>
        <v>200</v>
      </c>
      <c r="C166" s="1088"/>
      <c r="D166" s="1089"/>
      <c r="E166" s="1089"/>
      <c r="F166" s="1089"/>
      <c r="G166" s="1089"/>
      <c r="H166" s="1089"/>
      <c r="I166" s="1089"/>
    </row>
    <row r="167" spans="1:17" ht="12" customHeight="1" x14ac:dyDescent="0.3">
      <c r="A167" s="1040" t="s">
        <v>1933</v>
      </c>
      <c r="B167" s="1093">
        <f t="shared" si="23"/>
        <v>40</v>
      </c>
      <c r="C167" s="1088"/>
      <c r="D167" s="1089"/>
      <c r="E167" s="1089"/>
      <c r="F167" s="1089"/>
      <c r="G167" s="1089"/>
      <c r="H167" s="1089"/>
      <c r="I167" s="1089"/>
    </row>
    <row r="168" spans="1:17" ht="12" customHeight="1" x14ac:dyDescent="0.3">
      <c r="A168" s="1040" t="s">
        <v>1934</v>
      </c>
      <c r="B168" s="1092">
        <f t="shared" si="23"/>
        <v>140</v>
      </c>
      <c r="C168" s="1088"/>
      <c r="D168" s="1089"/>
      <c r="E168" s="1089"/>
      <c r="F168" s="1089"/>
      <c r="G168" s="1089"/>
      <c r="H168" s="1089"/>
      <c r="I168" s="1089"/>
    </row>
    <row r="169" spans="1:17" ht="12" customHeight="1" x14ac:dyDescent="0.3">
      <c r="A169" s="1040" t="s">
        <v>1935</v>
      </c>
      <c r="B169" s="1093">
        <f t="shared" si="23"/>
        <v>80</v>
      </c>
      <c r="C169" s="1088"/>
      <c r="D169" s="1089"/>
      <c r="E169" s="1089"/>
      <c r="F169" s="1089"/>
      <c r="G169" s="1089"/>
      <c r="H169" s="1089"/>
      <c r="I169" s="1089"/>
    </row>
    <row r="170" spans="1:17" ht="12" customHeight="1" x14ac:dyDescent="0.3">
      <c r="A170" s="1040" t="s">
        <v>1936</v>
      </c>
      <c r="B170" s="1092">
        <f t="shared" si="23"/>
        <v>20</v>
      </c>
      <c r="C170" s="1088"/>
      <c r="D170" s="1089"/>
      <c r="E170" s="1089"/>
      <c r="F170" s="1089"/>
      <c r="G170" s="1089"/>
      <c r="H170" s="1089"/>
      <c r="I170" s="1089"/>
    </row>
    <row r="171" spans="1:17" ht="12" customHeight="1" x14ac:dyDescent="0.3">
      <c r="A171" s="1040" t="s">
        <v>1740</v>
      </c>
      <c r="B171" s="1093">
        <f t="shared" si="23"/>
        <v>20</v>
      </c>
      <c r="C171" s="1088"/>
      <c r="D171" s="1089"/>
      <c r="E171" s="1089">
        <v>140</v>
      </c>
      <c r="F171" s="1089"/>
      <c r="G171" s="1089"/>
      <c r="H171" s="1089"/>
      <c r="I171" s="1089"/>
      <c r="O171" s="551" t="s">
        <v>1999</v>
      </c>
      <c r="P171" s="551">
        <v>8</v>
      </c>
      <c r="Q171" s="551" t="s">
        <v>2000</v>
      </c>
    </row>
    <row r="172" spans="1:17" ht="12" customHeight="1" x14ac:dyDescent="0.3">
      <c r="A172" s="1040" t="s">
        <v>1731</v>
      </c>
      <c r="B172" s="1092">
        <f t="shared" si="23"/>
        <v>20</v>
      </c>
      <c r="C172" s="1088"/>
      <c r="D172" s="1089"/>
      <c r="E172" s="1089">
        <v>37.2340425531915</v>
      </c>
      <c r="F172" s="1089"/>
      <c r="G172" s="1089"/>
      <c r="H172" s="1089"/>
      <c r="I172" s="1089"/>
    </row>
    <row r="173" spans="1:17" ht="12" customHeight="1" x14ac:dyDescent="0.3">
      <c r="A173" s="1040" t="s">
        <v>1737</v>
      </c>
      <c r="B173" s="1093">
        <f t="shared" si="23"/>
        <v>20</v>
      </c>
      <c r="C173" s="1088"/>
      <c r="D173" s="1089"/>
      <c r="E173" s="1089"/>
      <c r="F173" s="1089"/>
      <c r="G173" s="1089"/>
      <c r="H173" s="1089"/>
      <c r="I173" s="1089"/>
    </row>
    <row r="174" spans="1:17" ht="12" customHeight="1" x14ac:dyDescent="0.3">
      <c r="A174" s="1040" t="s">
        <v>1937</v>
      </c>
      <c r="B174" s="1092">
        <f t="shared" si="23"/>
        <v>20</v>
      </c>
      <c r="C174" s="1088"/>
      <c r="D174" s="1089"/>
      <c r="E174" s="1089"/>
      <c r="F174" s="1089"/>
      <c r="G174" s="1089"/>
      <c r="H174" s="1089"/>
      <c r="I174" s="1089"/>
    </row>
    <row r="175" spans="1:17" ht="12" customHeight="1" x14ac:dyDescent="0.3">
      <c r="A175" s="1040" t="s">
        <v>1738</v>
      </c>
      <c r="B175" s="1093">
        <f t="shared" si="23"/>
        <v>20</v>
      </c>
      <c r="C175" s="1088"/>
      <c r="D175" s="1089"/>
      <c r="E175" s="1089"/>
      <c r="F175" s="1089"/>
      <c r="G175" s="1089"/>
      <c r="H175" s="1089"/>
      <c r="I175" s="1089"/>
    </row>
    <row r="176" spans="1:17" ht="12" customHeight="1" x14ac:dyDescent="0.3">
      <c r="A176" s="1040" t="s">
        <v>1938</v>
      </c>
      <c r="B176" s="1092">
        <f t="shared" si="23"/>
        <v>20</v>
      </c>
      <c r="C176" s="1088"/>
      <c r="D176" s="1089"/>
      <c r="E176" s="1089"/>
      <c r="F176" s="1089"/>
      <c r="G176" s="1089"/>
      <c r="H176" s="1089"/>
      <c r="I176" s="1089"/>
    </row>
    <row r="177" spans="1:9" ht="12" customHeight="1" x14ac:dyDescent="0.3">
      <c r="A177" s="1040" t="s">
        <v>1742</v>
      </c>
      <c r="B177" s="1093">
        <f t="shared" si="23"/>
        <v>20</v>
      </c>
      <c r="C177" s="1088"/>
      <c r="D177" s="1089"/>
      <c r="E177" s="1089"/>
      <c r="F177" s="1089"/>
      <c r="G177" s="1089"/>
      <c r="H177" s="1089"/>
      <c r="I177" s="1089"/>
    </row>
    <row r="178" spans="1:9" ht="12" customHeight="1" x14ac:dyDescent="0.3">
      <c r="A178" s="1094" t="s">
        <v>1743</v>
      </c>
      <c r="B178" s="1095">
        <f>SUM(B166:B177)</f>
        <v>620</v>
      </c>
      <c r="C178" s="1088"/>
      <c r="D178" s="1089"/>
      <c r="E178" s="1089"/>
      <c r="F178" s="1089"/>
      <c r="G178" s="1089"/>
      <c r="H178" s="1089"/>
      <c r="I178" s="1089"/>
    </row>
    <row r="179" spans="1:9" ht="12" customHeight="1" x14ac:dyDescent="0.3">
      <c r="A179" s="1088"/>
      <c r="B179" s="1088"/>
      <c r="C179" s="1088"/>
      <c r="D179" s="1089"/>
      <c r="E179" s="1089"/>
      <c r="F179" s="1089"/>
      <c r="G179" s="1089"/>
      <c r="H179" s="1089"/>
      <c r="I179" s="1089"/>
    </row>
    <row r="180" spans="1:9" ht="12" customHeight="1" x14ac:dyDescent="0.3">
      <c r="A180" s="1089" t="s">
        <v>2001</v>
      </c>
      <c r="B180" s="1089"/>
      <c r="C180" s="1089"/>
      <c r="D180" s="1089"/>
      <c r="E180" s="1089"/>
      <c r="F180" s="1089"/>
      <c r="G180" s="1089"/>
      <c r="H180" s="1089"/>
      <c r="I180" s="1089"/>
    </row>
    <row r="181" spans="1:9" ht="12" customHeight="1" x14ac:dyDescent="0.3">
      <c r="A181" s="1096" t="s">
        <v>2002</v>
      </c>
      <c r="B181" s="1089">
        <f>H127</f>
        <v>1040.9354445934962</v>
      </c>
      <c r="C181" s="1089" t="s">
        <v>2003</v>
      </c>
      <c r="D181" s="1089"/>
      <c r="E181" s="1089"/>
      <c r="F181" s="1089"/>
      <c r="G181" s="1089"/>
      <c r="H181" s="1089"/>
      <c r="I181" s="1089"/>
    </row>
    <row r="182" spans="1:9" ht="12" customHeight="1" x14ac:dyDescent="0.3">
      <c r="A182" s="1096" t="s">
        <v>10</v>
      </c>
      <c r="B182" s="1089">
        <f>B181/3600</f>
        <v>0.28914873460930451</v>
      </c>
      <c r="C182" s="1089" t="s">
        <v>2004</v>
      </c>
      <c r="D182" s="1089"/>
      <c r="E182" s="1089"/>
      <c r="F182" s="1089"/>
      <c r="G182" s="1089"/>
      <c r="H182" s="1089"/>
      <c r="I182" s="1089"/>
    </row>
    <row r="183" spans="1:9" ht="12" customHeight="1" x14ac:dyDescent="0.3">
      <c r="A183" s="1096" t="s">
        <v>2005</v>
      </c>
      <c r="B183" s="1089">
        <f>B178</f>
        <v>620</v>
      </c>
      <c r="C183" s="1089" t="s">
        <v>2003</v>
      </c>
      <c r="D183" s="1089"/>
      <c r="E183" s="1089"/>
      <c r="F183" s="1089"/>
      <c r="G183" s="1089"/>
      <c r="H183" s="1089"/>
      <c r="I183" s="1089"/>
    </row>
    <row r="184" spans="1:9" ht="12" customHeight="1" x14ac:dyDescent="0.3">
      <c r="A184" s="1096" t="s">
        <v>10</v>
      </c>
      <c r="B184" s="1089">
        <f>B183/3600</f>
        <v>0.17222222222222222</v>
      </c>
      <c r="C184" s="1089" t="s">
        <v>2004</v>
      </c>
      <c r="D184" s="1089"/>
      <c r="E184" s="1089"/>
      <c r="F184" s="1089"/>
      <c r="G184" s="1089"/>
      <c r="H184" s="1089"/>
      <c r="I184" s="1089"/>
    </row>
    <row r="185" spans="1:9" ht="12" customHeight="1" x14ac:dyDescent="0.3">
      <c r="A185" s="1097" t="s">
        <v>2006</v>
      </c>
      <c r="B185" s="1098">
        <f>B182-B184</f>
        <v>0.11692651238708229</v>
      </c>
      <c r="C185" s="1098" t="s">
        <v>2004</v>
      </c>
      <c r="D185" s="1089">
        <f>B181-B183</f>
        <v>420.93544459349619</v>
      </c>
      <c r="E185" s="1089"/>
      <c r="F185" s="1089"/>
      <c r="G185" s="1089"/>
      <c r="H185" s="1089"/>
      <c r="I185" s="1089"/>
    </row>
    <row r="186" spans="1:9" ht="12" customHeight="1" x14ac:dyDescent="0.3">
      <c r="A186" s="1089"/>
      <c r="B186" s="1089"/>
      <c r="C186" s="1089"/>
      <c r="D186" s="1089"/>
      <c r="E186" s="1089"/>
      <c r="F186" s="1089"/>
      <c r="G186" s="1089"/>
      <c r="H186" s="1089"/>
      <c r="I186" s="1089"/>
    </row>
    <row r="187" spans="1:9" ht="12" customHeight="1" x14ac:dyDescent="0.3">
      <c r="A187" s="1386" t="s">
        <v>2007</v>
      </c>
      <c r="B187" s="1386"/>
      <c r="C187" s="1089"/>
      <c r="D187" s="1089"/>
      <c r="E187" s="1089"/>
      <c r="F187" s="1089"/>
      <c r="G187" s="1089"/>
      <c r="H187" s="1089"/>
      <c r="I187" s="1089"/>
    </row>
    <row r="188" spans="1:9" ht="12" customHeight="1" x14ac:dyDescent="0.3">
      <c r="A188" s="1096" t="s">
        <v>2008</v>
      </c>
      <c r="B188" s="1089" t="s">
        <v>2009</v>
      </c>
      <c r="C188" s="1089"/>
      <c r="D188" s="1089"/>
      <c r="E188" s="1089"/>
      <c r="F188" s="1089"/>
      <c r="G188" s="1089"/>
      <c r="H188" s="1089"/>
      <c r="I188" s="1089"/>
    </row>
    <row r="189" spans="1:9" ht="12" customHeight="1" x14ac:dyDescent="0.3">
      <c r="A189" s="1096" t="s">
        <v>2010</v>
      </c>
      <c r="B189" s="1099">
        <v>0.6</v>
      </c>
      <c r="C189" s="1089"/>
      <c r="D189" s="1089"/>
      <c r="E189" s="1089"/>
      <c r="F189" s="1089"/>
      <c r="G189" s="1089"/>
      <c r="H189" s="1089"/>
      <c r="I189" s="1089"/>
    </row>
    <row r="190" spans="1:9" ht="12" customHeight="1" x14ac:dyDescent="0.3">
      <c r="A190" s="1096" t="s">
        <v>2011</v>
      </c>
      <c r="B190" s="1100">
        <v>0.89</v>
      </c>
      <c r="C190" s="1089" t="s">
        <v>2012</v>
      </c>
      <c r="D190" s="1089"/>
      <c r="E190" s="1089"/>
      <c r="F190" s="1089"/>
      <c r="G190" s="1089"/>
      <c r="H190" s="1089"/>
      <c r="I190" s="1089"/>
    </row>
    <row r="191" spans="1:9" ht="12" customHeight="1" x14ac:dyDescent="0.3">
      <c r="A191" s="1386" t="s">
        <v>2013</v>
      </c>
      <c r="B191" s="1386"/>
      <c r="C191" s="1089"/>
      <c r="D191" s="1089"/>
      <c r="E191" s="1089"/>
      <c r="F191" s="1089"/>
      <c r="G191" s="1089"/>
      <c r="H191" s="1089"/>
      <c r="I191" s="1089"/>
    </row>
    <row r="192" spans="1:9" ht="12" customHeight="1" x14ac:dyDescent="0.3">
      <c r="A192" s="1096" t="s">
        <v>2014</v>
      </c>
      <c r="B192" s="1089" t="s">
        <v>2015</v>
      </c>
      <c r="C192" s="1089"/>
      <c r="D192" s="1089"/>
      <c r="E192" s="1089"/>
      <c r="F192" s="1089"/>
      <c r="G192" s="1089"/>
      <c r="H192" s="1089"/>
      <c r="I192" s="1089"/>
    </row>
    <row r="193" spans="1:9" ht="12" customHeight="1" x14ac:dyDescent="0.3">
      <c r="A193" s="1096" t="s">
        <v>2010</v>
      </c>
      <c r="B193" s="1099">
        <v>0.5</v>
      </c>
      <c r="C193" s="1089"/>
      <c r="D193" s="1089"/>
      <c r="E193" s="1089"/>
      <c r="F193" s="1089"/>
      <c r="G193" s="1089"/>
      <c r="H193" s="1089"/>
      <c r="I193" s="1089"/>
    </row>
    <row r="194" spans="1:9" ht="12" customHeight="1" x14ac:dyDescent="0.3">
      <c r="A194" s="1096" t="s">
        <v>2016</v>
      </c>
      <c r="B194" s="1089">
        <v>0.86580000000000001</v>
      </c>
      <c r="C194" s="1089" t="s">
        <v>2012</v>
      </c>
      <c r="D194" s="1089"/>
      <c r="E194" s="1089"/>
      <c r="F194" s="1089"/>
      <c r="G194" s="1089"/>
      <c r="H194" s="1089"/>
      <c r="I194" s="1089"/>
    </row>
    <row r="195" spans="1:9" ht="12" customHeight="1" x14ac:dyDescent="0.3">
      <c r="A195" s="1096" t="s">
        <v>2017</v>
      </c>
      <c r="B195" s="1089">
        <v>82.5</v>
      </c>
      <c r="C195" s="1089" t="s">
        <v>2018</v>
      </c>
      <c r="D195" s="1089"/>
      <c r="E195" s="1089"/>
      <c r="F195" s="1089"/>
      <c r="G195" s="1089"/>
      <c r="H195" s="1089"/>
      <c r="I195" s="1089"/>
    </row>
    <row r="196" spans="1:9" ht="12" customHeight="1" x14ac:dyDescent="0.3">
      <c r="A196" s="1096" t="s">
        <v>2019</v>
      </c>
      <c r="B196" s="1089">
        <v>56</v>
      </c>
      <c r="C196" s="1089" t="s">
        <v>2018</v>
      </c>
      <c r="D196" s="1089"/>
      <c r="E196" s="1089"/>
      <c r="F196" s="1089"/>
      <c r="G196" s="1089"/>
      <c r="H196" s="1089"/>
      <c r="I196" s="1089"/>
    </row>
    <row r="197" spans="1:9" ht="12" customHeight="1" x14ac:dyDescent="0.3">
      <c r="A197" s="1097" t="s">
        <v>2020</v>
      </c>
      <c r="B197" s="1098">
        <f>((B190/B185)*B195+(B194/B185)*B196)/((B190/B184)+(B194/B185))</f>
        <v>82.929239332664451</v>
      </c>
      <c r="C197" s="1089"/>
      <c r="D197" s="1089"/>
      <c r="E197" s="1089"/>
      <c r="F197" s="1089"/>
      <c r="G197" s="1089"/>
      <c r="H197" s="1089"/>
      <c r="I197" s="1089"/>
    </row>
    <row r="198" spans="1:9" ht="12" customHeight="1" x14ac:dyDescent="0.3">
      <c r="A198" s="1089"/>
      <c r="B198" s="1089"/>
      <c r="C198" s="1089"/>
      <c r="D198" s="1089"/>
      <c r="E198" s="1089"/>
      <c r="F198" s="1089"/>
      <c r="G198" s="1089"/>
      <c r="H198" s="1089"/>
      <c r="I198" s="1089"/>
    </row>
    <row r="199" spans="1:9" ht="12" customHeight="1" x14ac:dyDescent="0.3">
      <c r="A199" s="1383" t="s">
        <v>2021</v>
      </c>
      <c r="B199" s="1383"/>
      <c r="C199" s="1383"/>
      <c r="D199" s="1383"/>
      <c r="E199" s="1089"/>
      <c r="F199" s="1089"/>
      <c r="G199" s="1089"/>
      <c r="H199" s="1089"/>
      <c r="I199" s="1089"/>
    </row>
    <row r="200" spans="1:9" ht="12" customHeight="1" x14ac:dyDescent="0.3">
      <c r="A200" s="1089"/>
      <c r="B200" s="1089"/>
      <c r="C200" s="1089"/>
      <c r="D200" s="1089"/>
      <c r="E200" s="1089"/>
      <c r="F200" s="1089"/>
      <c r="G200" s="1089"/>
      <c r="H200" s="1089"/>
      <c r="I200" s="1089"/>
    </row>
    <row r="201" spans="1:9" ht="12" customHeight="1" x14ac:dyDescent="0.3">
      <c r="A201" s="1387" t="s">
        <v>1912</v>
      </c>
      <c r="B201" s="1388" t="s">
        <v>2022</v>
      </c>
      <c r="C201" s="1389" t="s">
        <v>1966</v>
      </c>
      <c r="D201" s="1089"/>
      <c r="E201" s="1089"/>
      <c r="F201" s="1089"/>
      <c r="G201" s="1089"/>
      <c r="H201" s="1089"/>
      <c r="I201" s="1089"/>
    </row>
    <row r="202" spans="1:9" ht="12" customHeight="1" x14ac:dyDescent="0.3">
      <c r="A202" s="1387"/>
      <c r="B202" s="1388"/>
      <c r="C202" s="1389"/>
      <c r="D202" s="1089"/>
      <c r="E202" s="1089"/>
      <c r="F202" s="1089"/>
      <c r="G202" s="1089"/>
      <c r="H202" s="1089"/>
      <c r="I202" s="1089"/>
    </row>
    <row r="203" spans="1:9" ht="12" customHeight="1" x14ac:dyDescent="0.3">
      <c r="A203" s="1040" t="s">
        <v>1932</v>
      </c>
      <c r="B203" s="1101">
        <f t="shared" ref="B203:B214" si="24">B24</f>
        <v>10</v>
      </c>
      <c r="C203" s="1092">
        <f t="shared" ref="C203:C213" si="25">(B203*80)/(H115*1.2)</f>
        <v>2.6126808218165762</v>
      </c>
      <c r="D203" s="1089"/>
      <c r="E203" s="1089">
        <v>0.102850589297867</v>
      </c>
      <c r="F203" s="1089"/>
      <c r="G203" s="1089"/>
      <c r="H203" s="1089"/>
      <c r="I203" s="1089"/>
    </row>
    <row r="204" spans="1:9" ht="12" customHeight="1" x14ac:dyDescent="0.3">
      <c r="A204" s="1040" t="s">
        <v>1933</v>
      </c>
      <c r="B204" s="1098">
        <f t="shared" si="24"/>
        <v>2</v>
      </c>
      <c r="C204" s="1093">
        <f t="shared" si="25"/>
        <v>1.2653889915710048</v>
      </c>
      <c r="D204" s="1089"/>
      <c r="E204" s="1089"/>
      <c r="F204" s="1089"/>
      <c r="G204" s="1089"/>
      <c r="H204" s="1089"/>
      <c r="I204" s="1089"/>
    </row>
    <row r="205" spans="1:9" ht="12" customHeight="1" x14ac:dyDescent="0.3">
      <c r="A205" s="1040" t="s">
        <v>1934</v>
      </c>
      <c r="B205" s="1101">
        <f t="shared" si="24"/>
        <v>7</v>
      </c>
      <c r="C205" s="1092">
        <f t="shared" si="25"/>
        <v>2.5620851194977807</v>
      </c>
      <c r="D205" s="1089"/>
      <c r="F205" s="1089"/>
      <c r="G205" s="1089"/>
      <c r="H205" s="1089"/>
      <c r="I205" s="1089"/>
    </row>
    <row r="206" spans="1:9" ht="12" customHeight="1" x14ac:dyDescent="0.3">
      <c r="A206" s="1040" t="s">
        <v>1935</v>
      </c>
      <c r="B206" s="1098">
        <f t="shared" si="24"/>
        <v>4</v>
      </c>
      <c r="C206" s="1093">
        <f t="shared" si="25"/>
        <v>2.2878811562923458</v>
      </c>
      <c r="D206" s="1089"/>
      <c r="E206" s="1089"/>
      <c r="F206" s="1089"/>
      <c r="G206" s="1089"/>
      <c r="H206" s="1089"/>
      <c r="I206" s="1089"/>
    </row>
    <row r="207" spans="1:9" ht="12" customHeight="1" x14ac:dyDescent="0.3">
      <c r="A207" s="1040" t="s">
        <v>1936</v>
      </c>
      <c r="B207" s="1101">
        <f t="shared" si="24"/>
        <v>1</v>
      </c>
      <c r="C207" s="1092">
        <f t="shared" si="25"/>
        <v>0.77511826417132845</v>
      </c>
      <c r="D207" s="1089"/>
      <c r="E207" s="1089"/>
      <c r="F207" s="1089"/>
      <c r="G207" s="1089"/>
      <c r="H207" s="1089"/>
      <c r="I207" s="1089"/>
    </row>
    <row r="208" spans="1:9" ht="12" customHeight="1" x14ac:dyDescent="0.3">
      <c r="A208" s="1040" t="s">
        <v>1740</v>
      </c>
      <c r="B208" s="1098">
        <f t="shared" si="24"/>
        <v>1</v>
      </c>
      <c r="C208" s="1093">
        <f t="shared" si="25"/>
        <v>1.348877667981329</v>
      </c>
      <c r="D208" s="1089"/>
      <c r="E208" s="1089"/>
      <c r="F208" s="1089"/>
      <c r="G208" s="1089"/>
      <c r="H208" s="1089"/>
      <c r="I208" s="1089"/>
    </row>
    <row r="209" spans="1:9" ht="12" customHeight="1" x14ac:dyDescent="0.3">
      <c r="A209" s="1040" t="s">
        <v>1731</v>
      </c>
      <c r="B209" s="1101">
        <f t="shared" si="24"/>
        <v>1</v>
      </c>
      <c r="C209" s="1092">
        <f t="shared" si="25"/>
        <v>1.3199233812646267</v>
      </c>
      <c r="D209" s="1089"/>
      <c r="E209" s="1089"/>
      <c r="F209" s="1089"/>
      <c r="G209" s="1089"/>
      <c r="H209" s="1089"/>
      <c r="I209" s="1089"/>
    </row>
    <row r="210" spans="1:9" ht="12" customHeight="1" x14ac:dyDescent="0.3">
      <c r="A210" s="1040" t="s">
        <v>1737</v>
      </c>
      <c r="B210" s="1098">
        <f t="shared" si="24"/>
        <v>1</v>
      </c>
      <c r="C210" s="1093">
        <f t="shared" si="25"/>
        <v>1.8520496882345381</v>
      </c>
      <c r="E210" s="1089"/>
      <c r="F210" s="1089"/>
      <c r="G210" s="1089"/>
      <c r="H210" s="1089"/>
      <c r="I210" s="1089"/>
    </row>
    <row r="211" spans="1:9" ht="12" customHeight="1" x14ac:dyDescent="0.3">
      <c r="A211" s="1040" t="s">
        <v>1937</v>
      </c>
      <c r="B211" s="1101">
        <f t="shared" si="24"/>
        <v>1</v>
      </c>
      <c r="C211" s="1092">
        <f t="shared" si="25"/>
        <v>1.6423725714166684</v>
      </c>
      <c r="D211" s="1089"/>
      <c r="E211" s="1089"/>
      <c r="F211" s="1089"/>
      <c r="G211" s="1089"/>
      <c r="H211" s="1089"/>
      <c r="I211" s="1089"/>
    </row>
    <row r="212" spans="1:9" ht="12" customHeight="1" x14ac:dyDescent="0.3">
      <c r="A212" s="1040" t="s">
        <v>1738</v>
      </c>
      <c r="B212" s="1098">
        <f t="shared" si="24"/>
        <v>1</v>
      </c>
      <c r="C212" s="1093">
        <f t="shared" si="25"/>
        <v>1.6423725714166684</v>
      </c>
      <c r="D212" s="1089"/>
      <c r="E212" s="1089"/>
      <c r="G212" s="1089"/>
      <c r="H212" s="1089"/>
      <c r="I212" s="1089"/>
    </row>
    <row r="213" spans="1:9" ht="12" customHeight="1" x14ac:dyDescent="0.3">
      <c r="A213" s="1040" t="s">
        <v>1938</v>
      </c>
      <c r="B213" s="1101">
        <f t="shared" si="24"/>
        <v>1</v>
      </c>
      <c r="C213" s="1092">
        <f t="shared" si="25"/>
        <v>1.8520496882345381</v>
      </c>
      <c r="D213" s="1089"/>
      <c r="E213" s="1089"/>
      <c r="F213" s="1089"/>
      <c r="G213" s="1089"/>
      <c r="H213" s="1089"/>
      <c r="I213" s="1089"/>
    </row>
    <row r="214" spans="1:9" ht="12" customHeight="1" x14ac:dyDescent="0.3">
      <c r="A214" s="1040" t="s">
        <v>1742</v>
      </c>
      <c r="B214" s="1098">
        <f t="shared" si="24"/>
        <v>1</v>
      </c>
      <c r="C214" s="1093">
        <f>(B214*80)/(H126/1.2)</f>
        <v>2.2543188537424368</v>
      </c>
      <c r="D214" s="1089"/>
      <c r="E214" s="1089"/>
      <c r="F214" s="1089"/>
      <c r="G214" s="1089"/>
      <c r="H214" s="1089"/>
      <c r="I214" s="1089"/>
    </row>
    <row r="215" spans="1:9" ht="12" customHeight="1" x14ac:dyDescent="0.3">
      <c r="A215" s="1390" t="s">
        <v>1743</v>
      </c>
      <c r="B215" s="1390"/>
      <c r="C215" s="1102">
        <f>SUM(C203:C214)</f>
        <v>21.41511877563984</v>
      </c>
      <c r="D215" s="1089"/>
      <c r="E215" s="1089"/>
      <c r="F215" s="1089">
        <f>B197-C216</f>
        <v>82.907824213888816</v>
      </c>
      <c r="G215" s="1089"/>
      <c r="H215" s="1089"/>
      <c r="I215" s="1089"/>
    </row>
    <row r="216" spans="1:9" ht="12" customHeight="1" x14ac:dyDescent="0.3">
      <c r="A216" s="1390"/>
      <c r="B216" s="1390"/>
      <c r="C216" s="1103">
        <f>C215/1000</f>
        <v>2.1415118775639841E-2</v>
      </c>
      <c r="D216" s="1089"/>
      <c r="E216" s="1089"/>
      <c r="F216" s="1089"/>
      <c r="G216" s="1089"/>
      <c r="H216" s="1089"/>
      <c r="I216" s="1089"/>
    </row>
    <row r="217" spans="1:9" ht="12" customHeight="1" x14ac:dyDescent="0.3">
      <c r="A217" s="1089"/>
      <c r="B217" s="1089"/>
      <c r="C217" s="1089"/>
      <c r="D217" s="1089"/>
      <c r="E217" s="1089"/>
      <c r="F217" s="1089"/>
      <c r="G217" s="1089"/>
      <c r="H217" s="1089"/>
      <c r="I217" s="1089"/>
    </row>
    <row r="218" spans="1:9" ht="12" customHeight="1" x14ac:dyDescent="0.3">
      <c r="A218" s="1383" t="s">
        <v>2023</v>
      </c>
      <c r="B218" s="1383"/>
      <c r="C218" s="1383"/>
      <c r="D218" s="1383"/>
      <c r="E218" s="1089"/>
      <c r="F218" s="1089"/>
      <c r="G218" s="1089"/>
      <c r="H218" s="1089"/>
      <c r="I218" s="1089"/>
    </row>
    <row r="219" spans="1:9" ht="12" customHeight="1" x14ac:dyDescent="0.3">
      <c r="A219" s="1089"/>
      <c r="B219" s="1089"/>
      <c r="C219" s="1089"/>
      <c r="D219" s="1089"/>
      <c r="E219" s="1089"/>
      <c r="F219" s="1089"/>
      <c r="G219" s="1089"/>
      <c r="H219" s="1089"/>
      <c r="I219" s="1089"/>
    </row>
    <row r="220" spans="1:9" ht="12" customHeight="1" x14ac:dyDescent="0.25">
      <c r="A220" s="1096" t="s">
        <v>2024</v>
      </c>
      <c r="B220" s="1104" t="s">
        <v>2025</v>
      </c>
      <c r="C220" s="1089"/>
      <c r="D220" s="1089"/>
      <c r="E220" s="1089"/>
      <c r="F220" s="1089"/>
      <c r="G220" s="1089"/>
      <c r="H220" s="1089"/>
      <c r="I220" s="1089"/>
    </row>
    <row r="221" spans="1:9" ht="12" customHeight="1" x14ac:dyDescent="0.3">
      <c r="A221" s="1096" t="s">
        <v>10</v>
      </c>
      <c r="B221" s="1089">
        <f>B181*1.2*(B197-C216)</f>
        <v>103562.03143003653</v>
      </c>
      <c r="C221" s="1089" t="s">
        <v>2026</v>
      </c>
      <c r="D221" s="1089"/>
      <c r="E221" s="1089"/>
      <c r="F221" s="1089"/>
      <c r="G221" s="1089"/>
      <c r="H221" s="1089"/>
      <c r="I221" s="1089"/>
    </row>
    <row r="222" spans="1:9" ht="12" customHeight="1" x14ac:dyDescent="0.3">
      <c r="A222" s="1096" t="s">
        <v>10</v>
      </c>
      <c r="B222" s="1089">
        <f>B221/3600</f>
        <v>28.767230952787923</v>
      </c>
      <c r="C222" s="1089" t="s">
        <v>260</v>
      </c>
      <c r="D222" s="1089"/>
      <c r="E222" s="1089"/>
      <c r="F222" s="1089"/>
      <c r="G222" s="1089"/>
      <c r="H222" s="1089"/>
      <c r="I222" s="1089"/>
    </row>
    <row r="223" spans="1:9" ht="12" customHeight="1" x14ac:dyDescent="0.3">
      <c r="A223" s="1089"/>
      <c r="B223" s="1089"/>
      <c r="C223" s="1089"/>
      <c r="D223" s="1089"/>
      <c r="E223" s="1089"/>
      <c r="F223" s="1089"/>
      <c r="G223" s="1089"/>
      <c r="H223" s="1089"/>
      <c r="I223" s="1089"/>
    </row>
    <row r="224" spans="1:9" ht="12" customHeight="1" x14ac:dyDescent="0.3"/>
    <row r="225" spans="1:5" ht="12" customHeight="1" x14ac:dyDescent="0.3"/>
    <row r="226" spans="1:5" ht="12" customHeight="1" x14ac:dyDescent="0.3"/>
    <row r="227" spans="1:5" ht="12" customHeight="1" x14ac:dyDescent="0.3"/>
    <row r="228" spans="1:5" ht="12" customHeight="1" x14ac:dyDescent="0.3"/>
    <row r="229" spans="1:5" ht="12" customHeight="1" x14ac:dyDescent="0.3">
      <c r="A229" s="1363" t="s">
        <v>2027</v>
      </c>
      <c r="B229" s="1363"/>
      <c r="C229" s="1363"/>
      <c r="D229" s="1363"/>
    </row>
    <row r="230" spans="1:5" ht="12" customHeight="1" x14ac:dyDescent="0.3">
      <c r="A230" s="1105" t="s">
        <v>2028</v>
      </c>
      <c r="B230" s="1391" t="s">
        <v>2029</v>
      </c>
      <c r="C230" s="1391"/>
      <c r="D230" s="1391"/>
      <c r="E230" s="258"/>
    </row>
    <row r="231" spans="1:5" x14ac:dyDescent="0.3">
      <c r="A231" s="1105" t="s">
        <v>2030</v>
      </c>
      <c r="B231" s="1391" t="s">
        <v>2031</v>
      </c>
      <c r="C231" s="1391"/>
      <c r="D231" s="1391"/>
      <c r="E231" s="258"/>
    </row>
    <row r="232" spans="1:5" x14ac:dyDescent="0.3">
      <c r="A232" s="1392" t="s">
        <v>2032</v>
      </c>
      <c r="B232" s="1392"/>
      <c r="C232" s="1392"/>
      <c r="D232" s="1392"/>
      <c r="E232" s="258"/>
    </row>
    <row r="233" spans="1:5" ht="13.2" x14ac:dyDescent="0.3">
      <c r="A233" s="1393" t="s">
        <v>2033</v>
      </c>
      <c r="B233" s="1393"/>
      <c r="C233" s="1106" t="s">
        <v>2034</v>
      </c>
      <c r="D233" s="1055">
        <v>1100</v>
      </c>
    </row>
    <row r="234" spans="1:5" ht="12" customHeight="1" x14ac:dyDescent="0.3">
      <c r="A234" s="1394" t="s">
        <v>2035</v>
      </c>
      <c r="B234" s="1394"/>
      <c r="C234" s="1395" t="s">
        <v>2036</v>
      </c>
      <c r="D234" s="1396">
        <v>88.1</v>
      </c>
    </row>
    <row r="235" spans="1:5" x14ac:dyDescent="0.3">
      <c r="A235" s="1394"/>
      <c r="B235" s="1394"/>
      <c r="C235" s="1395"/>
      <c r="D235" s="1396"/>
    </row>
    <row r="236" spans="1:5" ht="12" customHeight="1" x14ac:dyDescent="0.3">
      <c r="A236" s="1397" t="s">
        <v>2037</v>
      </c>
      <c r="B236" s="1398" t="s">
        <v>2038</v>
      </c>
      <c r="C236" s="1399" t="s">
        <v>2039</v>
      </c>
      <c r="D236" s="1400">
        <v>200</v>
      </c>
    </row>
    <row r="237" spans="1:5" x14ac:dyDescent="0.3">
      <c r="A237" s="1397"/>
      <c r="B237" s="1398"/>
      <c r="C237" s="1399"/>
      <c r="D237" s="1400"/>
    </row>
    <row r="238" spans="1:5" ht="13.2" x14ac:dyDescent="0.3">
      <c r="A238" s="1109" t="s">
        <v>2040</v>
      </c>
      <c r="B238" s="1110" t="s">
        <v>2038</v>
      </c>
      <c r="C238" s="1107" t="s">
        <v>1566</v>
      </c>
      <c r="D238" s="1042">
        <v>1.78</v>
      </c>
    </row>
    <row r="239" spans="1:5" ht="13.2" x14ac:dyDescent="0.3">
      <c r="A239" s="1111" t="s">
        <v>2041</v>
      </c>
      <c r="B239" s="1112" t="s">
        <v>2038</v>
      </c>
      <c r="C239" s="1113" t="s">
        <v>260</v>
      </c>
      <c r="D239" s="1055">
        <v>0.41</v>
      </c>
    </row>
    <row r="240" spans="1:5" ht="13.2" x14ac:dyDescent="0.3">
      <c r="A240" s="1109" t="s">
        <v>2042</v>
      </c>
      <c r="B240" s="1110"/>
      <c r="C240" s="1107" t="s">
        <v>2043</v>
      </c>
      <c r="D240" s="1042">
        <v>1.18</v>
      </c>
    </row>
    <row r="241" spans="1:4" x14ac:dyDescent="0.3">
      <c r="A241" s="1114" t="s">
        <v>2044</v>
      </c>
      <c r="B241" s="1108" t="s">
        <v>2045</v>
      </c>
      <c r="C241" s="1106" t="s">
        <v>2046</v>
      </c>
      <c r="D241" s="1055">
        <v>1</v>
      </c>
    </row>
    <row r="242" spans="1:4" x14ac:dyDescent="0.3">
      <c r="A242" s="1114"/>
      <c r="B242" s="1112" t="s">
        <v>2047</v>
      </c>
      <c r="C242" s="1113" t="s">
        <v>2048</v>
      </c>
      <c r="D242" s="1055">
        <v>50</v>
      </c>
    </row>
    <row r="243" spans="1:4" x14ac:dyDescent="0.3">
      <c r="A243" s="1111"/>
      <c r="B243" s="1108" t="s">
        <v>2049</v>
      </c>
      <c r="C243" s="1106" t="s">
        <v>1573</v>
      </c>
      <c r="D243" s="1055">
        <v>230</v>
      </c>
    </row>
    <row r="244" spans="1:4" x14ac:dyDescent="0.3">
      <c r="A244" s="1115" t="s">
        <v>2050</v>
      </c>
      <c r="B244" s="1110" t="s">
        <v>662</v>
      </c>
      <c r="C244" s="1107" t="s">
        <v>28</v>
      </c>
      <c r="D244" s="1042">
        <v>720</v>
      </c>
    </row>
    <row r="245" spans="1:4" x14ac:dyDescent="0.3">
      <c r="A245" s="1116"/>
      <c r="B245" s="1117" t="s">
        <v>663</v>
      </c>
      <c r="C245" s="1118" t="s">
        <v>28</v>
      </c>
      <c r="D245" s="1042">
        <v>1320</v>
      </c>
    </row>
    <row r="246" spans="1:4" x14ac:dyDescent="0.3">
      <c r="A246" s="1119"/>
      <c r="B246" s="1117" t="s">
        <v>661</v>
      </c>
      <c r="C246" s="1118" t="s">
        <v>28</v>
      </c>
      <c r="D246" s="1042">
        <v>2030</v>
      </c>
    </row>
    <row r="247" spans="1:4" x14ac:dyDescent="0.3">
      <c r="A247" s="1401" t="s">
        <v>2051</v>
      </c>
      <c r="B247" s="1401"/>
      <c r="C247" s="1120" t="s">
        <v>648</v>
      </c>
      <c r="D247" s="1087">
        <v>343</v>
      </c>
    </row>
    <row r="273" spans="1:11" x14ac:dyDescent="0.3">
      <c r="H273" s="551">
        <f>10*L146</f>
        <v>10.567418044157096</v>
      </c>
    </row>
    <row r="274" spans="1:11" ht="13.2" x14ac:dyDescent="0.3">
      <c r="A274" s="1372" t="s">
        <v>2052</v>
      </c>
      <c r="B274" s="1376" t="s">
        <v>2053</v>
      </c>
      <c r="C274" s="1376"/>
      <c r="D274" s="1376"/>
      <c r="E274" s="1373" t="s">
        <v>2054</v>
      </c>
      <c r="G274" s="1402" t="s">
        <v>2052</v>
      </c>
      <c r="H274" s="1403" t="s">
        <v>2053</v>
      </c>
      <c r="I274" s="1403"/>
      <c r="J274" s="1403"/>
      <c r="K274" s="1404" t="s">
        <v>2054</v>
      </c>
    </row>
    <row r="275" spans="1:11" x14ac:dyDescent="0.3">
      <c r="A275" s="1372"/>
      <c r="B275" s="1367" t="s">
        <v>2055</v>
      </c>
      <c r="C275" s="1367"/>
      <c r="D275" s="1038" t="s">
        <v>2056</v>
      </c>
      <c r="E275" s="1373"/>
      <c r="G275" s="1402"/>
      <c r="H275" s="1405" t="s">
        <v>2057</v>
      </c>
      <c r="I275" s="1405"/>
      <c r="J275" s="1121" t="s">
        <v>2058</v>
      </c>
      <c r="K275" s="1404"/>
    </row>
    <row r="276" spans="1:11" ht="12" customHeight="1" x14ac:dyDescent="0.3">
      <c r="A276" s="1122" t="s">
        <v>1932</v>
      </c>
      <c r="B276" s="1406">
        <v>244</v>
      </c>
      <c r="C276" s="1406"/>
      <c r="D276" s="1123">
        <f t="shared" ref="D276:D287" si="26">H115</f>
        <v>255.16575201219516</v>
      </c>
      <c r="E276" s="1124">
        <f t="shared" ref="E276:E287" si="27">((B276-D276)/D276)*100%</f>
        <v>-4.3758819215133193E-2</v>
      </c>
      <c r="G276" s="1125" t="s">
        <v>1932</v>
      </c>
      <c r="H276" s="1407">
        <v>259</v>
      </c>
      <c r="I276" s="1407"/>
      <c r="J276" s="1126">
        <f t="shared" ref="J276:J287" si="28">D276*L$146</f>
        <v>269.6443172064586</v>
      </c>
      <c r="K276" s="1127">
        <f t="shared" ref="K276:K287" si="29">((H276-J276)/J276)*100%</f>
        <v>-3.9475399729298061E-2</v>
      </c>
    </row>
    <row r="277" spans="1:11" ht="12" customHeight="1" x14ac:dyDescent="0.3">
      <c r="A277" s="1128" t="s">
        <v>1933</v>
      </c>
      <c r="B277" s="1408">
        <v>107</v>
      </c>
      <c r="C277" s="1408"/>
      <c r="D277" s="1129">
        <f t="shared" si="26"/>
        <v>105.3694430894309</v>
      </c>
      <c r="E277" s="1130">
        <f t="shared" si="27"/>
        <v>1.5474665735731226E-2</v>
      </c>
      <c r="G277" s="1131" t="s">
        <v>1933</v>
      </c>
      <c r="H277" s="1408">
        <v>111</v>
      </c>
      <c r="I277" s="1408"/>
      <c r="J277" s="1129">
        <f t="shared" si="28"/>
        <v>111.34829542060362</v>
      </c>
      <c r="K277" s="1130">
        <f t="shared" si="29"/>
        <v>-3.1279816120038419E-3</v>
      </c>
    </row>
    <row r="278" spans="1:11" ht="12" customHeight="1" x14ac:dyDescent="0.3">
      <c r="A278" s="1043" t="s">
        <v>1934</v>
      </c>
      <c r="B278" s="1406">
        <v>183</v>
      </c>
      <c r="C278" s="1406"/>
      <c r="D278" s="1123">
        <f t="shared" si="26"/>
        <v>182.14331097560981</v>
      </c>
      <c r="E278" s="1124">
        <f t="shared" si="27"/>
        <v>4.7033790030582496E-3</v>
      </c>
      <c r="G278" s="1132" t="s">
        <v>1934</v>
      </c>
      <c r="H278" s="1407">
        <v>194</v>
      </c>
      <c r="I278" s="1407"/>
      <c r="J278" s="1126">
        <f t="shared" si="28"/>
        <v>192.47845110261761</v>
      </c>
      <c r="K278" s="1127">
        <f t="shared" si="29"/>
        <v>7.9050350242645725E-3</v>
      </c>
    </row>
    <row r="279" spans="1:11" ht="12" customHeight="1" x14ac:dyDescent="0.3">
      <c r="A279" s="1128" t="s">
        <v>1935</v>
      </c>
      <c r="B279" s="1408">
        <v>116</v>
      </c>
      <c r="C279" s="1408"/>
      <c r="D279" s="1129">
        <f t="shared" si="26"/>
        <v>116.55617073170734</v>
      </c>
      <c r="E279" s="1130">
        <f t="shared" si="27"/>
        <v>-4.7716970128295578E-3</v>
      </c>
      <c r="G279" s="1131" t="s">
        <v>1935</v>
      </c>
      <c r="H279" s="1408">
        <v>123</v>
      </c>
      <c r="I279" s="1408"/>
      <c r="J279" s="1129">
        <f t="shared" si="28"/>
        <v>123.16977817480992</v>
      </c>
      <c r="K279" s="1130">
        <f t="shared" si="29"/>
        <v>-1.3784077338270509E-3</v>
      </c>
    </row>
    <row r="280" spans="1:11" ht="12" customHeight="1" x14ac:dyDescent="0.3">
      <c r="A280" s="1043" t="s">
        <v>1936</v>
      </c>
      <c r="B280" s="1406">
        <v>83.9</v>
      </c>
      <c r="C280" s="1406"/>
      <c r="D280" s="1123">
        <f t="shared" si="26"/>
        <v>86.008380589430914</v>
      </c>
      <c r="E280" s="1124">
        <f t="shared" si="27"/>
        <v>-2.4513664540383114E-2</v>
      </c>
      <c r="G280" s="1132" t="s">
        <v>1936</v>
      </c>
      <c r="H280" s="1407">
        <v>89.04</v>
      </c>
      <c r="I280" s="1407"/>
      <c r="J280" s="1126">
        <f t="shared" si="28"/>
        <v>90.888651298948304</v>
      </c>
      <c r="K280" s="1127">
        <f t="shared" si="29"/>
        <v>-2.033973738775997E-2</v>
      </c>
    </row>
    <row r="281" spans="1:11" ht="12" customHeight="1" x14ac:dyDescent="0.3">
      <c r="A281" s="1133" t="s">
        <v>1740</v>
      </c>
      <c r="B281" s="1408">
        <v>50.78</v>
      </c>
      <c r="C281" s="1408"/>
      <c r="D281" s="1134">
        <f t="shared" si="26"/>
        <v>49.423804878048784</v>
      </c>
      <c r="E281" s="1135">
        <f t="shared" si="27"/>
        <v>2.7440119701378166E-2</v>
      </c>
      <c r="G281" s="1136" t="s">
        <v>1740</v>
      </c>
      <c r="H281" s="1408">
        <v>53.87</v>
      </c>
      <c r="I281" s="1408"/>
      <c r="J281" s="1129">
        <f t="shared" si="28"/>
        <v>52.228200747919217</v>
      </c>
      <c r="K281" s="1135">
        <f t="shared" si="29"/>
        <v>3.1435110315305846E-2</v>
      </c>
    </row>
    <row r="282" spans="1:11" ht="12" customHeight="1" x14ac:dyDescent="0.3">
      <c r="A282" s="1040" t="s">
        <v>1731</v>
      </c>
      <c r="B282" s="1406">
        <v>51.82</v>
      </c>
      <c r="C282" s="1406"/>
      <c r="D282" s="1137">
        <f t="shared" si="26"/>
        <v>50.507982215447171</v>
      </c>
      <c r="E282" s="1138">
        <f t="shared" si="27"/>
        <v>2.597644425699442E-2</v>
      </c>
      <c r="G282" s="1139" t="s">
        <v>1731</v>
      </c>
      <c r="H282" s="1407">
        <v>55.02</v>
      </c>
      <c r="I282" s="1407"/>
      <c r="J282" s="1126">
        <f t="shared" si="28"/>
        <v>53.373896263748208</v>
      </c>
      <c r="K282" s="1140">
        <f t="shared" si="29"/>
        <v>3.0840988788181027E-2</v>
      </c>
    </row>
    <row r="283" spans="1:11" ht="12" customHeight="1" x14ac:dyDescent="0.3">
      <c r="A283" s="1133" t="s">
        <v>1737</v>
      </c>
      <c r="B283" s="1408">
        <v>35.75</v>
      </c>
      <c r="C283" s="1408"/>
      <c r="D283" s="1134">
        <f t="shared" si="26"/>
        <v>35.99615447154472</v>
      </c>
      <c r="E283" s="1135">
        <f t="shared" si="27"/>
        <v>-6.8383546842290515E-3</v>
      </c>
      <c r="G283" s="1136" t="s">
        <v>1737</v>
      </c>
      <c r="H283" s="1408">
        <v>37.78</v>
      </c>
      <c r="I283" s="1408"/>
      <c r="J283" s="1129">
        <f t="shared" si="28"/>
        <v>38.038641228286778</v>
      </c>
      <c r="K283" s="1135">
        <f t="shared" si="29"/>
        <v>-6.7994339423050384E-3</v>
      </c>
    </row>
    <row r="284" spans="1:11" ht="12" customHeight="1" x14ac:dyDescent="0.3">
      <c r="A284" s="1040" t="s">
        <v>1937</v>
      </c>
      <c r="B284" s="1406">
        <v>40.01</v>
      </c>
      <c r="C284" s="1406"/>
      <c r="D284" s="1137">
        <f t="shared" si="26"/>
        <v>40.591682926829272</v>
      </c>
      <c r="E284" s="1138">
        <f t="shared" si="27"/>
        <v>-1.4330101264286518E-2</v>
      </c>
      <c r="G284" s="1139" t="s">
        <v>1937</v>
      </c>
      <c r="H284" s="1407">
        <v>42.43</v>
      </c>
      <c r="I284" s="1407"/>
      <c r="J284" s="1126">
        <f t="shared" si="28"/>
        <v>42.894928260367912</v>
      </c>
      <c r="K284" s="1140">
        <f t="shared" si="29"/>
        <v>-1.0838769971728234E-2</v>
      </c>
    </row>
    <row r="285" spans="1:11" ht="12" customHeight="1" x14ac:dyDescent="0.3">
      <c r="A285" s="1133" t="s">
        <v>1738</v>
      </c>
      <c r="B285" s="1409">
        <v>40.6</v>
      </c>
      <c r="C285" s="1409"/>
      <c r="D285" s="1141">
        <f t="shared" si="26"/>
        <v>40.591682926829272</v>
      </c>
      <c r="E285" s="1142">
        <f t="shared" si="27"/>
        <v>2.0489599275108194E-4</v>
      </c>
      <c r="G285" s="1136" t="s">
        <v>1738</v>
      </c>
      <c r="H285" s="1409">
        <v>43.05</v>
      </c>
      <c r="I285" s="1409"/>
      <c r="J285" s="1129">
        <f t="shared" si="28"/>
        <v>42.894928260367912</v>
      </c>
      <c r="K285" s="1142">
        <f t="shared" si="29"/>
        <v>3.6151532575323347E-3</v>
      </c>
    </row>
    <row r="286" spans="1:11" ht="12" customHeight="1" x14ac:dyDescent="0.3">
      <c r="A286" s="1040" t="s">
        <v>1938</v>
      </c>
      <c r="B286" s="1406">
        <v>36.94</v>
      </c>
      <c r="C286" s="1406"/>
      <c r="D286" s="1137">
        <f t="shared" si="26"/>
        <v>35.99615447154472</v>
      </c>
      <c r="E286" s="1138">
        <f t="shared" si="27"/>
        <v>2.6220732250757387E-2</v>
      </c>
      <c r="G286" s="1139" t="s">
        <v>1938</v>
      </c>
      <c r="H286" s="1407">
        <v>38.89</v>
      </c>
      <c r="I286" s="1407"/>
      <c r="J286" s="1126">
        <f t="shared" si="28"/>
        <v>38.038641228286778</v>
      </c>
      <c r="K286" s="1140">
        <f t="shared" si="29"/>
        <v>2.2381419110210601E-2</v>
      </c>
    </row>
    <row r="287" spans="1:11" ht="12" customHeight="1" x14ac:dyDescent="0.3">
      <c r="A287" s="1143" t="s">
        <v>1742</v>
      </c>
      <c r="B287" s="1410">
        <v>43.08</v>
      </c>
      <c r="C287" s="1410"/>
      <c r="D287" s="1144">
        <f t="shared" si="26"/>
        <v>42.584925304878055</v>
      </c>
      <c r="E287" s="1145">
        <f t="shared" si="27"/>
        <v>1.1625585616918592E-2</v>
      </c>
      <c r="G287" s="1146" t="s">
        <v>1742</v>
      </c>
      <c r="H287" s="1410">
        <v>45.79</v>
      </c>
      <c r="I287" s="1410"/>
      <c r="J287" s="1147">
        <f t="shared" si="28"/>
        <v>45.001270807585044</v>
      </c>
      <c r="K287" s="1145">
        <f t="shared" si="29"/>
        <v>1.7526820426635895E-2</v>
      </c>
    </row>
    <row r="289" spans="1:11" x14ac:dyDescent="0.3">
      <c r="A289" s="1372" t="s">
        <v>2052</v>
      </c>
      <c r="B289" s="1376" t="s">
        <v>2054</v>
      </c>
      <c r="C289" s="1404" t="s">
        <v>2059</v>
      </c>
      <c r="G289" s="551">
        <v>611</v>
      </c>
      <c r="H289" s="551">
        <v>800</v>
      </c>
      <c r="I289" s="551">
        <f>H289/G289</f>
        <v>1.3093289689034371</v>
      </c>
      <c r="K289" s="551">
        <f>1040*I289</f>
        <v>1361.7021276595747</v>
      </c>
    </row>
    <row r="290" spans="1:11" x14ac:dyDescent="0.3">
      <c r="A290" s="1372"/>
      <c r="B290" s="1376"/>
      <c r="C290" s="1404"/>
    </row>
    <row r="291" spans="1:11" x14ac:dyDescent="0.3">
      <c r="A291" s="1040" t="s">
        <v>1932</v>
      </c>
      <c r="B291" s="1148">
        <f t="shared" ref="B291:B302" si="30">E276</f>
        <v>-4.3758819215133193E-2</v>
      </c>
      <c r="C291" s="1149">
        <f t="shared" ref="C291:C302" si="31">K276</f>
        <v>-3.9475399729298061E-2</v>
      </c>
    </row>
    <row r="292" spans="1:11" x14ac:dyDescent="0.3">
      <c r="A292" s="1133" t="s">
        <v>1933</v>
      </c>
      <c r="B292" s="1148">
        <f t="shared" si="30"/>
        <v>1.5474665735731226E-2</v>
      </c>
      <c r="C292" s="1149">
        <f t="shared" si="31"/>
        <v>-3.1279816120038419E-3</v>
      </c>
    </row>
    <row r="293" spans="1:11" x14ac:dyDescent="0.3">
      <c r="A293" s="1040" t="s">
        <v>1934</v>
      </c>
      <c r="B293" s="1148">
        <f t="shared" si="30"/>
        <v>4.7033790030582496E-3</v>
      </c>
      <c r="C293" s="1149">
        <f t="shared" si="31"/>
        <v>7.9050350242645725E-3</v>
      </c>
    </row>
    <row r="294" spans="1:11" x14ac:dyDescent="0.3">
      <c r="A294" s="1133" t="s">
        <v>1935</v>
      </c>
      <c r="B294" s="1148">
        <f t="shared" si="30"/>
        <v>-4.7716970128295578E-3</v>
      </c>
      <c r="C294" s="1149">
        <f t="shared" si="31"/>
        <v>-1.3784077338270509E-3</v>
      </c>
    </row>
    <row r="295" spans="1:11" x14ac:dyDescent="0.3">
      <c r="A295" s="1040" t="s">
        <v>1936</v>
      </c>
      <c r="B295" s="1148">
        <f t="shared" si="30"/>
        <v>-2.4513664540383114E-2</v>
      </c>
      <c r="C295" s="1149">
        <f t="shared" si="31"/>
        <v>-2.033973738775997E-2</v>
      </c>
    </row>
    <row r="296" spans="1:11" x14ac:dyDescent="0.3">
      <c r="A296" s="1133" t="s">
        <v>1740</v>
      </c>
      <c r="B296" s="1148">
        <f t="shared" si="30"/>
        <v>2.7440119701378166E-2</v>
      </c>
      <c r="C296" s="1149">
        <f t="shared" si="31"/>
        <v>3.1435110315305846E-2</v>
      </c>
    </row>
    <row r="297" spans="1:11" x14ac:dyDescent="0.3">
      <c r="A297" s="1040" t="s">
        <v>1731</v>
      </c>
      <c r="B297" s="1148">
        <f t="shared" si="30"/>
        <v>2.597644425699442E-2</v>
      </c>
      <c r="C297" s="1149">
        <f t="shared" si="31"/>
        <v>3.0840988788181027E-2</v>
      </c>
    </row>
    <row r="298" spans="1:11" x14ac:dyDescent="0.3">
      <c r="A298" s="1133" t="s">
        <v>1737</v>
      </c>
      <c r="B298" s="1148">
        <f t="shared" si="30"/>
        <v>-6.8383546842290515E-3</v>
      </c>
      <c r="C298" s="1149">
        <f t="shared" si="31"/>
        <v>-6.7994339423050384E-3</v>
      </c>
    </row>
    <row r="299" spans="1:11" x14ac:dyDescent="0.3">
      <c r="A299" s="1040" t="s">
        <v>1937</v>
      </c>
      <c r="B299" s="1148">
        <f t="shared" si="30"/>
        <v>-1.4330101264286518E-2</v>
      </c>
      <c r="C299" s="1149">
        <f t="shared" si="31"/>
        <v>-1.0838769971728234E-2</v>
      </c>
    </row>
    <row r="300" spans="1:11" x14ac:dyDescent="0.3">
      <c r="A300" s="1133" t="s">
        <v>1738</v>
      </c>
      <c r="B300" s="1148">
        <f t="shared" si="30"/>
        <v>2.0489599275108194E-4</v>
      </c>
      <c r="C300" s="1149">
        <f t="shared" si="31"/>
        <v>3.6151532575323347E-3</v>
      </c>
    </row>
    <row r="301" spans="1:11" x14ac:dyDescent="0.3">
      <c r="A301" s="1040" t="s">
        <v>1938</v>
      </c>
      <c r="B301" s="1148">
        <f t="shared" si="30"/>
        <v>2.6220732250757387E-2</v>
      </c>
      <c r="C301" s="1149">
        <f t="shared" si="31"/>
        <v>2.2381419110210601E-2</v>
      </c>
    </row>
    <row r="302" spans="1:11" x14ac:dyDescent="0.3">
      <c r="A302" s="1143" t="s">
        <v>1742</v>
      </c>
      <c r="B302" s="1150">
        <f t="shared" si="30"/>
        <v>1.1625585616918592E-2</v>
      </c>
      <c r="C302" s="1151">
        <f t="shared" si="31"/>
        <v>1.7526820426635895E-2</v>
      </c>
    </row>
    <row r="346" spans="1:2" ht="13.5" customHeight="1" x14ac:dyDescent="0.3">
      <c r="A346" s="1152" t="s">
        <v>2060</v>
      </c>
      <c r="B346" s="1153" t="s">
        <v>2061</v>
      </c>
    </row>
    <row r="347" spans="1:2" ht="13.5" customHeight="1" x14ac:dyDescent="0.3">
      <c r="A347" s="1154" t="s">
        <v>2062</v>
      </c>
      <c r="B347" s="1155" t="s">
        <v>2063</v>
      </c>
    </row>
    <row r="348" spans="1:2" ht="13.5" customHeight="1" x14ac:dyDescent="0.3">
      <c r="A348" s="1154" t="s">
        <v>2064</v>
      </c>
      <c r="B348" s="1156" t="s">
        <v>2065</v>
      </c>
    </row>
    <row r="349" spans="1:2" ht="13.5" customHeight="1" x14ac:dyDescent="0.3">
      <c r="A349" s="1154" t="s">
        <v>2066</v>
      </c>
      <c r="B349" s="1155" t="s">
        <v>2067</v>
      </c>
    </row>
    <row r="350" spans="1:2" ht="13.5" customHeight="1" x14ac:dyDescent="0.3">
      <c r="A350" s="1154" t="s">
        <v>2068</v>
      </c>
      <c r="B350" s="1156" t="s">
        <v>2069</v>
      </c>
    </row>
    <row r="351" spans="1:2" ht="13.5" customHeight="1" x14ac:dyDescent="0.3">
      <c r="A351" s="1157" t="s">
        <v>2070</v>
      </c>
      <c r="B351" s="1158" t="s">
        <v>2071</v>
      </c>
    </row>
    <row r="354" spans="1:9" x14ac:dyDescent="0.3">
      <c r="A354" s="1159" t="s">
        <v>2072</v>
      </c>
      <c r="B354" s="1160" t="s">
        <v>2073</v>
      </c>
      <c r="C354" s="1160" t="s">
        <v>2074</v>
      </c>
      <c r="D354" s="1160" t="s">
        <v>2075</v>
      </c>
      <c r="E354" s="1160" t="s">
        <v>2076</v>
      </c>
      <c r="F354" s="1161" t="s">
        <v>2077</v>
      </c>
      <c r="H354" s="551" t="s">
        <v>2078</v>
      </c>
    </row>
    <row r="355" spans="1:9" ht="15.6" x14ac:dyDescent="0.3">
      <c r="A355" s="929" t="s">
        <v>2079</v>
      </c>
      <c r="B355" s="551" t="s">
        <v>2080</v>
      </c>
      <c r="C355" s="1162">
        <v>0.2</v>
      </c>
      <c r="D355" s="551">
        <f t="shared" ref="D355:D386" si="32">C355/0.3048</f>
        <v>0.65616797900262469</v>
      </c>
      <c r="E355" s="1163">
        <v>12</v>
      </c>
      <c r="F355" s="1164">
        <f t="shared" ref="F355:F386" si="33">E355*D355</f>
        <v>7.8740157480314963</v>
      </c>
    </row>
    <row r="356" spans="1:9" ht="15.6" x14ac:dyDescent="0.3">
      <c r="A356" s="929" t="s">
        <v>2081</v>
      </c>
      <c r="B356" s="551" t="s">
        <v>2080</v>
      </c>
      <c r="C356" s="1162">
        <v>0.5</v>
      </c>
      <c r="D356" s="551">
        <f t="shared" si="32"/>
        <v>1.6404199475065615</v>
      </c>
      <c r="E356" s="1163">
        <v>12</v>
      </c>
      <c r="F356" s="1164">
        <f t="shared" si="33"/>
        <v>19.685039370078737</v>
      </c>
      <c r="H356" s="551" t="s">
        <v>2082</v>
      </c>
    </row>
    <row r="357" spans="1:9" ht="15.6" x14ac:dyDescent="0.3">
      <c r="A357" s="929" t="s">
        <v>2083</v>
      </c>
      <c r="B357" s="551" t="s">
        <v>2080</v>
      </c>
      <c r="C357" s="1162">
        <v>3.048</v>
      </c>
      <c r="D357" s="551">
        <f t="shared" si="32"/>
        <v>10</v>
      </c>
      <c r="E357" s="1163">
        <v>12</v>
      </c>
      <c r="F357" s="1164">
        <f t="shared" si="33"/>
        <v>120</v>
      </c>
      <c r="H357" s="551" t="s">
        <v>2084</v>
      </c>
      <c r="I357" s="1165">
        <v>400000</v>
      </c>
    </row>
    <row r="358" spans="1:9" ht="15.6" x14ac:dyDescent="0.3">
      <c r="A358" s="929" t="s">
        <v>2085</v>
      </c>
      <c r="B358" s="551" t="s">
        <v>2086</v>
      </c>
      <c r="C358" s="1162">
        <v>2.5</v>
      </c>
      <c r="D358" s="551">
        <f t="shared" si="32"/>
        <v>8.2020997375328086</v>
      </c>
      <c r="E358" s="1163">
        <v>11</v>
      </c>
      <c r="F358" s="1164">
        <f t="shared" si="33"/>
        <v>90.223097112860899</v>
      </c>
    </row>
    <row r="359" spans="1:9" ht="15.6" x14ac:dyDescent="0.3">
      <c r="A359" s="929" t="s">
        <v>2087</v>
      </c>
      <c r="B359" s="551" t="s">
        <v>2088</v>
      </c>
      <c r="C359" s="1162">
        <v>2.5</v>
      </c>
      <c r="D359" s="551">
        <f t="shared" si="32"/>
        <v>8.2020997375328086</v>
      </c>
      <c r="E359" s="1163">
        <v>10</v>
      </c>
      <c r="F359" s="1164">
        <f t="shared" si="33"/>
        <v>82.020997375328079</v>
      </c>
      <c r="H359" s="551" t="s">
        <v>2089</v>
      </c>
      <c r="I359" s="1165">
        <v>400000</v>
      </c>
    </row>
    <row r="360" spans="1:9" ht="15.6" x14ac:dyDescent="0.3">
      <c r="A360" s="929" t="s">
        <v>2090</v>
      </c>
      <c r="B360" s="551" t="s">
        <v>2088</v>
      </c>
      <c r="C360" s="1162">
        <v>3.3719999999999999</v>
      </c>
      <c r="D360" s="551">
        <f t="shared" si="32"/>
        <v>11.062992125984252</v>
      </c>
      <c r="E360" s="1163">
        <v>10</v>
      </c>
      <c r="F360" s="1164">
        <f t="shared" si="33"/>
        <v>110.62992125984252</v>
      </c>
    </row>
    <row r="361" spans="1:9" ht="15.6" x14ac:dyDescent="0.3">
      <c r="A361" s="929" t="s">
        <v>2091</v>
      </c>
      <c r="B361" s="551" t="s">
        <v>2092</v>
      </c>
      <c r="C361" s="1162">
        <v>1.75</v>
      </c>
      <c r="D361" s="551">
        <f t="shared" si="32"/>
        <v>5.7414698162729652</v>
      </c>
      <c r="E361" s="1163">
        <v>8</v>
      </c>
      <c r="F361" s="1164">
        <f t="shared" si="33"/>
        <v>45.931758530183721</v>
      </c>
      <c r="H361" s="551" t="s">
        <v>2089</v>
      </c>
      <c r="I361" s="1165">
        <v>400000</v>
      </c>
    </row>
    <row r="362" spans="1:9" ht="15.6" x14ac:dyDescent="0.3">
      <c r="A362" s="929" t="s">
        <v>2093</v>
      </c>
      <c r="B362" s="551" t="s">
        <v>2094</v>
      </c>
      <c r="C362" s="1162">
        <v>2.5</v>
      </c>
      <c r="D362" s="551">
        <f t="shared" si="32"/>
        <v>8.2020997375328086</v>
      </c>
      <c r="E362" s="1163">
        <v>4</v>
      </c>
      <c r="F362" s="1164">
        <f t="shared" si="33"/>
        <v>32.808398950131235</v>
      </c>
    </row>
    <row r="363" spans="1:9" ht="15.6" x14ac:dyDescent="0.3">
      <c r="A363" s="929" t="s">
        <v>2095</v>
      </c>
      <c r="B363" s="551" t="s">
        <v>2096</v>
      </c>
      <c r="C363" s="1162">
        <v>0.7</v>
      </c>
      <c r="D363" s="551">
        <f t="shared" si="32"/>
        <v>2.296587926509186</v>
      </c>
      <c r="E363" s="1163">
        <v>5</v>
      </c>
      <c r="F363" s="1164">
        <f t="shared" si="33"/>
        <v>11.48293963254593</v>
      </c>
      <c r="H363" s="551" t="s">
        <v>2084</v>
      </c>
      <c r="I363" s="1165">
        <v>400000</v>
      </c>
    </row>
    <row r="364" spans="1:9" ht="15.6" x14ac:dyDescent="0.3">
      <c r="A364" s="929" t="s">
        <v>2093</v>
      </c>
      <c r="B364" s="551" t="s">
        <v>2094</v>
      </c>
      <c r="C364" s="1162">
        <v>2.5</v>
      </c>
      <c r="D364" s="551">
        <f t="shared" si="32"/>
        <v>8.2020997375328086</v>
      </c>
      <c r="E364" s="1163">
        <v>4</v>
      </c>
      <c r="F364" s="1164">
        <f t="shared" si="33"/>
        <v>32.808398950131235</v>
      </c>
    </row>
    <row r="365" spans="1:9" ht="15.6" x14ac:dyDescent="0.3">
      <c r="A365" s="929" t="s">
        <v>2097</v>
      </c>
      <c r="B365" s="551" t="s">
        <v>2096</v>
      </c>
      <c r="C365" s="1162">
        <v>0.7</v>
      </c>
      <c r="D365" s="551">
        <f t="shared" si="32"/>
        <v>2.296587926509186</v>
      </c>
      <c r="E365" s="1163">
        <v>5</v>
      </c>
      <c r="F365" s="1164">
        <f t="shared" si="33"/>
        <v>11.48293963254593</v>
      </c>
      <c r="H365" s="551" t="s">
        <v>2089</v>
      </c>
      <c r="I365" s="1165">
        <v>400000</v>
      </c>
    </row>
    <row r="366" spans="1:9" ht="15.6" x14ac:dyDescent="0.3">
      <c r="A366" s="929" t="s">
        <v>2093</v>
      </c>
      <c r="B366" s="551" t="s">
        <v>2094</v>
      </c>
      <c r="C366" s="1162">
        <v>2.5</v>
      </c>
      <c r="D366" s="551">
        <f t="shared" si="32"/>
        <v>8.2020997375328086</v>
      </c>
      <c r="E366" s="1163">
        <v>4</v>
      </c>
      <c r="F366" s="1164">
        <f t="shared" si="33"/>
        <v>32.808398950131235</v>
      </c>
    </row>
    <row r="367" spans="1:9" ht="15.6" x14ac:dyDescent="0.3">
      <c r="A367" s="929" t="s">
        <v>2098</v>
      </c>
      <c r="B367" s="551" t="s">
        <v>2094</v>
      </c>
      <c r="C367" s="1162">
        <v>0.84199999999999997</v>
      </c>
      <c r="D367" s="551">
        <f t="shared" si="32"/>
        <v>2.7624671916010497</v>
      </c>
      <c r="E367" s="1163">
        <v>4</v>
      </c>
      <c r="F367" s="1164">
        <f t="shared" si="33"/>
        <v>11.049868766404199</v>
      </c>
      <c r="H367" s="551" t="s">
        <v>2089</v>
      </c>
      <c r="I367" s="1165">
        <v>400000</v>
      </c>
    </row>
    <row r="368" spans="1:9" ht="15.6" x14ac:dyDescent="0.3">
      <c r="A368" s="929" t="s">
        <v>1933</v>
      </c>
      <c r="B368" s="551" t="s">
        <v>2094</v>
      </c>
      <c r="C368" s="1162">
        <v>2.5</v>
      </c>
      <c r="D368" s="551">
        <f t="shared" si="32"/>
        <v>8.2020997375328086</v>
      </c>
      <c r="E368" s="1163">
        <v>4</v>
      </c>
      <c r="F368" s="1164">
        <f t="shared" si="33"/>
        <v>32.808398950131235</v>
      </c>
    </row>
    <row r="369" spans="1:9" ht="15.6" x14ac:dyDescent="0.3">
      <c r="A369" s="929" t="s">
        <v>2099</v>
      </c>
      <c r="B369" s="551" t="s">
        <v>2094</v>
      </c>
      <c r="C369" s="1162">
        <v>0.55500000000000005</v>
      </c>
      <c r="D369" s="551">
        <f t="shared" si="32"/>
        <v>1.8208661417322836</v>
      </c>
      <c r="E369" s="1163">
        <v>4</v>
      </c>
      <c r="F369" s="1164">
        <f t="shared" si="33"/>
        <v>7.2834645669291342</v>
      </c>
      <c r="H369" s="551" t="s">
        <v>2084</v>
      </c>
      <c r="I369" s="1165">
        <v>400000</v>
      </c>
    </row>
    <row r="370" spans="1:9" ht="15.6" x14ac:dyDescent="0.3">
      <c r="A370" s="929" t="s">
        <v>1933</v>
      </c>
      <c r="B370" s="551" t="s">
        <v>2094</v>
      </c>
      <c r="C370" s="1162">
        <v>2.5</v>
      </c>
      <c r="D370" s="551">
        <f t="shared" si="32"/>
        <v>8.2020997375328086</v>
      </c>
      <c r="E370" s="1163">
        <v>4</v>
      </c>
      <c r="F370" s="1164">
        <f t="shared" si="33"/>
        <v>32.808398950131235</v>
      </c>
    </row>
    <row r="371" spans="1:9" ht="15.6" x14ac:dyDescent="0.3">
      <c r="A371" s="929" t="s">
        <v>2100</v>
      </c>
      <c r="B371" s="551" t="s">
        <v>2094</v>
      </c>
      <c r="C371" s="1162">
        <v>0.57899999999999996</v>
      </c>
      <c r="D371" s="551">
        <f t="shared" si="32"/>
        <v>1.8996062992125982</v>
      </c>
      <c r="E371" s="1163">
        <v>4</v>
      </c>
      <c r="F371" s="1164">
        <f t="shared" si="33"/>
        <v>7.5984251968503926</v>
      </c>
      <c r="H371" s="551" t="s">
        <v>2089</v>
      </c>
      <c r="I371" s="1165">
        <v>400000</v>
      </c>
    </row>
    <row r="372" spans="1:9" ht="15.6" x14ac:dyDescent="0.3">
      <c r="A372" s="929" t="s">
        <v>1933</v>
      </c>
      <c r="B372" s="551" t="s">
        <v>2094</v>
      </c>
      <c r="C372" s="1162">
        <v>2.5</v>
      </c>
      <c r="D372" s="551">
        <f t="shared" si="32"/>
        <v>8.2020997375328086</v>
      </c>
      <c r="E372" s="1163">
        <v>4</v>
      </c>
      <c r="F372" s="1164">
        <f t="shared" si="33"/>
        <v>32.808398950131235</v>
      </c>
    </row>
    <row r="373" spans="1:9" ht="15.6" x14ac:dyDescent="0.3">
      <c r="A373" s="929" t="s">
        <v>1935</v>
      </c>
      <c r="B373" s="551" t="s">
        <v>2094</v>
      </c>
      <c r="C373" s="1162">
        <v>2.5</v>
      </c>
      <c r="D373" s="551">
        <f t="shared" si="32"/>
        <v>8.2020997375328086</v>
      </c>
      <c r="E373" s="1163">
        <v>4</v>
      </c>
      <c r="F373" s="1164">
        <f t="shared" si="33"/>
        <v>32.808398950131235</v>
      </c>
      <c r="H373" s="551" t="s">
        <v>2084</v>
      </c>
      <c r="I373" s="1165">
        <v>400000</v>
      </c>
    </row>
    <row r="374" spans="1:9" ht="15.6" x14ac:dyDescent="0.3">
      <c r="A374" s="929" t="s">
        <v>2101</v>
      </c>
      <c r="B374" s="551" t="s">
        <v>2088</v>
      </c>
      <c r="C374" s="1162">
        <v>7.1</v>
      </c>
      <c r="D374" s="551">
        <f t="shared" si="32"/>
        <v>23.293963254593173</v>
      </c>
      <c r="E374" s="1163">
        <v>10</v>
      </c>
      <c r="F374" s="1164">
        <f t="shared" si="33"/>
        <v>232.93963254593172</v>
      </c>
    </row>
    <row r="375" spans="1:9" ht="15.6" x14ac:dyDescent="0.3">
      <c r="A375" s="929" t="s">
        <v>2102</v>
      </c>
      <c r="B375" s="551" t="s">
        <v>2094</v>
      </c>
      <c r="C375" s="1162">
        <v>2.6960000000000002</v>
      </c>
      <c r="D375" s="551">
        <f t="shared" si="32"/>
        <v>8.8451443569553803</v>
      </c>
      <c r="E375" s="1163">
        <v>4</v>
      </c>
      <c r="F375" s="1164">
        <f t="shared" si="33"/>
        <v>35.380577427821521</v>
      </c>
      <c r="H375" s="551" t="s">
        <v>2089</v>
      </c>
      <c r="I375" s="1165">
        <v>400000</v>
      </c>
    </row>
    <row r="376" spans="1:9" ht="15.6" x14ac:dyDescent="0.3">
      <c r="A376" s="929" t="s">
        <v>2103</v>
      </c>
      <c r="B376" s="551" t="s">
        <v>2096</v>
      </c>
      <c r="C376" s="1162">
        <v>2.1139999999999999</v>
      </c>
      <c r="D376" s="551">
        <f t="shared" si="32"/>
        <v>6.9356955380577423</v>
      </c>
      <c r="E376" s="1163">
        <v>5</v>
      </c>
      <c r="F376" s="1164">
        <f t="shared" si="33"/>
        <v>34.678477690288709</v>
      </c>
    </row>
    <row r="377" spans="1:9" ht="15.6" x14ac:dyDescent="0.3">
      <c r="A377" s="929" t="s">
        <v>1935</v>
      </c>
      <c r="B377" s="551" t="s">
        <v>2094</v>
      </c>
      <c r="C377" s="1162">
        <v>2.5</v>
      </c>
      <c r="D377" s="551">
        <f t="shared" si="32"/>
        <v>8.2020997375328086</v>
      </c>
      <c r="E377" s="1163">
        <v>4</v>
      </c>
      <c r="F377" s="1164">
        <f t="shared" si="33"/>
        <v>32.808398950131235</v>
      </c>
      <c r="H377" s="551" t="s">
        <v>2089</v>
      </c>
      <c r="I377" s="1165">
        <v>400000</v>
      </c>
    </row>
    <row r="378" spans="1:9" ht="15.6" x14ac:dyDescent="0.3">
      <c r="A378" s="929" t="s">
        <v>2104</v>
      </c>
      <c r="B378" s="551" t="s">
        <v>2092</v>
      </c>
      <c r="C378" s="1162">
        <v>3.4990000000000001</v>
      </c>
      <c r="D378" s="551">
        <f t="shared" si="32"/>
        <v>11.479658792650918</v>
      </c>
      <c r="E378" s="1163">
        <v>6</v>
      </c>
      <c r="F378" s="1164">
        <f t="shared" si="33"/>
        <v>68.877952755905511</v>
      </c>
    </row>
    <row r="379" spans="1:9" ht="15.6" x14ac:dyDescent="0.3">
      <c r="A379" s="929" t="s">
        <v>2105</v>
      </c>
      <c r="B379" s="551" t="s">
        <v>2096</v>
      </c>
      <c r="C379" s="1162">
        <v>2.1139999999999999</v>
      </c>
      <c r="D379" s="551">
        <f t="shared" si="32"/>
        <v>6.9356955380577423</v>
      </c>
      <c r="E379" s="1163">
        <v>5</v>
      </c>
      <c r="F379" s="1164">
        <f t="shared" si="33"/>
        <v>34.678477690288709</v>
      </c>
      <c r="H379" s="551" t="s">
        <v>2089</v>
      </c>
      <c r="I379" s="1165">
        <v>400000</v>
      </c>
    </row>
    <row r="380" spans="1:9" ht="15.6" x14ac:dyDescent="0.3">
      <c r="A380" s="929" t="s">
        <v>1936</v>
      </c>
      <c r="B380" s="551" t="s">
        <v>2094</v>
      </c>
      <c r="C380" s="1162">
        <v>2.5</v>
      </c>
      <c r="D380" s="551">
        <f t="shared" si="32"/>
        <v>8.2020997375328086</v>
      </c>
      <c r="E380" s="1163">
        <v>4</v>
      </c>
      <c r="F380" s="1164">
        <f t="shared" si="33"/>
        <v>32.808398950131235</v>
      </c>
    </row>
    <row r="381" spans="1:9" ht="15.6" x14ac:dyDescent="0.3">
      <c r="A381" s="929" t="s">
        <v>2106</v>
      </c>
      <c r="B381" s="551" t="s">
        <v>2094</v>
      </c>
      <c r="C381" s="1162">
        <v>2.6960000000000002</v>
      </c>
      <c r="D381" s="551">
        <f t="shared" si="32"/>
        <v>8.8451443569553803</v>
      </c>
      <c r="E381" s="1163">
        <v>4</v>
      </c>
      <c r="F381" s="1164">
        <f t="shared" si="33"/>
        <v>35.380577427821521</v>
      </c>
      <c r="H381" s="551" t="s">
        <v>2084</v>
      </c>
      <c r="I381" s="1165">
        <v>400000</v>
      </c>
    </row>
    <row r="382" spans="1:9" ht="15.6" x14ac:dyDescent="0.3">
      <c r="A382" s="929" t="s">
        <v>1936</v>
      </c>
      <c r="B382" s="551" t="s">
        <v>2094</v>
      </c>
      <c r="C382" s="1162">
        <v>2.5</v>
      </c>
      <c r="D382" s="551">
        <f t="shared" si="32"/>
        <v>8.2020997375328086</v>
      </c>
      <c r="E382" s="1163">
        <v>4</v>
      </c>
      <c r="F382" s="1164">
        <f t="shared" si="33"/>
        <v>32.808398950131235</v>
      </c>
    </row>
    <row r="383" spans="1:9" ht="15.6" x14ac:dyDescent="0.3">
      <c r="A383" s="929" t="s">
        <v>2107</v>
      </c>
      <c r="B383" s="551" t="s">
        <v>2092</v>
      </c>
      <c r="C383" s="1162">
        <v>1.3</v>
      </c>
      <c r="D383" s="551">
        <f t="shared" si="32"/>
        <v>4.2650918635170605</v>
      </c>
      <c r="E383" s="1163">
        <v>6</v>
      </c>
      <c r="F383" s="1164">
        <f t="shared" si="33"/>
        <v>25.590551181102363</v>
      </c>
      <c r="H383" s="551" t="s">
        <v>2089</v>
      </c>
      <c r="I383" s="1165">
        <v>400000</v>
      </c>
    </row>
    <row r="384" spans="1:9" ht="15.6" x14ac:dyDescent="0.3">
      <c r="A384" s="929" t="s">
        <v>2108</v>
      </c>
      <c r="B384" s="551" t="s">
        <v>2094</v>
      </c>
      <c r="C384" s="1162">
        <v>1.25</v>
      </c>
      <c r="D384" s="551">
        <f t="shared" si="32"/>
        <v>4.1010498687664043</v>
      </c>
      <c r="E384" s="1163">
        <v>4</v>
      </c>
      <c r="F384" s="1164">
        <f t="shared" si="33"/>
        <v>16.404199475065617</v>
      </c>
    </row>
    <row r="385" spans="1:9" ht="15.6" x14ac:dyDescent="0.3">
      <c r="A385" s="929" t="s">
        <v>1737</v>
      </c>
      <c r="B385" s="551" t="s">
        <v>2094</v>
      </c>
      <c r="C385" s="1162">
        <v>2.5</v>
      </c>
      <c r="D385" s="551">
        <f t="shared" si="32"/>
        <v>8.2020997375328086</v>
      </c>
      <c r="E385" s="1163">
        <v>4</v>
      </c>
      <c r="F385" s="1164">
        <f t="shared" si="33"/>
        <v>32.808398950131235</v>
      </c>
      <c r="H385" s="551" t="s">
        <v>2084</v>
      </c>
      <c r="I385" s="1165">
        <v>400000</v>
      </c>
    </row>
    <row r="386" spans="1:9" ht="15.6" x14ac:dyDescent="0.3">
      <c r="A386" s="929" t="s">
        <v>2109</v>
      </c>
      <c r="B386" s="551" t="s">
        <v>2096</v>
      </c>
      <c r="C386" s="1162">
        <v>1.25</v>
      </c>
      <c r="D386" s="551">
        <f t="shared" si="32"/>
        <v>4.1010498687664043</v>
      </c>
      <c r="E386" s="1163">
        <v>5</v>
      </c>
      <c r="F386" s="1164">
        <f t="shared" si="33"/>
        <v>20.50524934383202</v>
      </c>
    </row>
    <row r="387" spans="1:9" ht="15.6" x14ac:dyDescent="0.3">
      <c r="A387" s="929" t="s">
        <v>1736</v>
      </c>
      <c r="B387" s="551" t="s">
        <v>2094</v>
      </c>
      <c r="C387" s="1162">
        <v>2.5</v>
      </c>
      <c r="D387" s="551">
        <f t="shared" ref="D387:D418" si="34">C387/0.3048</f>
        <v>8.2020997375328086</v>
      </c>
      <c r="E387" s="1163">
        <v>4</v>
      </c>
      <c r="F387" s="1164">
        <f t="shared" ref="F387:F418" si="35">E387*D387</f>
        <v>32.808398950131235</v>
      </c>
      <c r="H387" s="551" t="s">
        <v>2082</v>
      </c>
      <c r="I387" s="1166">
        <v>600000</v>
      </c>
    </row>
    <row r="388" spans="1:9" ht="15.6" x14ac:dyDescent="0.3">
      <c r="A388" s="929" t="s">
        <v>2110</v>
      </c>
      <c r="B388" s="551" t="s">
        <v>2096</v>
      </c>
      <c r="C388" s="1162">
        <v>3.9129999999999998</v>
      </c>
      <c r="D388" s="551">
        <f t="shared" si="34"/>
        <v>12.837926509186351</v>
      </c>
      <c r="E388" s="1163">
        <v>5</v>
      </c>
      <c r="F388" s="1164">
        <f t="shared" si="35"/>
        <v>64.189632545931758</v>
      </c>
    </row>
    <row r="389" spans="1:9" ht="15.6" x14ac:dyDescent="0.3">
      <c r="A389" s="929" t="s">
        <v>1731</v>
      </c>
      <c r="B389" s="551" t="s">
        <v>2096</v>
      </c>
      <c r="C389" s="1162">
        <v>2.5</v>
      </c>
      <c r="D389" s="551">
        <f t="shared" si="34"/>
        <v>8.2020997375328086</v>
      </c>
      <c r="E389" s="1163">
        <v>5</v>
      </c>
      <c r="F389" s="1164">
        <f t="shared" si="35"/>
        <v>41.01049868766404</v>
      </c>
      <c r="H389" s="551" t="s">
        <v>2089</v>
      </c>
      <c r="I389" s="1165">
        <v>400000</v>
      </c>
    </row>
    <row r="390" spans="1:9" ht="15.6" x14ac:dyDescent="0.3">
      <c r="A390" s="929" t="s">
        <v>2111</v>
      </c>
      <c r="B390" s="551" t="s">
        <v>2088</v>
      </c>
      <c r="C390" s="1162">
        <v>7.1</v>
      </c>
      <c r="D390" s="551">
        <f t="shared" si="34"/>
        <v>23.293963254593173</v>
      </c>
      <c r="E390" s="1163">
        <v>10</v>
      </c>
      <c r="F390" s="1164">
        <f t="shared" si="35"/>
        <v>232.93963254593172</v>
      </c>
    </row>
    <row r="391" spans="1:9" ht="15.6" x14ac:dyDescent="0.3">
      <c r="A391" s="929" t="s">
        <v>2112</v>
      </c>
      <c r="B391" s="551" t="s">
        <v>2092</v>
      </c>
      <c r="C391" s="1162">
        <v>2.3439999999999999</v>
      </c>
      <c r="D391" s="551">
        <f t="shared" si="34"/>
        <v>7.6902887139107605</v>
      </c>
      <c r="E391" s="1163">
        <v>8</v>
      </c>
      <c r="F391" s="1164">
        <f t="shared" si="35"/>
        <v>61.522309711286084</v>
      </c>
      <c r="H391" s="551" t="s">
        <v>2089</v>
      </c>
      <c r="I391" s="1165">
        <v>400000</v>
      </c>
    </row>
    <row r="392" spans="1:9" ht="15.6" x14ac:dyDescent="0.3">
      <c r="A392" s="929" t="s">
        <v>1934</v>
      </c>
      <c r="B392" s="551" t="s">
        <v>2096</v>
      </c>
      <c r="C392" s="1162">
        <v>2.5</v>
      </c>
      <c r="D392" s="551">
        <f t="shared" si="34"/>
        <v>8.2020997375328086</v>
      </c>
      <c r="E392" s="1163">
        <v>5</v>
      </c>
      <c r="F392" s="1164">
        <f t="shared" si="35"/>
        <v>41.01049868766404</v>
      </c>
    </row>
    <row r="393" spans="1:9" ht="15.6" x14ac:dyDescent="0.3">
      <c r="A393" s="929" t="s">
        <v>2113</v>
      </c>
      <c r="B393" s="551" t="s">
        <v>2092</v>
      </c>
      <c r="C393" s="1162">
        <v>1.1539999999999999</v>
      </c>
      <c r="D393" s="551">
        <f t="shared" si="34"/>
        <v>3.7860892388451437</v>
      </c>
      <c r="E393" s="1163">
        <v>6</v>
      </c>
      <c r="F393" s="1164">
        <f t="shared" si="35"/>
        <v>22.716535433070863</v>
      </c>
      <c r="H393" s="551" t="s">
        <v>2084</v>
      </c>
      <c r="I393" s="1165">
        <v>400000</v>
      </c>
    </row>
    <row r="394" spans="1:9" ht="15.6" x14ac:dyDescent="0.3">
      <c r="A394" s="929" t="s">
        <v>1934</v>
      </c>
      <c r="B394" s="551" t="s">
        <v>2096</v>
      </c>
      <c r="C394" s="1162">
        <v>2.5</v>
      </c>
      <c r="D394" s="551">
        <f t="shared" si="34"/>
        <v>8.2020997375328086</v>
      </c>
      <c r="E394" s="1163">
        <v>5</v>
      </c>
      <c r="F394" s="1164">
        <f t="shared" si="35"/>
        <v>41.01049868766404</v>
      </c>
    </row>
    <row r="395" spans="1:9" ht="15.6" x14ac:dyDescent="0.3">
      <c r="A395" s="929" t="s">
        <v>2114</v>
      </c>
      <c r="B395" s="551" t="s">
        <v>2092</v>
      </c>
      <c r="C395" s="1162">
        <v>1.5049999999999999</v>
      </c>
      <c r="D395" s="551">
        <f t="shared" si="34"/>
        <v>4.9376640419947497</v>
      </c>
      <c r="E395" s="1163">
        <v>8</v>
      </c>
      <c r="F395" s="1164">
        <f t="shared" si="35"/>
        <v>39.501312335957998</v>
      </c>
      <c r="H395" s="551" t="s">
        <v>2089</v>
      </c>
      <c r="I395" s="1165">
        <v>400000</v>
      </c>
    </row>
    <row r="396" spans="1:9" ht="15.6" x14ac:dyDescent="0.3">
      <c r="A396" s="929" t="s">
        <v>1934</v>
      </c>
      <c r="B396" s="551" t="s">
        <v>2096</v>
      </c>
      <c r="C396" s="1162">
        <v>2.5099999999999998</v>
      </c>
      <c r="D396" s="551">
        <f t="shared" si="34"/>
        <v>8.2349081364829377</v>
      </c>
      <c r="E396" s="1163">
        <v>5</v>
      </c>
      <c r="F396" s="1164">
        <f t="shared" si="35"/>
        <v>41.174540682414687</v>
      </c>
    </row>
    <row r="397" spans="1:9" ht="15.6" x14ac:dyDescent="0.3">
      <c r="A397" s="929" t="s">
        <v>2115</v>
      </c>
      <c r="B397" s="551" t="s">
        <v>2092</v>
      </c>
      <c r="C397" s="1162">
        <v>4.8</v>
      </c>
      <c r="D397" s="551">
        <f t="shared" si="34"/>
        <v>15.748031496062991</v>
      </c>
      <c r="E397" s="1163">
        <v>6</v>
      </c>
      <c r="F397" s="1164">
        <f t="shared" si="35"/>
        <v>94.488188976377941</v>
      </c>
      <c r="H397" s="551" t="s">
        <v>2082</v>
      </c>
      <c r="I397" s="1166">
        <v>600000</v>
      </c>
    </row>
    <row r="398" spans="1:9" ht="15.6" x14ac:dyDescent="0.3">
      <c r="A398" s="929" t="s">
        <v>2116</v>
      </c>
      <c r="B398" s="551" t="s">
        <v>2094</v>
      </c>
      <c r="C398" s="1162">
        <v>1.25</v>
      </c>
      <c r="D398" s="551">
        <f t="shared" si="34"/>
        <v>4.1010498687664043</v>
      </c>
      <c r="E398" s="1163">
        <v>4</v>
      </c>
      <c r="F398" s="1164">
        <f t="shared" si="35"/>
        <v>16.404199475065617</v>
      </c>
    </row>
    <row r="399" spans="1:9" ht="15.6" x14ac:dyDescent="0.3">
      <c r="A399" s="929" t="s">
        <v>1741</v>
      </c>
      <c r="B399" s="551" t="s">
        <v>2094</v>
      </c>
      <c r="C399" s="1162">
        <v>2.5</v>
      </c>
      <c r="D399" s="551">
        <f t="shared" si="34"/>
        <v>8.2020997375328086</v>
      </c>
      <c r="E399" s="1163">
        <v>4</v>
      </c>
      <c r="F399" s="1164">
        <f t="shared" si="35"/>
        <v>32.808398950131235</v>
      </c>
      <c r="H399" s="551" t="s">
        <v>2084</v>
      </c>
      <c r="I399" s="1165">
        <v>400000</v>
      </c>
    </row>
    <row r="400" spans="1:9" ht="15.6" x14ac:dyDescent="0.3">
      <c r="A400" s="929" t="s">
        <v>2117</v>
      </c>
      <c r="B400" s="551" t="s">
        <v>2092</v>
      </c>
      <c r="C400" s="1162">
        <v>1.25</v>
      </c>
      <c r="D400" s="551">
        <f t="shared" si="34"/>
        <v>4.1010498687664043</v>
      </c>
      <c r="E400" s="1163">
        <v>6</v>
      </c>
      <c r="F400" s="1164">
        <f t="shared" si="35"/>
        <v>24.606299212598426</v>
      </c>
    </row>
    <row r="401" spans="1:9" ht="15.6" x14ac:dyDescent="0.3">
      <c r="A401" s="929" t="s">
        <v>1738</v>
      </c>
      <c r="B401" s="551" t="s">
        <v>2094</v>
      </c>
      <c r="C401" s="1162">
        <v>2.5</v>
      </c>
      <c r="D401" s="551">
        <f t="shared" si="34"/>
        <v>8.2020997375328086</v>
      </c>
      <c r="E401" s="1163">
        <v>4</v>
      </c>
      <c r="F401" s="1164">
        <f t="shared" si="35"/>
        <v>32.808398950131235</v>
      </c>
      <c r="H401" s="551" t="s">
        <v>2089</v>
      </c>
      <c r="I401" s="1165">
        <v>400000</v>
      </c>
    </row>
    <row r="402" spans="1:9" ht="15.6" x14ac:dyDescent="0.3">
      <c r="A402" s="929" t="s">
        <v>1742</v>
      </c>
      <c r="B402" s="551" t="s">
        <v>2092</v>
      </c>
      <c r="C402" s="1162">
        <v>25</v>
      </c>
      <c r="D402" s="551">
        <f t="shared" si="34"/>
        <v>82.020997375328079</v>
      </c>
      <c r="E402" s="1163">
        <v>6</v>
      </c>
      <c r="F402" s="1164">
        <f t="shared" si="35"/>
        <v>492.12598425196848</v>
      </c>
    </row>
    <row r="403" spans="1:9" ht="15.6" x14ac:dyDescent="0.3">
      <c r="A403" s="929" t="s">
        <v>2118</v>
      </c>
      <c r="B403" s="551" t="s">
        <v>2092</v>
      </c>
      <c r="C403" s="1162">
        <v>3.87</v>
      </c>
      <c r="D403" s="551">
        <f t="shared" si="34"/>
        <v>12.696850393700787</v>
      </c>
      <c r="E403" s="1163">
        <v>6</v>
      </c>
      <c r="F403" s="1164">
        <f t="shared" si="35"/>
        <v>76.181102362204726</v>
      </c>
      <c r="H403" s="551" t="s">
        <v>2089</v>
      </c>
      <c r="I403" s="1165">
        <v>400000</v>
      </c>
    </row>
    <row r="404" spans="1:9" ht="15.6" x14ac:dyDescent="0.3">
      <c r="A404" s="929" t="s">
        <v>1740</v>
      </c>
      <c r="B404" s="551" t="s">
        <v>2096</v>
      </c>
      <c r="C404" s="1162">
        <v>2.5</v>
      </c>
      <c r="D404" s="551">
        <f t="shared" si="34"/>
        <v>8.2020997375328086</v>
      </c>
      <c r="E404" s="1163">
        <v>5</v>
      </c>
      <c r="F404" s="1164">
        <f t="shared" si="35"/>
        <v>41.01049868766404</v>
      </c>
    </row>
    <row r="405" spans="1:9" ht="15.6" x14ac:dyDescent="0.3">
      <c r="A405" s="929" t="s">
        <v>2119</v>
      </c>
      <c r="B405" s="551" t="s">
        <v>2094</v>
      </c>
      <c r="C405" s="1162">
        <v>0.7</v>
      </c>
      <c r="D405" s="551">
        <f t="shared" si="34"/>
        <v>2.296587926509186</v>
      </c>
      <c r="E405" s="1163">
        <v>4</v>
      </c>
      <c r="F405" s="1164">
        <f t="shared" si="35"/>
        <v>9.1863517060367439</v>
      </c>
      <c r="H405" s="551" t="s">
        <v>2084</v>
      </c>
      <c r="I405" s="1165">
        <v>400000</v>
      </c>
    </row>
    <row r="406" spans="1:9" ht="15.6" x14ac:dyDescent="0.3">
      <c r="A406" s="935" t="s">
        <v>2093</v>
      </c>
      <c r="B406" s="937" t="s">
        <v>2094</v>
      </c>
      <c r="C406" s="1167">
        <v>2.5</v>
      </c>
      <c r="D406" s="1168">
        <f t="shared" si="34"/>
        <v>8.2020997375328086</v>
      </c>
      <c r="E406" s="1169">
        <v>4</v>
      </c>
      <c r="F406" s="1170">
        <f t="shared" si="35"/>
        <v>32.808398950131235</v>
      </c>
    </row>
    <row r="407" spans="1:9" x14ac:dyDescent="0.3">
      <c r="E407" s="1171" t="s">
        <v>2120</v>
      </c>
      <c r="F407" s="1172">
        <f>SUM(F355:F406)</f>
        <v>2860.902230971129</v>
      </c>
      <c r="H407" s="551" t="s">
        <v>2082</v>
      </c>
      <c r="I407" s="1166">
        <v>600000</v>
      </c>
    </row>
    <row r="408" spans="1:9" x14ac:dyDescent="0.3">
      <c r="E408" s="1159" t="s">
        <v>2121</v>
      </c>
      <c r="F408" s="1173">
        <v>43184188</v>
      </c>
    </row>
    <row r="409" spans="1:9" x14ac:dyDescent="0.3">
      <c r="E409" s="1174" t="s">
        <v>2122</v>
      </c>
      <c r="F409" s="1175">
        <v>147106201</v>
      </c>
      <c r="H409" s="551" t="s">
        <v>2084</v>
      </c>
      <c r="I409" s="1165">
        <v>400000</v>
      </c>
    </row>
    <row r="410" spans="1:9" x14ac:dyDescent="0.3">
      <c r="E410" s="1174" t="s">
        <v>2123</v>
      </c>
      <c r="F410" s="1176">
        <f>I456</f>
        <v>22200000</v>
      </c>
    </row>
    <row r="411" spans="1:9" x14ac:dyDescent="0.3">
      <c r="E411" s="1174" t="s">
        <v>2124</v>
      </c>
      <c r="F411" s="1177">
        <f>400000*21</f>
        <v>8400000</v>
      </c>
      <c r="H411" s="551" t="s">
        <v>2089</v>
      </c>
      <c r="I411" s="1165">
        <v>400000</v>
      </c>
    </row>
    <row r="412" spans="1:9" x14ac:dyDescent="0.3">
      <c r="E412" s="1174" t="s">
        <v>2125</v>
      </c>
      <c r="F412" s="1177">
        <v>15000000</v>
      </c>
    </row>
    <row r="413" spans="1:9" x14ac:dyDescent="0.3">
      <c r="E413" s="1178" t="s">
        <v>2077</v>
      </c>
      <c r="F413" s="1179">
        <f>SUM(F408:F412)</f>
        <v>235890389</v>
      </c>
      <c r="H413" s="551" t="s">
        <v>2082</v>
      </c>
      <c r="I413" s="1166">
        <v>600000</v>
      </c>
    </row>
    <row r="415" spans="1:9" x14ac:dyDescent="0.3">
      <c r="H415" s="551" t="s">
        <v>2089</v>
      </c>
      <c r="I415" s="1165">
        <v>400000</v>
      </c>
    </row>
    <row r="417" spans="8:9" x14ac:dyDescent="0.3">
      <c r="H417" s="551" t="s">
        <v>2089</v>
      </c>
      <c r="I417" s="1165">
        <v>400000</v>
      </c>
    </row>
    <row r="419" spans="8:9" x14ac:dyDescent="0.3">
      <c r="H419" s="551" t="s">
        <v>2084</v>
      </c>
      <c r="I419" s="1165">
        <v>400000</v>
      </c>
    </row>
    <row r="421" spans="8:9" x14ac:dyDescent="0.3">
      <c r="H421" s="551" t="s">
        <v>2082</v>
      </c>
      <c r="I421" s="1166">
        <v>600000</v>
      </c>
    </row>
    <row r="423" spans="8:9" x14ac:dyDescent="0.3">
      <c r="H423" s="551" t="s">
        <v>2082</v>
      </c>
      <c r="I423" s="1166">
        <v>600000</v>
      </c>
    </row>
    <row r="425" spans="8:9" x14ac:dyDescent="0.3">
      <c r="H425" s="551" t="s">
        <v>2089</v>
      </c>
      <c r="I425" s="1165">
        <v>400000</v>
      </c>
    </row>
    <row r="427" spans="8:9" x14ac:dyDescent="0.3">
      <c r="H427" s="551" t="s">
        <v>2089</v>
      </c>
      <c r="I427" s="1165">
        <v>400000</v>
      </c>
    </row>
    <row r="429" spans="8:9" x14ac:dyDescent="0.3">
      <c r="H429" s="551" t="s">
        <v>2084</v>
      </c>
      <c r="I429" s="1165">
        <v>400000</v>
      </c>
    </row>
    <row r="431" spans="8:9" x14ac:dyDescent="0.3">
      <c r="H431" s="551" t="s">
        <v>2082</v>
      </c>
      <c r="I431" s="1166">
        <v>600000</v>
      </c>
    </row>
    <row r="433" spans="8:9" x14ac:dyDescent="0.3">
      <c r="H433" s="551" t="s">
        <v>2084</v>
      </c>
      <c r="I433" s="1165">
        <v>400000</v>
      </c>
    </row>
    <row r="435" spans="8:9" x14ac:dyDescent="0.3">
      <c r="H435" s="551" t="s">
        <v>2089</v>
      </c>
      <c r="I435" s="1165">
        <v>400000</v>
      </c>
    </row>
    <row r="437" spans="8:9" x14ac:dyDescent="0.3">
      <c r="H437" s="551" t="s">
        <v>2084</v>
      </c>
      <c r="I437" s="1165">
        <v>400000</v>
      </c>
    </row>
    <row r="439" spans="8:9" x14ac:dyDescent="0.3">
      <c r="H439" s="551" t="s">
        <v>2089</v>
      </c>
      <c r="I439" s="1165">
        <v>400000</v>
      </c>
    </row>
    <row r="441" spans="8:9" x14ac:dyDescent="0.3">
      <c r="H441" s="551" t="s">
        <v>2082</v>
      </c>
      <c r="I441" s="1166">
        <v>600000</v>
      </c>
    </row>
    <row r="443" spans="8:9" x14ac:dyDescent="0.3">
      <c r="H443" s="551" t="s">
        <v>2089</v>
      </c>
      <c r="I443" s="1165">
        <v>400000</v>
      </c>
    </row>
    <row r="445" spans="8:9" x14ac:dyDescent="0.3">
      <c r="H445" s="551" t="s">
        <v>2126</v>
      </c>
      <c r="I445" s="1166">
        <v>600000</v>
      </c>
    </row>
    <row r="447" spans="8:9" x14ac:dyDescent="0.3">
      <c r="H447" s="551" t="s">
        <v>2084</v>
      </c>
      <c r="I447" s="1165">
        <v>400000</v>
      </c>
    </row>
    <row r="449" spans="8:9" x14ac:dyDescent="0.3">
      <c r="H449" s="551" t="s">
        <v>2084</v>
      </c>
      <c r="I449" s="1165">
        <v>400000</v>
      </c>
    </row>
    <row r="451" spans="8:9" x14ac:dyDescent="0.3">
      <c r="H451" s="551" t="s">
        <v>2126</v>
      </c>
      <c r="I451" s="1166">
        <v>600000</v>
      </c>
    </row>
    <row r="453" spans="8:9" x14ac:dyDescent="0.3">
      <c r="H453" s="551" t="s">
        <v>2084</v>
      </c>
      <c r="I453" s="1165">
        <v>400000</v>
      </c>
    </row>
    <row r="455" spans="8:9" x14ac:dyDescent="0.3">
      <c r="H455" s="551" t="s">
        <v>2082</v>
      </c>
      <c r="I455" s="1166">
        <v>600000</v>
      </c>
    </row>
    <row r="456" spans="8:9" x14ac:dyDescent="0.3">
      <c r="I456" s="1165">
        <f>SUM(I357:I455)</f>
        <v>22200000</v>
      </c>
    </row>
  </sheetData>
  <mergeCells count="126">
    <mergeCell ref="B286:C286"/>
    <mergeCell ref="H286:I286"/>
    <mergeCell ref="B287:C287"/>
    <mergeCell ref="H287:I287"/>
    <mergeCell ref="A289:A290"/>
    <mergeCell ref="B289:B290"/>
    <mergeCell ref="C289:C290"/>
    <mergeCell ref="B281:C281"/>
    <mergeCell ref="H281:I281"/>
    <mergeCell ref="B282:C282"/>
    <mergeCell ref="H282:I282"/>
    <mergeCell ref="B283:C283"/>
    <mergeCell ref="H283:I283"/>
    <mergeCell ref="B284:C284"/>
    <mergeCell ref="H284:I284"/>
    <mergeCell ref="B285:C285"/>
    <mergeCell ref="H285:I285"/>
    <mergeCell ref="B276:C276"/>
    <mergeCell ref="H276:I276"/>
    <mergeCell ref="B277:C277"/>
    <mergeCell ref="H277:I277"/>
    <mergeCell ref="B278:C278"/>
    <mergeCell ref="H278:I278"/>
    <mergeCell ref="B279:C279"/>
    <mergeCell ref="H279:I279"/>
    <mergeCell ref="B280:C280"/>
    <mergeCell ref="H280:I280"/>
    <mergeCell ref="A247:B247"/>
    <mergeCell ref="A274:A275"/>
    <mergeCell ref="B274:D274"/>
    <mergeCell ref="E274:E275"/>
    <mergeCell ref="G274:G275"/>
    <mergeCell ref="H274:J274"/>
    <mergeCell ref="K274:K275"/>
    <mergeCell ref="B275:C275"/>
    <mergeCell ref="H275:I275"/>
    <mergeCell ref="A229:D229"/>
    <mergeCell ref="B230:D230"/>
    <mergeCell ref="B231:D231"/>
    <mergeCell ref="A232:D232"/>
    <mergeCell ref="A233:B233"/>
    <mergeCell ref="A234:B235"/>
    <mergeCell ref="C234:C235"/>
    <mergeCell ref="D234:D235"/>
    <mergeCell ref="A236:A237"/>
    <mergeCell ref="B236:B237"/>
    <mergeCell ref="C236:C237"/>
    <mergeCell ref="D236:D237"/>
    <mergeCell ref="A164:A165"/>
    <mergeCell ref="A187:B187"/>
    <mergeCell ref="A191:B191"/>
    <mergeCell ref="A199:D199"/>
    <mergeCell ref="A201:A202"/>
    <mergeCell ref="B201:B202"/>
    <mergeCell ref="C201:C202"/>
    <mergeCell ref="A215:B216"/>
    <mergeCell ref="A218:D218"/>
    <mergeCell ref="A127:F127"/>
    <mergeCell ref="A129:A130"/>
    <mergeCell ref="B129:C130"/>
    <mergeCell ref="D129:E129"/>
    <mergeCell ref="G129:H129"/>
    <mergeCell ref="B131:C142"/>
    <mergeCell ref="A143:F143"/>
    <mergeCell ref="A161:C161"/>
    <mergeCell ref="A163:B163"/>
    <mergeCell ref="A112:A114"/>
    <mergeCell ref="B112:F112"/>
    <mergeCell ref="G112:G113"/>
    <mergeCell ref="H112:H113"/>
    <mergeCell ref="I112:I113"/>
    <mergeCell ref="J112:J113"/>
    <mergeCell ref="K112:K113"/>
    <mergeCell ref="L112:L113"/>
    <mergeCell ref="M112:M113"/>
    <mergeCell ref="B86:C86"/>
    <mergeCell ref="B87:C87"/>
    <mergeCell ref="B88:C88"/>
    <mergeCell ref="B89:C89"/>
    <mergeCell ref="A91:A94"/>
    <mergeCell ref="B91:F91"/>
    <mergeCell ref="B92:F92"/>
    <mergeCell ref="B108:F108"/>
    <mergeCell ref="A110:B110"/>
    <mergeCell ref="B77:C77"/>
    <mergeCell ref="B78:C78"/>
    <mergeCell ref="B79:C79"/>
    <mergeCell ref="B80:C80"/>
    <mergeCell ref="B81:C81"/>
    <mergeCell ref="B82:C82"/>
    <mergeCell ref="B83:C83"/>
    <mergeCell ref="B84:C84"/>
    <mergeCell ref="B85:C85"/>
    <mergeCell ref="A54:G54"/>
    <mergeCell ref="A56:G56"/>
    <mergeCell ref="A57:A59"/>
    <mergeCell ref="B57:D57"/>
    <mergeCell ref="E57:E58"/>
    <mergeCell ref="G57:G58"/>
    <mergeCell ref="A72:F72"/>
    <mergeCell ref="A74:C74"/>
    <mergeCell ref="A75:A76"/>
    <mergeCell ref="B75:C75"/>
    <mergeCell ref="B76:C76"/>
    <mergeCell ref="A19:O19"/>
    <mergeCell ref="A21:F21"/>
    <mergeCell ref="A22:A23"/>
    <mergeCell ref="A36:E36"/>
    <mergeCell ref="A38:H38"/>
    <mergeCell ref="A39:A41"/>
    <mergeCell ref="B39:B40"/>
    <mergeCell ref="C39:C40"/>
    <mergeCell ref="D39:D40"/>
    <mergeCell ref="E39:E40"/>
    <mergeCell ref="F39:F40"/>
    <mergeCell ref="G39:G40"/>
    <mergeCell ref="H39:H40"/>
    <mergeCell ref="A3:P3"/>
    <mergeCell ref="A4:A6"/>
    <mergeCell ref="B4:D4"/>
    <mergeCell ref="E4:E6"/>
    <mergeCell ref="F4:G4"/>
    <mergeCell ref="H4:I4"/>
    <mergeCell ref="J4:J6"/>
    <mergeCell ref="K4:O4"/>
    <mergeCell ref="P4:P5"/>
  </mergeCells>
  <pageMargins left="0.7" right="0.7" top="0.75" bottom="0.75" header="0.511811023622047" footer="0.511811023622047"/>
  <pageSetup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68"/>
  <sheetViews>
    <sheetView topLeftCell="A58" zoomScale="123" zoomScaleNormal="123" workbookViewId="0">
      <selection activeCell="B47" sqref="B47"/>
    </sheetView>
  </sheetViews>
  <sheetFormatPr defaultColWidth="9" defaultRowHeight="14.4" x14ac:dyDescent="0.3"/>
  <cols>
    <col min="1" max="1" width="16.8984375" style="890" customWidth="1"/>
    <col min="2" max="2" width="11.09765625" style="890" customWidth="1"/>
    <col min="3" max="3" width="19.09765625" style="890" customWidth="1"/>
    <col min="4" max="4" width="9" style="890"/>
    <col min="5" max="5" width="8.5" style="890" customWidth="1"/>
    <col min="6" max="10" width="9" style="890"/>
    <col min="11" max="11" width="6.8984375" style="890" customWidth="1"/>
    <col min="12" max="12" width="6" style="890" customWidth="1"/>
    <col min="13" max="16384" width="9" style="890"/>
  </cols>
  <sheetData>
    <row r="1" spans="1:15" x14ac:dyDescent="0.3">
      <c r="A1" s="1180" t="s">
        <v>2127</v>
      </c>
    </row>
    <row r="2" spans="1:15" ht="15.75" customHeight="1" x14ac:dyDescent="0.3">
      <c r="A2" s="1180" t="s">
        <v>2128</v>
      </c>
    </row>
    <row r="3" spans="1:15" x14ac:dyDescent="0.3">
      <c r="J3" s="1411" t="s">
        <v>114</v>
      </c>
      <c r="K3" s="1411"/>
      <c r="L3" s="1411"/>
      <c r="M3" s="1411"/>
      <c r="N3" s="1411"/>
      <c r="O3" s="1411"/>
    </row>
    <row r="4" spans="1:15" x14ac:dyDescent="0.3">
      <c r="J4" s="1412" t="s">
        <v>116</v>
      </c>
      <c r="K4" s="1412"/>
      <c r="L4" s="1412"/>
      <c r="M4" s="1413" t="s">
        <v>330</v>
      </c>
      <c r="N4" s="1413"/>
      <c r="O4" s="1181"/>
    </row>
    <row r="5" spans="1:15" x14ac:dyDescent="0.3">
      <c r="J5" s="1412" t="s">
        <v>118</v>
      </c>
      <c r="K5" s="1412"/>
      <c r="L5" s="1412"/>
      <c r="M5" s="1413" t="e">
        <f>HARVARLD!F6</f>
        <v>#REF!</v>
      </c>
      <c r="N5" s="1413"/>
      <c r="O5" s="1181" t="s">
        <v>11</v>
      </c>
    </row>
    <row r="6" spans="1:15" x14ac:dyDescent="0.3">
      <c r="J6" s="1412" t="s">
        <v>121</v>
      </c>
      <c r="K6" s="1412"/>
      <c r="L6" s="1412"/>
      <c r="M6" s="1413" t="e">
        <f>HARVARLD!F8</f>
        <v>#REF!</v>
      </c>
      <c r="N6" s="1413"/>
      <c r="O6" s="1181" t="s">
        <v>11</v>
      </c>
    </row>
    <row r="7" spans="1:15" x14ac:dyDescent="0.3">
      <c r="J7" s="1412" t="s">
        <v>124</v>
      </c>
      <c r="K7" s="1412"/>
      <c r="L7" s="1412"/>
      <c r="M7" s="1414" t="e">
        <f>HARVARLD!F14</f>
        <v>#REF!</v>
      </c>
      <c r="N7" s="1414"/>
      <c r="O7" s="1181" t="s">
        <v>11</v>
      </c>
    </row>
    <row r="8" spans="1:15" x14ac:dyDescent="0.3">
      <c r="J8" s="1412" t="s">
        <v>12</v>
      </c>
      <c r="K8" s="1412"/>
      <c r="L8" s="1412"/>
      <c r="M8" s="1413">
        <f>HARVARLD!F16</f>
        <v>23.7</v>
      </c>
      <c r="N8" s="1413"/>
      <c r="O8" s="1181" t="s">
        <v>11</v>
      </c>
    </row>
    <row r="9" spans="1:15" x14ac:dyDescent="0.3">
      <c r="J9" s="1412" t="s">
        <v>14</v>
      </c>
      <c r="K9" s="1412"/>
      <c r="L9" s="1412"/>
      <c r="M9" s="1413">
        <f>HARVARLD!F23</f>
        <v>9.9469999999999992</v>
      </c>
      <c r="N9" s="1413"/>
      <c r="O9" s="1181" t="s">
        <v>11</v>
      </c>
    </row>
    <row r="10" spans="1:15" x14ac:dyDescent="0.3">
      <c r="J10" s="1412" t="s">
        <v>13</v>
      </c>
      <c r="K10" s="1412"/>
      <c r="L10" s="1412"/>
      <c r="M10" s="1413">
        <f>HARVARLD!F25</f>
        <v>13.34</v>
      </c>
      <c r="N10" s="1413"/>
      <c r="O10" s="1181" t="s">
        <v>11</v>
      </c>
    </row>
    <row r="11" spans="1:15" x14ac:dyDescent="0.3">
      <c r="J11" s="1412" t="s">
        <v>130</v>
      </c>
      <c r="K11" s="1412"/>
      <c r="L11" s="1412"/>
      <c r="M11" s="1413">
        <f>HARVARLD!F27</f>
        <v>16</v>
      </c>
      <c r="N11" s="1413"/>
      <c r="O11" s="1181" t="s">
        <v>16</v>
      </c>
    </row>
    <row r="12" spans="1:15" x14ac:dyDescent="0.3">
      <c r="J12" s="1415" t="s">
        <v>2129</v>
      </c>
      <c r="K12" s="1415"/>
      <c r="L12" s="1415"/>
      <c r="M12" s="1416">
        <f>ABK!F41</f>
        <v>20</v>
      </c>
      <c r="N12" s="1416"/>
      <c r="O12" s="1182" t="s">
        <v>2130</v>
      </c>
    </row>
    <row r="13" spans="1:15" x14ac:dyDescent="0.3">
      <c r="J13" s="1416" t="s">
        <v>1436</v>
      </c>
      <c r="K13" s="1416"/>
      <c r="L13" s="1416"/>
      <c r="M13" s="1416">
        <v>9.5</v>
      </c>
      <c r="N13" s="1416"/>
      <c r="O13" s="1182" t="s">
        <v>2131</v>
      </c>
    </row>
    <row r="14" spans="1:15" x14ac:dyDescent="0.3">
      <c r="J14" s="1416" t="s">
        <v>1465</v>
      </c>
      <c r="K14" s="1416"/>
      <c r="L14" s="1416"/>
      <c r="M14" s="1416">
        <v>4.5</v>
      </c>
      <c r="N14" s="1416"/>
      <c r="O14" s="1182" t="s">
        <v>2132</v>
      </c>
    </row>
    <row r="15" spans="1:15" x14ac:dyDescent="0.3">
      <c r="J15" s="1416" t="s">
        <v>2133</v>
      </c>
      <c r="K15" s="1416"/>
      <c r="L15" s="1416"/>
      <c r="M15" s="1416">
        <v>2.8</v>
      </c>
      <c r="N15" s="1416"/>
      <c r="O15" s="1181" t="s">
        <v>20</v>
      </c>
    </row>
    <row r="16" spans="1:15" x14ac:dyDescent="0.3">
      <c r="J16" s="1417"/>
      <c r="K16" s="1417"/>
      <c r="L16" s="1417"/>
      <c r="M16" s="1417"/>
      <c r="N16" s="1417"/>
      <c r="O16" s="1184"/>
    </row>
    <row r="17" spans="1:14" x14ac:dyDescent="0.3">
      <c r="A17" s="1183" t="s">
        <v>249</v>
      </c>
      <c r="B17" s="1183">
        <f>ABK!F41</f>
        <v>20</v>
      </c>
      <c r="C17" s="890" t="s">
        <v>2130</v>
      </c>
    </row>
    <row r="18" spans="1:14" x14ac:dyDescent="0.3">
      <c r="A18" s="1183" t="s">
        <v>1436</v>
      </c>
      <c r="B18" s="1183">
        <v>9.5</v>
      </c>
      <c r="C18" s="890" t="s">
        <v>2131</v>
      </c>
    </row>
    <row r="19" spans="1:14" x14ac:dyDescent="0.3">
      <c r="A19" s="1183" t="s">
        <v>1465</v>
      </c>
      <c r="B19" s="1183">
        <v>4.5</v>
      </c>
      <c r="C19" s="890" t="s">
        <v>2134</v>
      </c>
    </row>
    <row r="20" spans="1:14" x14ac:dyDescent="0.3">
      <c r="A20" s="1183" t="s">
        <v>2133</v>
      </c>
      <c r="B20" s="1183">
        <v>2.8</v>
      </c>
    </row>
    <row r="21" spans="1:14" x14ac:dyDescent="0.3">
      <c r="A21" s="1183" t="s">
        <v>1573</v>
      </c>
      <c r="B21" s="1183">
        <f>(B17*B19*B18*B20)/1000</f>
        <v>2.3940000000000001</v>
      </c>
    </row>
    <row r="22" spans="1:14" x14ac:dyDescent="0.3">
      <c r="E22" s="1185" t="s">
        <v>2135</v>
      </c>
      <c r="F22" s="1186">
        <v>35.314700000000002</v>
      </c>
      <c r="G22" s="1186" t="s">
        <v>2136</v>
      </c>
    </row>
    <row r="23" spans="1:14" x14ac:dyDescent="0.3">
      <c r="A23" s="1418" t="s">
        <v>2137</v>
      </c>
      <c r="B23" s="1418"/>
      <c r="C23" s="1418"/>
      <c r="N23" s="1183"/>
    </row>
    <row r="24" spans="1:14" x14ac:dyDescent="0.3">
      <c r="A24" s="890" t="s">
        <v>1465</v>
      </c>
      <c r="B24" s="1187">
        <f>1.5</f>
        <v>1.5</v>
      </c>
      <c r="C24" s="890" t="s">
        <v>11</v>
      </c>
      <c r="I24" s="890">
        <f>B24*$F$22</f>
        <v>52.972050000000003</v>
      </c>
      <c r="J24" s="890" t="s">
        <v>120</v>
      </c>
      <c r="N24" s="1183"/>
    </row>
    <row r="25" spans="1:14" x14ac:dyDescent="0.3">
      <c r="A25" s="890" t="s">
        <v>2138</v>
      </c>
      <c r="B25" s="1188">
        <v>2.5</v>
      </c>
      <c r="C25" s="890" t="s">
        <v>11</v>
      </c>
      <c r="I25" s="890">
        <f>B25*$F$22</f>
        <v>88.286750000000012</v>
      </c>
      <c r="J25" s="890" t="s">
        <v>120</v>
      </c>
      <c r="N25" s="1183"/>
    </row>
    <row r="26" spans="1:14" x14ac:dyDescent="0.3">
      <c r="A26" s="896" t="s">
        <v>2139</v>
      </c>
      <c r="B26" s="1188">
        <v>2.5</v>
      </c>
      <c r="C26" s="890" t="s">
        <v>11</v>
      </c>
      <c r="I26" s="890">
        <f>B27*$F$22</f>
        <v>132.430125</v>
      </c>
      <c r="J26" s="890" t="s">
        <v>120</v>
      </c>
      <c r="N26" s="1183"/>
    </row>
    <row r="27" spans="1:14" x14ac:dyDescent="0.3">
      <c r="A27" s="890" t="s">
        <v>2140</v>
      </c>
      <c r="B27" s="1188">
        <f>B24*B25</f>
        <v>3.75</v>
      </c>
      <c r="I27" s="890">
        <f>B26*$F$22</f>
        <v>88.286750000000012</v>
      </c>
      <c r="J27" s="890" t="s">
        <v>120</v>
      </c>
    </row>
    <row r="28" spans="1:14" x14ac:dyDescent="0.3">
      <c r="A28" s="890" t="s">
        <v>2141</v>
      </c>
      <c r="B28" s="1188">
        <f>B27*B26</f>
        <v>9.375</v>
      </c>
      <c r="I28" s="890">
        <f>B28*$F$22</f>
        <v>331.0753125</v>
      </c>
      <c r="J28" s="890" t="s">
        <v>120</v>
      </c>
      <c r="N28" s="1183"/>
    </row>
    <row r="29" spans="1:14" x14ac:dyDescent="0.3">
      <c r="B29" s="1183">
        <f>B28*F22</f>
        <v>331.0753125</v>
      </c>
    </row>
    <row r="32" spans="1:14" x14ac:dyDescent="0.3">
      <c r="A32" s="1418"/>
      <c r="B32" s="1418"/>
      <c r="C32" s="1418"/>
    </row>
    <row r="33" spans="1:12" x14ac:dyDescent="0.3">
      <c r="B33" s="1188"/>
      <c r="L33" s="890">
        <f>B37*3</f>
        <v>0</v>
      </c>
    </row>
    <row r="34" spans="1:12" x14ac:dyDescent="0.3">
      <c r="B34" s="1188"/>
    </row>
    <row r="35" spans="1:12" x14ac:dyDescent="0.3">
      <c r="B35" s="1188"/>
    </row>
    <row r="36" spans="1:12" x14ac:dyDescent="0.3">
      <c r="B36" s="1188"/>
    </row>
    <row r="37" spans="1:12" x14ac:dyDescent="0.3">
      <c r="B37" s="1188"/>
    </row>
    <row r="40" spans="1:12" ht="16.5" customHeight="1" x14ac:dyDescent="0.3">
      <c r="A40" s="1182"/>
      <c r="B40" s="1189" t="s">
        <v>2142</v>
      </c>
      <c r="C40" s="51" t="s">
        <v>2143</v>
      </c>
    </row>
    <row r="41" spans="1:12" x14ac:dyDescent="0.3">
      <c r="A41" s="917" t="s">
        <v>2144</v>
      </c>
      <c r="B41" s="917">
        <v>35</v>
      </c>
      <c r="C41" s="917">
        <f>B41*B29</f>
        <v>11587.635937499999</v>
      </c>
    </row>
    <row r="42" spans="1:12" x14ac:dyDescent="0.3">
      <c r="A42" s="917" t="s">
        <v>2145</v>
      </c>
      <c r="B42" s="917">
        <v>30</v>
      </c>
      <c r="C42" s="917">
        <f>B29*B42</f>
        <v>9932.2593749999996</v>
      </c>
    </row>
    <row r="43" spans="1:12" x14ac:dyDescent="0.3">
      <c r="A43" s="917" t="s">
        <v>2146</v>
      </c>
      <c r="B43" s="917">
        <v>35</v>
      </c>
      <c r="C43" s="917">
        <f>B29*B43</f>
        <v>11587.635937499999</v>
      </c>
    </row>
    <row r="44" spans="1:12" x14ac:dyDescent="0.3">
      <c r="A44" s="1190" t="s">
        <v>1743</v>
      </c>
      <c r="B44" s="1182"/>
      <c r="C44" s="1191">
        <f>SUM(C41:C43)</f>
        <v>33107.53125</v>
      </c>
    </row>
    <row r="46" spans="1:12" x14ac:dyDescent="0.3">
      <c r="A46" s="890" t="s">
        <v>2147</v>
      </c>
      <c r="B46" s="890" t="s">
        <v>2148</v>
      </c>
      <c r="C46" s="890" t="s">
        <v>2149</v>
      </c>
      <c r="D46" s="890" t="s">
        <v>2150</v>
      </c>
    </row>
    <row r="47" spans="1:12" x14ac:dyDescent="0.3">
      <c r="A47" s="890" t="s">
        <v>2151</v>
      </c>
      <c r="B47" s="890">
        <v>0.45</v>
      </c>
      <c r="C47" s="890">
        <v>0.9</v>
      </c>
      <c r="D47" s="890">
        <v>0.7</v>
      </c>
    </row>
    <row r="48" spans="1:12" x14ac:dyDescent="0.3">
      <c r="B48" s="890">
        <v>35</v>
      </c>
      <c r="C48" s="890">
        <v>30</v>
      </c>
      <c r="D48" s="890">
        <v>22</v>
      </c>
    </row>
    <row r="49" spans="1:4" x14ac:dyDescent="0.3">
      <c r="B49" s="890">
        <v>15</v>
      </c>
      <c r="C49" s="890">
        <v>30</v>
      </c>
      <c r="D49" s="890">
        <v>25</v>
      </c>
    </row>
    <row r="50" spans="1:4" x14ac:dyDescent="0.3">
      <c r="B50" s="890">
        <v>48</v>
      </c>
      <c r="C50" s="890">
        <v>48</v>
      </c>
      <c r="D50" s="890">
        <v>48</v>
      </c>
    </row>
    <row r="59" spans="1:4" x14ac:dyDescent="0.3">
      <c r="A59" s="1417"/>
      <c r="B59" s="1417"/>
      <c r="C59" s="1417"/>
    </row>
    <row r="61" spans="1:4" x14ac:dyDescent="0.3">
      <c r="A61" s="1192"/>
      <c r="B61" s="1193"/>
      <c r="C61" s="1193"/>
      <c r="D61" s="1193"/>
    </row>
    <row r="62" spans="1:4" x14ac:dyDescent="0.3">
      <c r="D62" s="1193"/>
    </row>
    <row r="63" spans="1:4" x14ac:dyDescent="0.3">
      <c r="A63" s="1193"/>
      <c r="B63" s="1193"/>
      <c r="C63" s="1193"/>
      <c r="D63" s="1193"/>
    </row>
    <row r="64" spans="1:4" x14ac:dyDescent="0.3">
      <c r="A64" s="1192"/>
      <c r="B64" s="1194"/>
      <c r="C64" s="1193"/>
      <c r="D64" s="1193"/>
    </row>
    <row r="65" spans="1:4" x14ac:dyDescent="0.3">
      <c r="A65" s="1193"/>
      <c r="B65" s="1195"/>
      <c r="C65" s="1193"/>
      <c r="D65" s="1193"/>
    </row>
    <row r="66" spans="1:4" x14ac:dyDescent="0.3">
      <c r="A66" s="1192"/>
      <c r="B66" s="1193"/>
      <c r="C66" s="1193"/>
      <c r="D66" s="1193"/>
    </row>
    <row r="67" spans="1:4" x14ac:dyDescent="0.3">
      <c r="A67" s="1192"/>
      <c r="B67" s="1193"/>
      <c r="C67" s="1193"/>
      <c r="D67" s="1193"/>
    </row>
    <row r="68" spans="1:4" x14ac:dyDescent="0.3">
      <c r="A68" s="1192"/>
      <c r="B68" s="1196"/>
      <c r="C68" s="1193"/>
    </row>
  </sheetData>
  <mergeCells count="30">
    <mergeCell ref="A32:C32"/>
    <mergeCell ref="A59:C59"/>
    <mergeCell ref="J15:L15"/>
    <mergeCell ref="M15:N15"/>
    <mergeCell ref="J16:L16"/>
    <mergeCell ref="M16:N16"/>
    <mergeCell ref="A23:C23"/>
    <mergeCell ref="J12:L12"/>
    <mergeCell ref="M12:N12"/>
    <mergeCell ref="J13:L13"/>
    <mergeCell ref="M13:N13"/>
    <mergeCell ref="J14:L14"/>
    <mergeCell ref="M14:N14"/>
    <mergeCell ref="J9:L9"/>
    <mergeCell ref="M9:N9"/>
    <mergeCell ref="J10:L10"/>
    <mergeCell ref="M10:N10"/>
    <mergeCell ref="J11:L11"/>
    <mergeCell ref="M11:N11"/>
    <mergeCell ref="J6:L6"/>
    <mergeCell ref="M6:N6"/>
    <mergeCell ref="J7:L7"/>
    <mergeCell ref="M7:N7"/>
    <mergeCell ref="J8:L8"/>
    <mergeCell ref="M8:N8"/>
    <mergeCell ref="J3:O3"/>
    <mergeCell ref="J4:L4"/>
    <mergeCell ref="M4:N4"/>
    <mergeCell ref="J5:L5"/>
    <mergeCell ref="M5:N5"/>
  </mergeCells>
  <pageMargins left="0.7" right="0.7" top="0.75" bottom="0.75" header="0.511811023622047" footer="0.511811023622047"/>
  <pageSetup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162"/>
  <sheetViews>
    <sheetView topLeftCell="A156" zoomScaleNormal="100" workbookViewId="0">
      <selection activeCell="R44" sqref="R44"/>
    </sheetView>
  </sheetViews>
  <sheetFormatPr defaultColWidth="8.5" defaultRowHeight="15.6" x14ac:dyDescent="0.3"/>
  <sheetData>
    <row r="1" spans="1:22" x14ac:dyDescent="0.3">
      <c r="A1" s="1197"/>
      <c r="B1" s="1197"/>
      <c r="C1" s="1197"/>
      <c r="D1" s="1197"/>
      <c r="E1" s="1197"/>
      <c r="F1" s="1197"/>
      <c r="G1" s="1197"/>
      <c r="H1" s="1197"/>
      <c r="I1" s="1197"/>
      <c r="J1" s="1197"/>
      <c r="K1" s="1197"/>
      <c r="L1" s="1197"/>
      <c r="M1" s="1197"/>
      <c r="N1" s="1197"/>
      <c r="O1" s="1197"/>
      <c r="P1" s="1197"/>
      <c r="Q1" s="1197"/>
      <c r="R1" s="1197"/>
      <c r="S1" s="1197"/>
      <c r="T1" s="1197"/>
      <c r="U1" s="1197"/>
      <c r="V1" s="1197"/>
    </row>
    <row r="2" spans="1:22" x14ac:dyDescent="0.3">
      <c r="A2" s="1419" t="s">
        <v>1910</v>
      </c>
      <c r="B2" s="1419"/>
      <c r="C2" s="1197"/>
      <c r="D2" s="1197"/>
      <c r="E2" s="1197"/>
      <c r="F2" s="1197"/>
      <c r="G2" s="1197"/>
      <c r="H2" s="1197"/>
      <c r="I2" s="1197"/>
      <c r="J2" s="1197"/>
      <c r="K2" s="1197"/>
      <c r="L2" s="1197"/>
      <c r="M2" s="1197"/>
      <c r="N2" s="1197"/>
      <c r="O2" s="1197"/>
      <c r="P2" s="1197"/>
      <c r="Q2" s="1197"/>
      <c r="R2" s="1197"/>
      <c r="S2" s="1197"/>
      <c r="T2" s="1197"/>
      <c r="U2" s="1197"/>
      <c r="V2" s="1197"/>
    </row>
    <row r="3" spans="1:22" x14ac:dyDescent="0.3">
      <c r="A3" s="1420" t="s">
        <v>1911</v>
      </c>
      <c r="B3" s="1420"/>
      <c r="C3" s="1420"/>
      <c r="D3" s="1420"/>
      <c r="E3" s="1420"/>
      <c r="F3" s="1420"/>
      <c r="G3" s="1420"/>
      <c r="H3" s="1420"/>
      <c r="I3" s="1420"/>
      <c r="J3" s="1420"/>
      <c r="K3" s="1420"/>
      <c r="L3" s="1420"/>
      <c r="M3" s="1420"/>
      <c r="N3" s="1420"/>
      <c r="O3" s="1420"/>
      <c r="P3" s="1420"/>
      <c r="Q3" s="1197"/>
      <c r="R3" s="1197"/>
      <c r="S3" s="1197"/>
      <c r="T3" s="1197"/>
      <c r="U3" s="1197"/>
      <c r="V3" s="1197"/>
    </row>
    <row r="4" spans="1:22" x14ac:dyDescent="0.3">
      <c r="A4" s="1421" t="s">
        <v>1912</v>
      </c>
      <c r="B4" s="1422" t="s">
        <v>660</v>
      </c>
      <c r="C4" s="1422"/>
      <c r="D4" s="1422"/>
      <c r="E4" s="1422" t="s">
        <v>1913</v>
      </c>
      <c r="F4" s="1422" t="s">
        <v>1914</v>
      </c>
      <c r="G4" s="1422"/>
      <c r="H4" s="1422" t="s">
        <v>1915</v>
      </c>
      <c r="I4" s="1422"/>
      <c r="J4" s="1422" t="s">
        <v>1916</v>
      </c>
      <c r="K4" s="1422" t="s">
        <v>1917</v>
      </c>
      <c r="L4" s="1422"/>
      <c r="M4" s="1422"/>
      <c r="N4" s="1422"/>
      <c r="O4" s="1422"/>
      <c r="P4" s="1422" t="s">
        <v>1918</v>
      </c>
      <c r="Q4" s="1197"/>
      <c r="R4" s="1197"/>
      <c r="S4" s="1197"/>
      <c r="T4" s="1197"/>
      <c r="U4" s="1197"/>
      <c r="V4" s="1197"/>
    </row>
    <row r="5" spans="1:22" ht="28.8" x14ac:dyDescent="0.3">
      <c r="A5" s="1421"/>
      <c r="B5" s="1199" t="s">
        <v>1919</v>
      </c>
      <c r="C5" s="1199" t="s">
        <v>1622</v>
      </c>
      <c r="D5" s="1199" t="s">
        <v>1920</v>
      </c>
      <c r="E5" s="1422"/>
      <c r="F5" s="1199" t="s">
        <v>1921</v>
      </c>
      <c r="G5" s="1199" t="s">
        <v>1922</v>
      </c>
      <c r="H5" s="1199" t="s">
        <v>1921</v>
      </c>
      <c r="I5" s="1199" t="s">
        <v>1922</v>
      </c>
      <c r="J5" s="1422"/>
      <c r="K5" s="1200" t="s">
        <v>1923</v>
      </c>
      <c r="L5" s="1199" t="s">
        <v>1924</v>
      </c>
      <c r="M5" s="1199" t="s">
        <v>1925</v>
      </c>
      <c r="N5" s="1199" t="s">
        <v>1926</v>
      </c>
      <c r="O5" s="1199" t="s">
        <v>1927</v>
      </c>
      <c r="P5" s="1422"/>
      <c r="Q5" s="1197"/>
      <c r="R5" s="1197"/>
      <c r="S5" s="1197"/>
      <c r="T5" s="1197"/>
      <c r="U5" s="1197"/>
      <c r="V5" s="1197"/>
    </row>
    <row r="6" spans="1:22" x14ac:dyDescent="0.3">
      <c r="A6" s="1421"/>
      <c r="B6" s="1199" t="s">
        <v>11</v>
      </c>
      <c r="C6" s="1199" t="s">
        <v>11</v>
      </c>
      <c r="D6" s="1199" t="s">
        <v>11</v>
      </c>
      <c r="E6" s="1422"/>
      <c r="F6" s="1199" t="s">
        <v>1928</v>
      </c>
      <c r="G6" s="1199" t="s">
        <v>941</v>
      </c>
      <c r="H6" s="1199" t="s">
        <v>1928</v>
      </c>
      <c r="I6" s="1199" t="s">
        <v>941</v>
      </c>
      <c r="J6" s="1422"/>
      <c r="K6" s="1199" t="s">
        <v>1929</v>
      </c>
      <c r="L6" s="1199" t="s">
        <v>1930</v>
      </c>
      <c r="M6" s="1199" t="s">
        <v>1930</v>
      </c>
      <c r="N6" s="1199" t="s">
        <v>1930</v>
      </c>
      <c r="O6" s="1199" t="s">
        <v>1930</v>
      </c>
      <c r="P6" s="1199" t="s">
        <v>1931</v>
      </c>
      <c r="Q6" s="1197"/>
      <c r="R6" s="1197"/>
      <c r="S6" s="1197"/>
      <c r="T6" s="1197"/>
      <c r="U6" s="1197"/>
      <c r="V6" s="1197"/>
    </row>
    <row r="7" spans="1:22" x14ac:dyDescent="0.3">
      <c r="A7" s="1201" t="s">
        <v>2152</v>
      </c>
      <c r="B7" s="1202">
        <v>4.0389999999999997</v>
      </c>
      <c r="C7" s="1202">
        <v>2.95</v>
      </c>
      <c r="D7" s="1202">
        <v>2.4</v>
      </c>
      <c r="E7" s="1202">
        <f t="shared" ref="E7:E12" si="0">B7*C7*D7</f>
        <v>28.596119999999996</v>
      </c>
      <c r="F7" s="1202">
        <v>35</v>
      </c>
      <c r="G7" s="1202">
        <v>70</v>
      </c>
      <c r="H7" s="1202">
        <v>27</v>
      </c>
      <c r="I7" s="1202">
        <v>50</v>
      </c>
      <c r="J7" s="1202">
        <f t="shared" ref="J7:J12" si="1">F7-H7</f>
        <v>8</v>
      </c>
      <c r="K7" s="1202">
        <v>0.92</v>
      </c>
      <c r="L7" s="1202">
        <f t="shared" ref="L7:L12" si="2">2*(C7*D7)</f>
        <v>14.16</v>
      </c>
      <c r="M7" s="1202">
        <f t="shared" ref="M7:M12" si="3">2*(B7*D7)</f>
        <v>19.387199999999996</v>
      </c>
      <c r="N7" s="1202">
        <f t="shared" ref="N7:N12" si="4">B7*C7</f>
        <v>11.915049999999999</v>
      </c>
      <c r="O7" s="1202">
        <f t="shared" ref="O7:O12" si="5">L7+M7+N7</f>
        <v>45.462249999999997</v>
      </c>
      <c r="P7" s="1202">
        <f t="shared" ref="P7:P12" si="6">K7*O7</f>
        <v>41.825269999999996</v>
      </c>
      <c r="Q7" s="1197"/>
      <c r="R7" s="1197"/>
      <c r="S7" s="1197"/>
      <c r="T7" s="1197"/>
      <c r="U7" s="1197"/>
      <c r="V7" s="1197"/>
    </row>
    <row r="8" spans="1:22" x14ac:dyDescent="0.3">
      <c r="A8" s="1201" t="s">
        <v>2153</v>
      </c>
      <c r="B8" s="1203">
        <v>4.5999999999999996</v>
      </c>
      <c r="C8" s="1202">
        <v>3.8359999999999999</v>
      </c>
      <c r="D8" s="1202">
        <v>2.4</v>
      </c>
      <c r="E8" s="1202">
        <f t="shared" si="0"/>
        <v>42.349439999999994</v>
      </c>
      <c r="F8" s="1202">
        <v>35</v>
      </c>
      <c r="G8" s="1202">
        <v>70</v>
      </c>
      <c r="H8" s="1202">
        <v>27</v>
      </c>
      <c r="I8" s="1202">
        <v>50</v>
      </c>
      <c r="J8" s="1202">
        <f t="shared" si="1"/>
        <v>8</v>
      </c>
      <c r="K8" s="1202">
        <v>0.92</v>
      </c>
      <c r="L8" s="1202">
        <f t="shared" si="2"/>
        <v>18.412799999999997</v>
      </c>
      <c r="M8" s="1202">
        <f t="shared" si="3"/>
        <v>22.08</v>
      </c>
      <c r="N8" s="1202">
        <f t="shared" si="4"/>
        <v>17.645599999999998</v>
      </c>
      <c r="O8" s="1202">
        <f t="shared" si="5"/>
        <v>58.13839999999999</v>
      </c>
      <c r="P8" s="1202">
        <f t="shared" si="6"/>
        <v>53.487327999999991</v>
      </c>
      <c r="Q8" s="1197"/>
      <c r="R8" s="1197"/>
      <c r="S8" s="1197"/>
      <c r="T8" s="1197"/>
      <c r="U8" s="1197"/>
      <c r="V8" s="1197"/>
    </row>
    <row r="9" spans="1:22" x14ac:dyDescent="0.3">
      <c r="A9" s="1204" t="s">
        <v>2154</v>
      </c>
      <c r="B9" s="1203">
        <v>2.9990000000000001</v>
      </c>
      <c r="C9" s="1202">
        <v>2.702</v>
      </c>
      <c r="D9" s="1202">
        <v>2.4</v>
      </c>
      <c r="E9" s="1202">
        <f t="shared" si="0"/>
        <v>19.447915200000001</v>
      </c>
      <c r="F9" s="1202">
        <v>35</v>
      </c>
      <c r="G9" s="1202">
        <v>70</v>
      </c>
      <c r="H9" s="1202">
        <v>27</v>
      </c>
      <c r="I9" s="1202">
        <v>50</v>
      </c>
      <c r="J9" s="1202">
        <f t="shared" si="1"/>
        <v>8</v>
      </c>
      <c r="K9" s="1202">
        <v>0.92</v>
      </c>
      <c r="L9" s="1202">
        <f t="shared" si="2"/>
        <v>12.9696</v>
      </c>
      <c r="M9" s="1202">
        <f t="shared" si="3"/>
        <v>14.395199999999999</v>
      </c>
      <c r="N9" s="1202">
        <f t="shared" si="4"/>
        <v>8.1032980000000006</v>
      </c>
      <c r="O9" s="1202">
        <f t="shared" si="5"/>
        <v>35.468097999999998</v>
      </c>
      <c r="P9" s="1202">
        <f t="shared" si="6"/>
        <v>32.630650160000002</v>
      </c>
      <c r="Q9" s="1197"/>
      <c r="R9" s="1197"/>
      <c r="S9" s="1197"/>
      <c r="T9" s="1197"/>
      <c r="U9" s="1197"/>
      <c r="V9" s="1197"/>
    </row>
    <row r="10" spans="1:22" x14ac:dyDescent="0.3">
      <c r="A10" s="1204" t="s">
        <v>2155</v>
      </c>
      <c r="B10" s="1202">
        <v>3.5960000000000001</v>
      </c>
      <c r="C10" s="1202">
        <v>3.6</v>
      </c>
      <c r="D10" s="1202">
        <v>2.4</v>
      </c>
      <c r="E10" s="1202">
        <f t="shared" si="0"/>
        <v>31.06944</v>
      </c>
      <c r="F10" s="1202">
        <v>35</v>
      </c>
      <c r="G10" s="1202">
        <v>70</v>
      </c>
      <c r="H10" s="1202">
        <v>27</v>
      </c>
      <c r="I10" s="1202">
        <v>50</v>
      </c>
      <c r="J10" s="1202">
        <f t="shared" si="1"/>
        <v>8</v>
      </c>
      <c r="K10" s="1202">
        <v>0.92</v>
      </c>
      <c r="L10" s="1202">
        <f t="shared" si="2"/>
        <v>17.28</v>
      </c>
      <c r="M10" s="1202">
        <f t="shared" si="3"/>
        <v>17.2608</v>
      </c>
      <c r="N10" s="1202">
        <f t="shared" si="4"/>
        <v>12.945600000000001</v>
      </c>
      <c r="O10" s="1202">
        <f t="shared" si="5"/>
        <v>47.486400000000003</v>
      </c>
      <c r="P10" s="1202">
        <f t="shared" si="6"/>
        <v>43.687488000000002</v>
      </c>
      <c r="Q10" s="1197"/>
      <c r="R10" s="1197"/>
      <c r="S10" s="1197"/>
      <c r="T10" s="1197"/>
      <c r="U10" s="1197"/>
      <c r="V10" s="1197"/>
    </row>
    <row r="11" spans="1:22" x14ac:dyDescent="0.3">
      <c r="A11" s="1205" t="s">
        <v>2156</v>
      </c>
      <c r="B11" s="1202">
        <v>3.194</v>
      </c>
      <c r="C11" s="1202">
        <v>3.4580000000000002</v>
      </c>
      <c r="D11" s="1202">
        <v>2.4</v>
      </c>
      <c r="E11" s="1202">
        <f t="shared" si="0"/>
        <v>26.507644800000001</v>
      </c>
      <c r="F11" s="1202">
        <v>35</v>
      </c>
      <c r="G11" s="1202">
        <v>70</v>
      </c>
      <c r="H11" s="1202">
        <v>27</v>
      </c>
      <c r="I11" s="1202">
        <v>50</v>
      </c>
      <c r="J11" s="1202">
        <f t="shared" si="1"/>
        <v>8</v>
      </c>
      <c r="K11" s="1202">
        <v>0.92</v>
      </c>
      <c r="L11" s="1202">
        <f t="shared" si="2"/>
        <v>16.598400000000002</v>
      </c>
      <c r="M11" s="1202">
        <f t="shared" si="3"/>
        <v>15.331199999999999</v>
      </c>
      <c r="N11" s="1202">
        <f t="shared" si="4"/>
        <v>11.044852000000001</v>
      </c>
      <c r="O11" s="1202">
        <f t="shared" si="5"/>
        <v>42.974451999999999</v>
      </c>
      <c r="P11" s="1202">
        <f t="shared" si="6"/>
        <v>39.536495840000001</v>
      </c>
      <c r="Q11" s="1197"/>
      <c r="R11" s="1197"/>
      <c r="S11" s="1197"/>
      <c r="T11" s="1197"/>
      <c r="U11" s="1197"/>
      <c r="V11" s="1197"/>
    </row>
    <row r="12" spans="1:22" x14ac:dyDescent="0.3">
      <c r="A12" s="1206" t="s">
        <v>2157</v>
      </c>
      <c r="B12" s="1207">
        <v>2.9990000000000001</v>
      </c>
      <c r="C12" s="1207">
        <v>4.0599999999999996</v>
      </c>
      <c r="D12" s="1207">
        <v>2.4</v>
      </c>
      <c r="E12" s="1202">
        <f t="shared" si="0"/>
        <v>29.222255999999994</v>
      </c>
      <c r="F12" s="1202">
        <v>35</v>
      </c>
      <c r="G12" s="1202">
        <v>70</v>
      </c>
      <c r="H12" s="1202">
        <v>27</v>
      </c>
      <c r="I12" s="1202">
        <v>50</v>
      </c>
      <c r="J12" s="1202">
        <f t="shared" si="1"/>
        <v>8</v>
      </c>
      <c r="K12" s="1202">
        <v>0.92</v>
      </c>
      <c r="L12" s="1202">
        <f t="shared" si="2"/>
        <v>19.487999999999996</v>
      </c>
      <c r="M12" s="1202">
        <f t="shared" si="3"/>
        <v>14.395199999999999</v>
      </c>
      <c r="N12" s="1202">
        <f t="shared" si="4"/>
        <v>12.175939999999999</v>
      </c>
      <c r="O12" s="1202">
        <f t="shared" si="5"/>
        <v>46.059139999999992</v>
      </c>
      <c r="P12" s="1202">
        <f t="shared" si="6"/>
        <v>42.374408799999998</v>
      </c>
      <c r="Q12" s="1197"/>
      <c r="R12" s="1197"/>
      <c r="S12" s="1197"/>
      <c r="T12" s="1197"/>
      <c r="U12" s="1197"/>
      <c r="V12" s="1197"/>
    </row>
    <row r="13" spans="1:22" x14ac:dyDescent="0.3">
      <c r="A13" s="1422" t="s">
        <v>1743</v>
      </c>
      <c r="B13" s="1422"/>
      <c r="C13" s="1422"/>
      <c r="D13" s="1422"/>
      <c r="E13" s="1422"/>
      <c r="F13" s="1422"/>
      <c r="G13" s="1422"/>
      <c r="H13" s="1422"/>
      <c r="I13" s="1422"/>
      <c r="J13" s="1422"/>
      <c r="K13" s="1422"/>
      <c r="L13" s="1422"/>
      <c r="M13" s="1422"/>
      <c r="N13" s="1422"/>
      <c r="O13" s="1422"/>
      <c r="P13" s="1199">
        <f>SUM(P7:P12)</f>
        <v>253.54164079999995</v>
      </c>
      <c r="Q13" s="1197"/>
      <c r="R13" s="1197"/>
      <c r="S13" s="1197"/>
      <c r="T13" s="1197"/>
      <c r="U13" s="1197"/>
      <c r="V13" s="1197"/>
    </row>
    <row r="14" spans="1:22" x14ac:dyDescent="0.3">
      <c r="A14" s="1197"/>
      <c r="B14" s="1197"/>
      <c r="C14" s="1197"/>
      <c r="D14" s="1197"/>
      <c r="E14" s="1197"/>
      <c r="F14" s="1197"/>
      <c r="G14" s="1197"/>
      <c r="H14" s="1197"/>
      <c r="I14" s="1197"/>
      <c r="J14" s="1197"/>
      <c r="K14" s="1197"/>
      <c r="L14" s="1197"/>
      <c r="M14" s="1197"/>
      <c r="N14" s="1197"/>
      <c r="O14" s="1197"/>
      <c r="P14" s="1197"/>
      <c r="Q14" s="1197"/>
      <c r="R14" s="1197"/>
      <c r="S14" s="1197"/>
      <c r="T14" s="1197"/>
      <c r="U14" s="1197"/>
      <c r="V14" s="1197"/>
    </row>
    <row r="15" spans="1:22" x14ac:dyDescent="0.3">
      <c r="A15" s="1197"/>
      <c r="B15" s="1197"/>
      <c r="C15" s="1197"/>
      <c r="D15" s="1197"/>
      <c r="E15" s="1197"/>
      <c r="F15" s="1197"/>
      <c r="G15" s="1197"/>
      <c r="H15" s="1197"/>
      <c r="I15" s="1197"/>
      <c r="J15" s="1197"/>
      <c r="K15" s="1197"/>
      <c r="L15" s="1197"/>
      <c r="M15" s="1197"/>
      <c r="N15" s="1197"/>
      <c r="O15" s="1197"/>
      <c r="P15" s="1197"/>
      <c r="Q15" s="1197"/>
      <c r="R15" s="1197"/>
      <c r="S15" s="1197"/>
      <c r="T15" s="1197"/>
      <c r="U15" s="1197"/>
      <c r="V15" s="1197"/>
    </row>
    <row r="16" spans="1:22" x14ac:dyDescent="0.3">
      <c r="A16" s="1197"/>
      <c r="B16" s="1197"/>
      <c r="C16" s="1197"/>
      <c r="D16" s="1197"/>
      <c r="E16" s="1197"/>
      <c r="F16" s="1197"/>
      <c r="G16" s="1197"/>
      <c r="H16" s="1197"/>
      <c r="I16" s="1197"/>
      <c r="J16" s="1197"/>
      <c r="K16" s="1197"/>
      <c r="L16" s="1197"/>
      <c r="M16" s="1197"/>
      <c r="N16" s="1197"/>
      <c r="O16" s="1197"/>
      <c r="P16" s="1197"/>
      <c r="Q16" s="1197"/>
      <c r="R16" s="1197"/>
      <c r="S16" s="1197"/>
      <c r="T16" s="1197"/>
      <c r="U16" s="1197"/>
      <c r="V16" s="1197"/>
    </row>
    <row r="17" spans="1:22" x14ac:dyDescent="0.3">
      <c r="A17" s="1197"/>
      <c r="B17" s="1197"/>
      <c r="C17" s="1197"/>
      <c r="D17" s="1197"/>
      <c r="E17" s="1197"/>
      <c r="F17" s="1197"/>
      <c r="G17" s="1197"/>
      <c r="H17" s="1197"/>
      <c r="I17" s="1197"/>
      <c r="J17" s="1197"/>
      <c r="K17" s="1197"/>
      <c r="L17" s="1197"/>
      <c r="M17" s="1197"/>
      <c r="N17" s="1197"/>
      <c r="O17" s="1197"/>
      <c r="P17" s="1197"/>
      <c r="Q17" s="1197"/>
      <c r="R17" s="1197"/>
      <c r="S17" s="1197"/>
      <c r="T17" s="1197"/>
      <c r="U17" s="1197"/>
      <c r="V17" s="1197"/>
    </row>
    <row r="18" spans="1:22" x14ac:dyDescent="0.3">
      <c r="A18" s="1197"/>
      <c r="B18" s="1197"/>
      <c r="C18" s="1197"/>
      <c r="D18" s="1197"/>
      <c r="E18" s="1197"/>
      <c r="F18" s="1197"/>
      <c r="G18" s="1197"/>
      <c r="H18" s="1197"/>
      <c r="I18" s="1197"/>
      <c r="J18" s="1423" t="s">
        <v>2158</v>
      </c>
      <c r="K18" s="1423"/>
      <c r="L18" s="1423"/>
      <c r="M18" s="1423"/>
      <c r="N18" s="1197"/>
      <c r="O18" s="1197"/>
      <c r="P18" s="1197"/>
      <c r="Q18" s="1197"/>
      <c r="R18" s="1197"/>
      <c r="S18" s="1197"/>
      <c r="T18" s="1197"/>
      <c r="U18" s="1197"/>
      <c r="V18" s="1197"/>
    </row>
    <row r="19" spans="1:22" x14ac:dyDescent="0.3">
      <c r="A19" s="1197"/>
      <c r="B19" s="1197"/>
      <c r="C19" s="1197"/>
      <c r="D19" s="1197"/>
      <c r="E19" s="1197"/>
      <c r="F19" s="1197"/>
      <c r="G19" s="1197"/>
      <c r="H19" s="1197"/>
      <c r="I19" s="1197"/>
      <c r="J19" s="1197" t="s">
        <v>1947</v>
      </c>
      <c r="K19" s="1197">
        <v>0.27779999999999999</v>
      </c>
      <c r="L19" s="1197" t="s">
        <v>129</v>
      </c>
      <c r="M19" s="1197"/>
      <c r="N19" s="1197"/>
      <c r="O19" s="1197"/>
      <c r="P19" s="1197"/>
      <c r="Q19" s="1197"/>
      <c r="R19" s="1197"/>
      <c r="S19" s="1197"/>
      <c r="T19" s="1197"/>
      <c r="U19" s="1197"/>
      <c r="V19" s="1197"/>
    </row>
    <row r="20" spans="1:22" x14ac:dyDescent="0.3">
      <c r="A20" s="1197"/>
      <c r="B20" s="1197"/>
      <c r="C20" s="1197"/>
      <c r="D20" s="1197"/>
      <c r="E20" s="1197"/>
      <c r="F20" s="1197"/>
      <c r="G20" s="1197"/>
      <c r="H20" s="1197"/>
      <c r="I20" s="1197"/>
      <c r="J20" s="1424" t="s">
        <v>1948</v>
      </c>
      <c r="K20" s="1424"/>
      <c r="L20" s="1424"/>
      <c r="M20" s="1197">
        <f>(17.1+12.5+14.8)/3</f>
        <v>14.800000000000002</v>
      </c>
      <c r="N20" s="1197" t="s">
        <v>1949</v>
      </c>
      <c r="O20" s="1197"/>
      <c r="P20" s="1197"/>
      <c r="Q20" s="1197"/>
      <c r="R20" s="1197"/>
      <c r="S20" s="1197"/>
      <c r="T20" s="1197"/>
      <c r="U20" s="1197"/>
      <c r="V20" s="1197"/>
    </row>
    <row r="21" spans="1:22" x14ac:dyDescent="0.3">
      <c r="A21" s="1197"/>
      <c r="B21" s="1197"/>
      <c r="C21" s="1197"/>
      <c r="D21" s="1197"/>
      <c r="E21" s="1197"/>
      <c r="F21" s="1197"/>
      <c r="G21" s="1197"/>
      <c r="H21" s="1197"/>
      <c r="I21" s="1197"/>
      <c r="J21" s="1197"/>
      <c r="K21" s="1197"/>
      <c r="L21" s="1209" t="s">
        <v>10</v>
      </c>
      <c r="M21" s="1197">
        <f>M20*K19</f>
        <v>4.1114400000000009</v>
      </c>
      <c r="N21" s="1197" t="s">
        <v>129</v>
      </c>
      <c r="O21" s="1197"/>
      <c r="P21" s="1197"/>
      <c r="Q21" s="1197"/>
      <c r="R21" s="1197"/>
      <c r="S21" s="1197"/>
      <c r="T21" s="1197"/>
      <c r="U21" s="1197"/>
      <c r="V21" s="1197"/>
    </row>
    <row r="22" spans="1:22" x14ac:dyDescent="0.3">
      <c r="A22" s="1197"/>
      <c r="B22" s="1197"/>
      <c r="C22" s="1197"/>
      <c r="D22" s="1197"/>
      <c r="H22" s="1197"/>
      <c r="I22" s="1197"/>
      <c r="J22" s="1197"/>
      <c r="K22" s="1197"/>
      <c r="L22" s="1197"/>
      <c r="M22" s="1197"/>
      <c r="N22" s="1197"/>
      <c r="O22" s="1197"/>
      <c r="P22" s="1197"/>
      <c r="Q22" s="1197"/>
      <c r="R22" s="1197"/>
      <c r="S22" s="1197"/>
      <c r="T22" s="1197"/>
      <c r="U22" s="1197"/>
      <c r="V22" s="1197"/>
    </row>
    <row r="23" spans="1:22" x14ac:dyDescent="0.3">
      <c r="A23" s="1197"/>
      <c r="B23" s="1197"/>
      <c r="C23" s="1197"/>
      <c r="D23" s="1197"/>
      <c r="H23" s="1197"/>
      <c r="I23" s="1197"/>
      <c r="J23" s="1197"/>
      <c r="K23" s="1197"/>
      <c r="L23" s="1197"/>
      <c r="M23" s="1197"/>
      <c r="N23" s="1197"/>
      <c r="O23" s="1197"/>
      <c r="P23" s="1197"/>
      <c r="Q23" s="1197"/>
      <c r="R23" s="1197"/>
      <c r="S23" s="1197"/>
      <c r="T23" s="1197"/>
      <c r="U23" s="1197"/>
      <c r="V23" s="1197"/>
    </row>
    <row r="24" spans="1:22" x14ac:dyDescent="0.3">
      <c r="A24" s="1197"/>
      <c r="B24" s="1197"/>
      <c r="C24" s="1197"/>
      <c r="D24" s="1197"/>
      <c r="H24" s="1197"/>
      <c r="I24" s="1197"/>
      <c r="J24" s="1197"/>
      <c r="K24" s="1197"/>
      <c r="L24" s="1197"/>
      <c r="M24" s="1197"/>
      <c r="N24" s="1197"/>
      <c r="O24" s="1197"/>
      <c r="P24" s="1197"/>
      <c r="Q24" s="1197"/>
      <c r="R24" s="1197"/>
      <c r="S24" s="1197"/>
      <c r="T24" s="1197"/>
      <c r="U24" s="1197"/>
      <c r="V24" s="1197"/>
    </row>
    <row r="25" spans="1:22" x14ac:dyDescent="0.3">
      <c r="A25" s="1197"/>
      <c r="B25" s="1197"/>
      <c r="C25" s="1197"/>
      <c r="D25" s="1197"/>
      <c r="H25" s="1197"/>
      <c r="I25" s="1197"/>
      <c r="J25" s="1197"/>
      <c r="K25" s="1197"/>
      <c r="L25" s="1197"/>
      <c r="M25" s="1197"/>
      <c r="N25" s="1197"/>
      <c r="O25" s="1197"/>
      <c r="P25" s="1197"/>
      <c r="Q25" s="1197"/>
      <c r="R25" s="1197"/>
      <c r="S25" s="1197"/>
      <c r="T25" s="1197"/>
      <c r="U25" s="1197"/>
      <c r="V25" s="1197"/>
    </row>
    <row r="26" spans="1:22" x14ac:dyDescent="0.3">
      <c r="A26" s="1197"/>
      <c r="B26" s="1197"/>
      <c r="C26" s="1197"/>
      <c r="D26" s="1197"/>
      <c r="M26" s="1197"/>
      <c r="N26" s="1197"/>
      <c r="O26" s="1197"/>
      <c r="P26" s="1197"/>
      <c r="Q26" s="1197"/>
      <c r="R26" s="1197"/>
      <c r="S26" s="1197"/>
      <c r="T26" s="1197"/>
      <c r="U26" s="1197"/>
      <c r="V26" s="1197"/>
    </row>
    <row r="27" spans="1:22" x14ac:dyDescent="0.3">
      <c r="A27" s="1197"/>
      <c r="B27" s="1197"/>
      <c r="C27" s="1197"/>
      <c r="D27" s="1197"/>
      <c r="M27" s="1197"/>
      <c r="N27" s="1197"/>
      <c r="O27" s="1197"/>
      <c r="P27" s="1197"/>
      <c r="Q27" s="1197"/>
      <c r="R27" s="1197"/>
      <c r="S27" s="1197"/>
      <c r="T27" s="1197"/>
      <c r="U27" s="1197"/>
      <c r="V27" s="1197"/>
    </row>
    <row r="28" spans="1:22" x14ac:dyDescent="0.3">
      <c r="A28" s="1197"/>
      <c r="B28" s="1197"/>
      <c r="C28" s="1197"/>
      <c r="D28" s="1197"/>
      <c r="M28" s="1197"/>
      <c r="N28" s="1197"/>
      <c r="O28" s="1197"/>
      <c r="P28" s="1197"/>
      <c r="Q28" s="1197"/>
      <c r="R28" s="1197"/>
      <c r="S28" s="1197"/>
      <c r="T28" s="1197"/>
      <c r="U28" s="1197"/>
      <c r="V28" s="1197"/>
    </row>
    <row r="29" spans="1:22" x14ac:dyDescent="0.3">
      <c r="A29" s="1197"/>
      <c r="B29" s="1197"/>
      <c r="C29" s="1197"/>
      <c r="D29" s="1197"/>
      <c r="M29" s="1197"/>
      <c r="N29" s="1197"/>
      <c r="O29" s="1197"/>
      <c r="P29" s="1197"/>
      <c r="Q29" s="1197"/>
      <c r="R29" s="1197"/>
      <c r="S29" s="1197"/>
      <c r="T29" s="1197"/>
      <c r="U29" s="1197"/>
      <c r="V29" s="1197"/>
    </row>
    <row r="30" spans="1:22" x14ac:dyDescent="0.3">
      <c r="A30" s="1197"/>
      <c r="B30" s="1197"/>
      <c r="C30" s="1197"/>
      <c r="D30" s="1197"/>
      <c r="M30" s="1197"/>
      <c r="N30" s="1197"/>
      <c r="O30" s="1197"/>
      <c r="P30" s="1197"/>
      <c r="Q30" s="1197"/>
      <c r="R30" s="1197"/>
      <c r="S30" s="1197"/>
      <c r="T30" s="1197"/>
      <c r="U30" s="1197"/>
      <c r="V30" s="1197"/>
    </row>
    <row r="31" spans="1:22" x14ac:dyDescent="0.3">
      <c r="A31" s="1197"/>
      <c r="B31" s="1197"/>
      <c r="C31" s="1197"/>
      <c r="D31" s="1197"/>
      <c r="M31" s="1197"/>
      <c r="N31" s="1197"/>
      <c r="O31" s="1197"/>
      <c r="P31" s="1197"/>
      <c r="Q31" s="1197"/>
      <c r="R31" s="1197"/>
      <c r="S31" s="1197"/>
      <c r="T31" s="1197"/>
      <c r="U31" s="1197"/>
      <c r="V31" s="1197"/>
    </row>
    <row r="32" spans="1:22" x14ac:dyDescent="0.3">
      <c r="A32" s="1197"/>
      <c r="B32" s="1197"/>
      <c r="C32" s="1197"/>
      <c r="D32" s="1197"/>
      <c r="M32" s="1197"/>
      <c r="N32" s="1197"/>
      <c r="O32" s="1197"/>
      <c r="P32" s="1197"/>
      <c r="Q32" s="1197"/>
      <c r="R32" s="1197"/>
      <c r="S32" s="1197"/>
      <c r="T32" s="1197"/>
      <c r="U32" s="1197"/>
      <c r="V32" s="1197"/>
    </row>
    <row r="33" spans="1:22" x14ac:dyDescent="0.3">
      <c r="A33" s="1197"/>
      <c r="B33" s="1197"/>
      <c r="C33" s="1197"/>
      <c r="D33" s="1197"/>
      <c r="M33" s="1197"/>
      <c r="N33" s="1197"/>
      <c r="O33" s="1197"/>
      <c r="P33" s="1197"/>
      <c r="Q33" s="1197"/>
      <c r="R33" s="1197"/>
      <c r="S33" s="1197"/>
      <c r="T33" s="1197"/>
      <c r="U33" s="1197"/>
      <c r="V33" s="1197"/>
    </row>
    <row r="34" spans="1:22" x14ac:dyDescent="0.3">
      <c r="A34" s="1197"/>
      <c r="B34" s="1197"/>
      <c r="C34" s="1197"/>
      <c r="D34" s="1197"/>
      <c r="E34" s="1197"/>
      <c r="F34" s="1197"/>
      <c r="G34" s="1197"/>
      <c r="H34" s="1197"/>
      <c r="I34" s="1197"/>
      <c r="J34" s="1197"/>
      <c r="K34" s="1197"/>
      <c r="L34" s="1197"/>
      <c r="M34" s="1197"/>
      <c r="N34" s="1197"/>
      <c r="O34" s="1197"/>
      <c r="P34" s="1197"/>
      <c r="Q34" s="1197"/>
      <c r="R34" s="1197"/>
      <c r="S34" s="1197"/>
      <c r="T34" s="1197"/>
      <c r="U34" s="1197"/>
      <c r="V34" s="1197"/>
    </row>
    <row r="35" spans="1:22" x14ac:dyDescent="0.3">
      <c r="A35" s="1197"/>
      <c r="B35" s="1197"/>
      <c r="C35" s="1197"/>
      <c r="D35" s="1197"/>
      <c r="E35" s="1197"/>
      <c r="F35" s="1197"/>
      <c r="G35" s="1197"/>
      <c r="H35" s="1197"/>
      <c r="I35" s="1197"/>
      <c r="J35" s="1197"/>
      <c r="K35" s="1197"/>
      <c r="L35" s="1197"/>
      <c r="M35" s="1197"/>
      <c r="N35" s="1197"/>
      <c r="O35" s="1197"/>
      <c r="P35" s="1197"/>
      <c r="Q35" s="1197"/>
      <c r="R35" s="1197"/>
      <c r="S35" s="1197"/>
      <c r="T35" s="1197"/>
      <c r="U35" s="1197"/>
      <c r="V35" s="1197"/>
    </row>
    <row r="36" spans="1:22" x14ac:dyDescent="0.3">
      <c r="A36" s="1197"/>
      <c r="B36" s="1197"/>
      <c r="C36" s="1197"/>
      <c r="D36" s="1197"/>
      <c r="E36" s="1197"/>
      <c r="F36" s="1197"/>
      <c r="G36" s="1197"/>
      <c r="H36" s="1197"/>
      <c r="I36" s="1197"/>
      <c r="J36" s="1197"/>
      <c r="K36" s="1197"/>
      <c r="L36" s="1197"/>
      <c r="M36" s="1197"/>
      <c r="N36" s="1197"/>
      <c r="O36" s="1197"/>
      <c r="P36" s="1197"/>
      <c r="Q36" s="1197"/>
      <c r="R36" s="1197"/>
      <c r="S36" s="1197"/>
      <c r="T36" s="1197"/>
      <c r="U36" s="1197"/>
      <c r="V36" s="1197"/>
    </row>
    <row r="37" spans="1:22" x14ac:dyDescent="0.3">
      <c r="A37" s="1197"/>
      <c r="B37" s="1197"/>
      <c r="C37" s="1197"/>
      <c r="D37" s="1197"/>
      <c r="E37" s="1197"/>
      <c r="F37" s="1197"/>
      <c r="G37" s="1197"/>
      <c r="H37" s="1197"/>
      <c r="I37" s="1197"/>
      <c r="J37" s="1197"/>
      <c r="K37" s="1197"/>
      <c r="L37" s="1197"/>
      <c r="M37" s="1197"/>
      <c r="N37" s="1197"/>
      <c r="O37" s="1197"/>
      <c r="P37" s="1197"/>
      <c r="Q37" s="1197"/>
      <c r="R37" s="1197"/>
      <c r="S37" s="1197"/>
      <c r="T37" s="1197"/>
      <c r="U37" s="1197"/>
      <c r="V37" s="1197"/>
    </row>
    <row r="38" spans="1:22" x14ac:dyDescent="0.3">
      <c r="A38" s="1197"/>
      <c r="B38" s="1197"/>
      <c r="C38" s="1197"/>
      <c r="D38" s="1197"/>
      <c r="E38" s="1197"/>
      <c r="F38" s="1197"/>
      <c r="G38" s="1197"/>
      <c r="H38" s="1197"/>
      <c r="I38" s="1197"/>
      <c r="J38" s="1197"/>
      <c r="K38" s="1197"/>
      <c r="L38" s="1197"/>
      <c r="M38" s="1197"/>
      <c r="N38" s="1197"/>
      <c r="O38" s="1197"/>
      <c r="P38" s="1197"/>
      <c r="Q38" s="1197"/>
      <c r="R38" s="1197"/>
      <c r="S38" s="1197"/>
      <c r="T38" s="1197"/>
      <c r="U38" s="1197"/>
      <c r="V38" s="1197"/>
    </row>
    <row r="39" spans="1:22" x14ac:dyDescent="0.3">
      <c r="A39" s="1197"/>
      <c r="B39" s="1197"/>
      <c r="C39" s="1197"/>
      <c r="D39" s="1197"/>
      <c r="E39" s="1197"/>
      <c r="F39" s="1197"/>
      <c r="G39" s="1197"/>
      <c r="H39" s="1197"/>
      <c r="I39" s="1197"/>
      <c r="J39" s="1197"/>
      <c r="K39" s="1197"/>
      <c r="L39" s="1197"/>
      <c r="M39" s="1197"/>
      <c r="N39" s="1197"/>
      <c r="O39" s="1197"/>
      <c r="P39" s="1197"/>
      <c r="Q39" s="1197"/>
      <c r="R39" s="1197"/>
      <c r="S39" s="1197"/>
      <c r="T39" s="1197"/>
      <c r="U39" s="1197"/>
      <c r="V39" s="1197"/>
    </row>
    <row r="40" spans="1:22" x14ac:dyDescent="0.3">
      <c r="A40" s="1420" t="s">
        <v>1939</v>
      </c>
      <c r="B40" s="1420"/>
      <c r="C40" s="1420"/>
      <c r="D40" s="1420"/>
      <c r="E40" s="1420"/>
      <c r="F40" s="1197"/>
      <c r="G40" s="1197"/>
      <c r="H40" s="1197"/>
      <c r="I40" s="1197"/>
      <c r="J40" s="1197"/>
      <c r="K40" s="1197"/>
      <c r="L40" s="1197"/>
      <c r="M40" s="1197"/>
      <c r="N40" s="1197"/>
      <c r="O40" s="1197"/>
      <c r="P40" s="1197"/>
      <c r="Q40" s="1197"/>
      <c r="R40" s="1197"/>
      <c r="S40" s="1197"/>
      <c r="T40" s="1197"/>
      <c r="U40" s="1197"/>
      <c r="V40" s="1197"/>
    </row>
    <row r="41" spans="1:22" x14ac:dyDescent="0.3">
      <c r="A41" s="1421" t="s">
        <v>1912</v>
      </c>
      <c r="B41" s="1199" t="s">
        <v>1940</v>
      </c>
      <c r="C41" s="1199" t="s">
        <v>1941</v>
      </c>
      <c r="D41" s="1199" t="s">
        <v>1942</v>
      </c>
      <c r="E41" s="1199" t="s">
        <v>1943</v>
      </c>
      <c r="F41" s="1197"/>
      <c r="G41" s="1197"/>
      <c r="H41" s="1197"/>
      <c r="I41" s="1197"/>
      <c r="J41" s="1197"/>
      <c r="K41" s="1197"/>
      <c r="L41" s="1197"/>
      <c r="M41" s="1197"/>
      <c r="N41" s="1197"/>
      <c r="O41" s="1197"/>
      <c r="P41" s="1197"/>
      <c r="Q41" s="1197"/>
      <c r="R41" s="1197"/>
      <c r="S41" s="1197"/>
      <c r="T41" s="1197"/>
      <c r="U41" s="1197"/>
      <c r="V41" s="1197"/>
    </row>
    <row r="42" spans="1:22" x14ac:dyDescent="0.3">
      <c r="A42" s="1421"/>
      <c r="B42" s="1199" t="s">
        <v>1944</v>
      </c>
      <c r="C42" s="1199" t="s">
        <v>1945</v>
      </c>
      <c r="D42" s="1199" t="s">
        <v>1945</v>
      </c>
      <c r="E42" s="1199" t="s">
        <v>1945</v>
      </c>
      <c r="F42" s="1197"/>
      <c r="G42" s="1197"/>
      <c r="H42" s="1197"/>
      <c r="I42" s="1197"/>
      <c r="J42" s="1197"/>
      <c r="K42" s="1197"/>
      <c r="L42" s="1197"/>
      <c r="M42" s="1197"/>
      <c r="N42" s="1197"/>
      <c r="O42" s="1197"/>
      <c r="P42" s="1197"/>
      <c r="Q42" s="1197"/>
      <c r="R42" s="1197"/>
      <c r="S42" s="1197"/>
      <c r="T42" s="1197"/>
      <c r="U42" s="1197"/>
      <c r="V42" s="1197"/>
    </row>
    <row r="43" spans="1:22" x14ac:dyDescent="0.3">
      <c r="A43" s="1201" t="s">
        <v>2152</v>
      </c>
      <c r="B43" s="1202">
        <v>4</v>
      </c>
      <c r="C43" s="1202">
        <v>64</v>
      </c>
      <c r="D43" s="1202">
        <v>97</v>
      </c>
      <c r="E43" s="1202">
        <f>15*161</f>
        <v>2415</v>
      </c>
      <c r="F43" s="1197"/>
      <c r="G43" s="1197"/>
      <c r="H43" s="1197"/>
      <c r="I43" s="1197"/>
      <c r="J43" s="1197"/>
      <c r="K43" s="1197"/>
      <c r="L43" s="1197"/>
      <c r="M43" s="1197"/>
      <c r="N43" s="1197"/>
      <c r="O43" s="1197"/>
      <c r="P43" s="1197"/>
      <c r="Q43" s="1197"/>
      <c r="R43" s="1197"/>
      <c r="S43" s="1197"/>
      <c r="T43" s="1197"/>
      <c r="U43" s="1197"/>
      <c r="V43" s="1197"/>
    </row>
    <row r="44" spans="1:22" x14ac:dyDescent="0.3">
      <c r="A44" s="1201" t="s">
        <v>2153</v>
      </c>
      <c r="B44" s="1203">
        <v>2</v>
      </c>
      <c r="C44" s="1202">
        <v>57</v>
      </c>
      <c r="D44" s="1202">
        <v>60</v>
      </c>
      <c r="E44" s="1202">
        <f>2*(C44+D44)</f>
        <v>234</v>
      </c>
      <c r="F44" s="1197"/>
      <c r="G44" s="1197"/>
      <c r="H44" s="1197"/>
      <c r="I44" s="1197"/>
      <c r="J44" s="1197"/>
      <c r="K44" s="1197"/>
      <c r="L44" s="1197"/>
      <c r="M44" s="1197"/>
      <c r="N44" s="1197"/>
      <c r="O44" s="1197"/>
      <c r="P44" s="1197"/>
      <c r="Q44" s="1197"/>
      <c r="R44" s="1197"/>
      <c r="S44" s="1197"/>
      <c r="T44" s="1197"/>
      <c r="U44" s="1197"/>
      <c r="V44" s="1197"/>
    </row>
    <row r="45" spans="1:22" x14ac:dyDescent="0.3">
      <c r="A45" s="1204" t="s">
        <v>2154</v>
      </c>
      <c r="B45" s="1203">
        <v>2</v>
      </c>
      <c r="C45" s="1202">
        <v>73</v>
      </c>
      <c r="D45" s="1202">
        <v>149</v>
      </c>
      <c r="E45" s="1202">
        <f>2*(C45+D45)</f>
        <v>444</v>
      </c>
      <c r="F45" s="1197"/>
      <c r="G45" s="1197"/>
      <c r="H45" s="1197"/>
      <c r="I45" s="1197"/>
      <c r="J45" s="1197"/>
      <c r="K45" s="1197"/>
      <c r="L45" s="1197"/>
      <c r="M45" s="1197"/>
      <c r="N45" s="1197"/>
      <c r="O45" s="1197"/>
      <c r="P45" s="1197"/>
      <c r="Q45" s="1197"/>
      <c r="R45" s="1197"/>
      <c r="S45" s="1197"/>
      <c r="T45" s="1197"/>
      <c r="U45" s="1197"/>
      <c r="V45" s="1197"/>
    </row>
    <row r="46" spans="1:22" x14ac:dyDescent="0.3">
      <c r="A46" s="1204" t="s">
        <v>2155</v>
      </c>
      <c r="B46" s="1202">
        <v>2</v>
      </c>
      <c r="C46" s="1202">
        <v>57</v>
      </c>
      <c r="D46" s="1202">
        <v>60</v>
      </c>
      <c r="E46" s="1202">
        <f>2*(C46+D46)</f>
        <v>234</v>
      </c>
      <c r="F46" s="1197"/>
      <c r="G46" s="1197"/>
      <c r="H46" s="1197"/>
      <c r="I46" s="1197"/>
      <c r="J46" s="1197"/>
      <c r="K46" s="1197"/>
      <c r="L46" s="1197"/>
      <c r="M46" s="1197"/>
      <c r="N46" s="1197"/>
      <c r="O46" s="1197"/>
      <c r="P46" s="1197"/>
      <c r="Q46" s="1197"/>
      <c r="R46" s="1197"/>
      <c r="S46" s="1197"/>
      <c r="T46" s="1197"/>
      <c r="U46" s="1197"/>
      <c r="V46" s="1197"/>
    </row>
    <row r="47" spans="1:22" x14ac:dyDescent="0.3">
      <c r="A47" s="1205" t="s">
        <v>2156</v>
      </c>
      <c r="B47" s="1202">
        <v>3</v>
      </c>
      <c r="C47" s="1202">
        <v>57</v>
      </c>
      <c r="D47" s="1202">
        <v>60</v>
      </c>
      <c r="E47" s="1202">
        <f>2*(C47+D47)</f>
        <v>234</v>
      </c>
      <c r="F47" s="1197"/>
      <c r="G47" s="1197"/>
      <c r="H47" s="1197"/>
      <c r="I47" s="1197"/>
      <c r="J47" s="1197"/>
      <c r="K47" s="1197"/>
      <c r="L47" s="1197"/>
      <c r="M47" s="1197"/>
      <c r="N47" s="1197"/>
      <c r="O47" s="1197"/>
      <c r="P47" s="1197"/>
      <c r="Q47" s="1197"/>
      <c r="R47" s="1197"/>
      <c r="S47" s="1197"/>
      <c r="T47" s="1197"/>
      <c r="U47" s="1197"/>
      <c r="V47" s="1197"/>
    </row>
    <row r="48" spans="1:22" x14ac:dyDescent="0.3">
      <c r="A48" s="1206" t="s">
        <v>2157</v>
      </c>
      <c r="B48" s="1202">
        <v>2</v>
      </c>
      <c r="C48" s="1202">
        <v>57</v>
      </c>
      <c r="D48" s="1202">
        <v>60</v>
      </c>
      <c r="E48" s="1202">
        <f>1*(C48+D48)</f>
        <v>117</v>
      </c>
      <c r="F48" s="1197"/>
      <c r="G48" s="1197"/>
      <c r="H48" s="1197"/>
      <c r="I48" s="1197"/>
      <c r="J48" s="1197"/>
      <c r="K48" s="1197"/>
      <c r="L48" s="1197"/>
      <c r="M48" s="1197"/>
      <c r="N48" s="1197"/>
      <c r="O48" s="1197"/>
      <c r="P48" s="1197"/>
      <c r="Q48" s="1197"/>
      <c r="R48" s="1197"/>
      <c r="S48" s="1197"/>
      <c r="T48" s="1197"/>
      <c r="U48" s="1197"/>
      <c r="V48" s="1197"/>
    </row>
    <row r="49" spans="1:22" x14ac:dyDescent="0.3">
      <c r="A49" s="1422" t="s">
        <v>1743</v>
      </c>
      <c r="B49" s="1422"/>
      <c r="C49" s="1422"/>
      <c r="D49" s="1422"/>
      <c r="E49" s="1199">
        <f>SUM(E43:E48)</f>
        <v>3678</v>
      </c>
      <c r="F49" s="1197"/>
      <c r="G49" s="1197"/>
      <c r="H49" s="1197"/>
      <c r="I49" s="1197"/>
      <c r="J49" s="1197"/>
      <c r="K49" s="1197"/>
      <c r="L49" s="1197"/>
      <c r="M49" s="1197"/>
      <c r="N49" s="1197"/>
      <c r="O49" s="1197"/>
      <c r="P49" s="1197"/>
      <c r="Q49" s="1197"/>
      <c r="R49" s="1197"/>
      <c r="S49" s="1197"/>
      <c r="T49" s="1197"/>
      <c r="U49" s="1197"/>
      <c r="V49" s="1197"/>
    </row>
    <row r="50" spans="1:22" x14ac:dyDescent="0.3">
      <c r="A50" s="1197"/>
      <c r="B50" s="1197"/>
      <c r="C50" s="1197"/>
      <c r="D50" s="1197"/>
      <c r="E50" s="1197"/>
      <c r="F50" s="1197"/>
      <c r="G50" s="1197"/>
      <c r="H50" s="1197"/>
      <c r="I50" s="1197"/>
      <c r="J50" s="1197"/>
      <c r="K50" s="1197"/>
      <c r="L50" s="1197"/>
      <c r="M50" s="1197"/>
      <c r="N50" s="1197"/>
      <c r="O50" s="1197"/>
      <c r="P50" s="1197"/>
      <c r="Q50" s="1197"/>
      <c r="R50" s="1197"/>
      <c r="S50" s="1197"/>
      <c r="T50" s="1197"/>
      <c r="U50" s="1197"/>
      <c r="V50" s="1197"/>
    </row>
    <row r="51" spans="1:22" x14ac:dyDescent="0.3">
      <c r="A51" s="1420" t="s">
        <v>1950</v>
      </c>
      <c r="B51" s="1420"/>
      <c r="C51" s="1420"/>
      <c r="D51" s="1420"/>
      <c r="E51" s="1420"/>
      <c r="F51" s="1420"/>
      <c r="G51" s="1420"/>
      <c r="H51" s="1420"/>
      <c r="I51" s="1420"/>
      <c r="J51" s="1420"/>
      <c r="K51" s="1197"/>
      <c r="L51" s="1197"/>
      <c r="M51" s="1197"/>
      <c r="N51" s="1197"/>
      <c r="O51" s="1197"/>
      <c r="P51" s="1197"/>
      <c r="Q51" s="1197"/>
      <c r="R51" s="1197"/>
      <c r="S51" s="1197"/>
      <c r="T51" s="1197"/>
      <c r="U51" s="1197"/>
      <c r="V51" s="1197"/>
    </row>
    <row r="52" spans="1:22" x14ac:dyDescent="0.3">
      <c r="A52" s="1421" t="s">
        <v>1912</v>
      </c>
      <c r="B52" s="1422" t="s">
        <v>1914</v>
      </c>
      <c r="C52" s="1422"/>
      <c r="D52" s="1422" t="s">
        <v>1915</v>
      </c>
      <c r="E52" s="1422"/>
      <c r="F52" s="1425" t="s">
        <v>1916</v>
      </c>
      <c r="G52" s="1210" t="s">
        <v>1720</v>
      </c>
      <c r="H52" s="1211" t="s">
        <v>2159</v>
      </c>
      <c r="I52" s="1212" t="s">
        <v>2160</v>
      </c>
      <c r="J52" s="1422" t="s">
        <v>1955</v>
      </c>
      <c r="K52" s="1197"/>
      <c r="L52" s="1197"/>
      <c r="M52" s="1197"/>
      <c r="N52" s="1197"/>
      <c r="O52" s="1197"/>
      <c r="P52" s="1197"/>
      <c r="Q52" s="1197"/>
      <c r="R52" s="1197"/>
      <c r="S52" s="1197"/>
      <c r="T52" s="1197"/>
      <c r="U52" s="1197"/>
      <c r="V52" s="1197"/>
    </row>
    <row r="53" spans="1:22" x14ac:dyDescent="0.3">
      <c r="A53" s="1421"/>
      <c r="B53" s="1426" t="s">
        <v>1921</v>
      </c>
      <c r="C53" s="1426"/>
      <c r="D53" s="1422" t="s">
        <v>1921</v>
      </c>
      <c r="E53" s="1422"/>
      <c r="F53" s="1425"/>
      <c r="G53" s="1213" t="s">
        <v>2161</v>
      </c>
      <c r="H53" s="1214" t="s">
        <v>2162</v>
      </c>
      <c r="I53" s="1215" t="s">
        <v>2161</v>
      </c>
      <c r="J53" s="1422"/>
      <c r="K53" s="1197"/>
      <c r="L53" s="1197"/>
      <c r="M53" s="1197"/>
      <c r="N53" s="1197"/>
      <c r="O53" s="1197"/>
      <c r="P53" s="1197"/>
      <c r="Q53" s="1197"/>
      <c r="R53" s="1197"/>
      <c r="S53" s="1197"/>
      <c r="T53" s="1197"/>
      <c r="U53" s="1197"/>
      <c r="V53" s="1197"/>
    </row>
    <row r="54" spans="1:22" x14ac:dyDescent="0.3">
      <c r="A54" s="1421"/>
      <c r="B54" s="1422" t="s">
        <v>1928</v>
      </c>
      <c r="C54" s="1422"/>
      <c r="D54" s="1422" t="s">
        <v>1928</v>
      </c>
      <c r="E54" s="1422"/>
      <c r="F54" s="1425"/>
      <c r="G54" s="1214" t="s">
        <v>1956</v>
      </c>
      <c r="H54" s="1214" t="s">
        <v>1957</v>
      </c>
      <c r="I54" s="1214" t="s">
        <v>1930</v>
      </c>
      <c r="J54" s="1199" t="s">
        <v>1931</v>
      </c>
      <c r="K54" s="1197"/>
      <c r="L54" s="1197"/>
      <c r="M54" s="1197"/>
      <c r="N54" s="1197"/>
      <c r="O54" s="1197"/>
      <c r="P54" s="1197"/>
      <c r="Q54" s="1197"/>
      <c r="R54" s="1197"/>
      <c r="S54" s="1197"/>
      <c r="T54" s="1197"/>
      <c r="U54" s="1197"/>
      <c r="V54" s="1197"/>
    </row>
    <row r="55" spans="1:22" x14ac:dyDescent="0.3">
      <c r="A55" s="1201" t="s">
        <v>2152</v>
      </c>
      <c r="B55" s="1427">
        <v>35</v>
      </c>
      <c r="C55" s="1427"/>
      <c r="D55" s="1427">
        <v>27</v>
      </c>
      <c r="E55" s="1427"/>
      <c r="F55" s="1202">
        <f t="shared" ref="F55:F60" si="7">B55-D55</f>
        <v>8</v>
      </c>
      <c r="G55" s="1202">
        <v>4</v>
      </c>
      <c r="H55" s="1202">
        <v>3.6</v>
      </c>
      <c r="I55" s="1202">
        <v>0.2</v>
      </c>
      <c r="J55" s="1202">
        <f t="shared" ref="J55:J60" si="8">G55*H55*I55</f>
        <v>2.8800000000000003</v>
      </c>
      <c r="K55" s="1197"/>
      <c r="L55" s="1197"/>
      <c r="M55" s="1197"/>
      <c r="N55" s="1197"/>
      <c r="O55" s="1197"/>
      <c r="P55" s="1197"/>
      <c r="Q55" s="1197"/>
      <c r="R55" s="1197"/>
      <c r="S55" s="1197"/>
      <c r="T55" s="1197"/>
      <c r="U55" s="1197"/>
      <c r="V55" s="1197"/>
    </row>
    <row r="56" spans="1:22" x14ac:dyDescent="0.3">
      <c r="A56" s="1201" t="s">
        <v>2153</v>
      </c>
      <c r="B56" s="1427">
        <v>35</v>
      </c>
      <c r="C56" s="1427"/>
      <c r="D56" s="1427">
        <v>27</v>
      </c>
      <c r="E56" s="1427"/>
      <c r="F56" s="1202">
        <f t="shared" si="7"/>
        <v>8</v>
      </c>
      <c r="G56" s="1202">
        <v>2</v>
      </c>
      <c r="H56" s="1202">
        <v>3.6</v>
      </c>
      <c r="I56" s="1202">
        <v>0.2</v>
      </c>
      <c r="J56" s="1202">
        <f t="shared" si="8"/>
        <v>1.4400000000000002</v>
      </c>
      <c r="K56" s="1197"/>
      <c r="L56" s="1197"/>
      <c r="M56" s="1197"/>
      <c r="N56" s="1197"/>
      <c r="O56" s="1197"/>
      <c r="P56" s="1197"/>
      <c r="Q56" s="1197"/>
      <c r="R56" s="1197"/>
      <c r="S56" s="1197"/>
      <c r="T56" s="1197"/>
      <c r="U56" s="1197"/>
      <c r="V56" s="1197"/>
    </row>
    <row r="57" spans="1:22" x14ac:dyDescent="0.3">
      <c r="A57" s="1204" t="s">
        <v>2154</v>
      </c>
      <c r="B57" s="1427">
        <v>35</v>
      </c>
      <c r="C57" s="1427"/>
      <c r="D57" s="1427">
        <v>27</v>
      </c>
      <c r="E57" s="1427"/>
      <c r="F57" s="1202">
        <f t="shared" si="7"/>
        <v>8</v>
      </c>
      <c r="G57" s="1202">
        <v>2</v>
      </c>
      <c r="H57" s="1202">
        <v>3.6</v>
      </c>
      <c r="I57" s="1202">
        <v>0.2</v>
      </c>
      <c r="J57" s="1202">
        <f t="shared" si="8"/>
        <v>1.4400000000000002</v>
      </c>
      <c r="K57" s="1197"/>
      <c r="L57" s="1197"/>
      <c r="M57" s="1197"/>
      <c r="N57" s="1197"/>
      <c r="O57" s="1197"/>
      <c r="P57" s="1197"/>
      <c r="Q57" s="1197"/>
      <c r="R57" s="1197"/>
      <c r="S57" s="1197"/>
      <c r="T57" s="1197"/>
      <c r="U57" s="1197"/>
      <c r="V57" s="1197"/>
    </row>
    <row r="58" spans="1:22" x14ac:dyDescent="0.3">
      <c r="A58" s="1204" t="s">
        <v>2155</v>
      </c>
      <c r="B58" s="1427">
        <v>35</v>
      </c>
      <c r="C58" s="1427"/>
      <c r="D58" s="1427">
        <v>27</v>
      </c>
      <c r="E58" s="1427"/>
      <c r="F58" s="1202">
        <f t="shared" si="7"/>
        <v>8</v>
      </c>
      <c r="G58" s="1202">
        <v>2</v>
      </c>
      <c r="H58" s="1202">
        <v>3.6</v>
      </c>
      <c r="I58" s="1202">
        <v>0.2</v>
      </c>
      <c r="J58" s="1202">
        <f t="shared" si="8"/>
        <v>1.4400000000000002</v>
      </c>
      <c r="K58" s="1197"/>
      <c r="L58" s="1197"/>
      <c r="M58" s="1197"/>
      <c r="N58" s="1197"/>
      <c r="O58" s="1197"/>
      <c r="P58" s="1197"/>
      <c r="Q58" s="1197"/>
      <c r="R58" s="1197"/>
      <c r="S58" s="1197"/>
      <c r="T58" s="1197"/>
      <c r="U58" s="1197"/>
      <c r="V58" s="1197"/>
    </row>
    <row r="59" spans="1:22" x14ac:dyDescent="0.3">
      <c r="A59" s="1205" t="s">
        <v>2156</v>
      </c>
      <c r="B59" s="1427">
        <v>35</v>
      </c>
      <c r="C59" s="1427"/>
      <c r="D59" s="1427">
        <v>27</v>
      </c>
      <c r="E59" s="1427"/>
      <c r="F59" s="1202">
        <f t="shared" si="7"/>
        <v>8</v>
      </c>
      <c r="G59" s="1202">
        <v>2</v>
      </c>
      <c r="H59" s="1202">
        <v>3.6</v>
      </c>
      <c r="I59" s="1202">
        <v>0.2</v>
      </c>
      <c r="J59" s="1202">
        <f t="shared" si="8"/>
        <v>1.4400000000000002</v>
      </c>
      <c r="K59" s="1197"/>
      <c r="L59" s="1197"/>
      <c r="M59" s="1197"/>
      <c r="N59" s="1197"/>
      <c r="O59" s="1197"/>
      <c r="P59" s="1197"/>
      <c r="Q59" s="1197"/>
      <c r="R59" s="1197"/>
      <c r="S59" s="1197"/>
      <c r="T59" s="1197"/>
      <c r="U59" s="1197"/>
      <c r="V59" s="1197"/>
    </row>
    <row r="60" spans="1:22" x14ac:dyDescent="0.3">
      <c r="A60" s="1206" t="s">
        <v>2157</v>
      </c>
      <c r="B60" s="1427">
        <v>35</v>
      </c>
      <c r="C60" s="1427"/>
      <c r="D60" s="1427">
        <v>27</v>
      </c>
      <c r="E60" s="1427"/>
      <c r="F60" s="1202">
        <f t="shared" si="7"/>
        <v>8</v>
      </c>
      <c r="G60" s="1202">
        <v>2</v>
      </c>
      <c r="H60" s="1202">
        <v>3.6</v>
      </c>
      <c r="I60" s="1202">
        <v>0.2</v>
      </c>
      <c r="J60" s="1202">
        <f t="shared" si="8"/>
        <v>1.4400000000000002</v>
      </c>
      <c r="K60" s="1197"/>
      <c r="L60" s="1197"/>
      <c r="M60" s="1197"/>
      <c r="N60" s="1197"/>
      <c r="O60" s="1197"/>
      <c r="P60" s="1197"/>
      <c r="Q60" s="1197"/>
      <c r="R60" s="1197"/>
      <c r="S60" s="1197"/>
      <c r="T60" s="1197"/>
      <c r="U60" s="1197"/>
      <c r="V60" s="1197"/>
    </row>
    <row r="61" spans="1:22" x14ac:dyDescent="0.3">
      <c r="A61" s="1422" t="s">
        <v>1743</v>
      </c>
      <c r="B61" s="1422"/>
      <c r="C61" s="1422"/>
      <c r="D61" s="1422"/>
      <c r="E61" s="1422"/>
      <c r="F61" s="1422"/>
      <c r="G61" s="1422"/>
      <c r="H61" s="1422"/>
      <c r="I61" s="1422"/>
      <c r="J61" s="1199">
        <f>SUM(J55:J60)</f>
        <v>10.08</v>
      </c>
      <c r="K61" s="1197"/>
      <c r="L61" s="1197"/>
      <c r="M61" s="1197"/>
      <c r="N61" s="1197"/>
      <c r="O61" s="1197"/>
      <c r="P61" s="1197"/>
      <c r="Q61" s="1197"/>
      <c r="R61" s="1197"/>
      <c r="S61" s="1197"/>
      <c r="T61" s="1197"/>
      <c r="U61" s="1197"/>
      <c r="V61" s="1197"/>
    </row>
    <row r="62" spans="1:22" x14ac:dyDescent="0.3">
      <c r="A62" s="1197"/>
      <c r="B62" s="1197"/>
      <c r="C62" s="1197"/>
      <c r="D62" s="1197"/>
      <c r="E62" s="1197"/>
      <c r="F62" s="1216"/>
      <c r="G62" s="1216"/>
      <c r="H62" s="1197"/>
      <c r="I62" s="1197"/>
      <c r="J62" s="1197"/>
      <c r="K62" s="1197"/>
      <c r="L62" s="1197"/>
      <c r="M62" s="1197"/>
      <c r="N62" s="1197"/>
      <c r="O62" s="1197"/>
      <c r="P62" s="1197"/>
      <c r="Q62" s="1197"/>
      <c r="R62" s="1197"/>
      <c r="S62" s="1197"/>
      <c r="T62" s="1197"/>
      <c r="U62" s="1197"/>
      <c r="V62" s="1197"/>
    </row>
    <row r="63" spans="1:22" x14ac:dyDescent="0.3">
      <c r="A63" s="1420" t="s">
        <v>1958</v>
      </c>
      <c r="B63" s="1420"/>
      <c r="C63" s="1420"/>
      <c r="D63" s="1420"/>
      <c r="E63" s="1420"/>
      <c r="F63" s="1420"/>
      <c r="G63" s="1420"/>
      <c r="H63" s="1197"/>
      <c r="I63" s="1197"/>
      <c r="J63" s="1197"/>
      <c r="K63" s="1197"/>
      <c r="L63" s="1197"/>
      <c r="M63" s="1197"/>
      <c r="N63" s="1197"/>
      <c r="O63" s="1197"/>
      <c r="P63" s="1197"/>
      <c r="Q63" s="1197"/>
      <c r="R63" s="1197"/>
      <c r="S63" s="1197"/>
      <c r="T63" s="1197"/>
      <c r="U63" s="1197"/>
      <c r="V63" s="1197"/>
    </row>
    <row r="64" spans="1:22" x14ac:dyDescent="0.3">
      <c r="A64" s="1421" t="s">
        <v>1912</v>
      </c>
      <c r="B64" s="1422" t="s">
        <v>660</v>
      </c>
      <c r="C64" s="1422"/>
      <c r="D64" s="1422"/>
      <c r="E64" s="1425" t="s">
        <v>1927</v>
      </c>
      <c r="F64" s="1211" t="s">
        <v>1959</v>
      </c>
      <c r="G64" s="1422" t="s">
        <v>1960</v>
      </c>
      <c r="H64" s="1197"/>
      <c r="I64" s="1197"/>
      <c r="J64" s="1197"/>
      <c r="K64" s="1197"/>
      <c r="L64" s="1197"/>
      <c r="M64" s="1197"/>
      <c r="N64" s="1197"/>
      <c r="O64" s="1197"/>
      <c r="P64" s="1197"/>
      <c r="Q64" s="1197"/>
      <c r="R64" s="1197"/>
      <c r="S64" s="1197"/>
      <c r="T64" s="1197"/>
      <c r="U64" s="1197"/>
      <c r="V64" s="1197"/>
    </row>
    <row r="65" spans="1:22" x14ac:dyDescent="0.3">
      <c r="A65" s="1421"/>
      <c r="B65" s="1199" t="s">
        <v>1919</v>
      </c>
      <c r="C65" s="1199" t="s">
        <v>1622</v>
      </c>
      <c r="D65" s="1199" t="s">
        <v>1920</v>
      </c>
      <c r="E65" s="1425"/>
      <c r="F65" s="1214" t="s">
        <v>1961</v>
      </c>
      <c r="G65" s="1422"/>
      <c r="H65" s="1197"/>
      <c r="I65" s="1197"/>
      <c r="J65" s="1197"/>
      <c r="K65" s="1197"/>
      <c r="L65" s="1197"/>
      <c r="M65" s="1197"/>
      <c r="N65" s="1197"/>
      <c r="O65" s="1197"/>
      <c r="P65" s="1197"/>
      <c r="Q65" s="1197"/>
      <c r="R65" s="1197"/>
      <c r="S65" s="1197"/>
      <c r="T65" s="1197"/>
      <c r="U65" s="1197"/>
      <c r="V65" s="1197"/>
    </row>
    <row r="66" spans="1:22" x14ac:dyDescent="0.3">
      <c r="A66" s="1421"/>
      <c r="B66" s="1199" t="s">
        <v>11</v>
      </c>
      <c r="C66" s="1199" t="s">
        <v>11</v>
      </c>
      <c r="D66" s="1199" t="s">
        <v>11</v>
      </c>
      <c r="E66" s="1199" t="s">
        <v>1930</v>
      </c>
      <c r="F66" s="1199" t="s">
        <v>1962</v>
      </c>
      <c r="G66" s="1199" t="s">
        <v>1931</v>
      </c>
      <c r="H66" s="1197"/>
      <c r="I66" s="1197"/>
      <c r="J66" s="1197"/>
      <c r="K66" s="1197"/>
      <c r="L66" s="1197"/>
      <c r="M66" s="1197"/>
      <c r="N66" s="1197"/>
      <c r="O66" s="1197"/>
      <c r="P66" s="1197"/>
      <c r="Q66" s="1197"/>
      <c r="R66" s="1197"/>
      <c r="S66" s="1197"/>
      <c r="T66" s="1197"/>
      <c r="U66" s="1197"/>
      <c r="V66" s="1197"/>
    </row>
    <row r="67" spans="1:22" x14ac:dyDescent="0.3">
      <c r="A67" s="1201" t="s">
        <v>2152</v>
      </c>
      <c r="B67" s="1202">
        <v>4.0389999999999997</v>
      </c>
      <c r="C67" s="1202">
        <v>2.95</v>
      </c>
      <c r="D67" s="1202">
        <v>2.4</v>
      </c>
      <c r="E67" s="1202">
        <f t="shared" ref="E67:E72" si="9">B67*C67</f>
        <v>11.915049999999999</v>
      </c>
      <c r="F67" s="1202">
        <v>10</v>
      </c>
      <c r="G67" s="1202">
        <f t="shared" ref="G67:G72" si="10">E67*F67</f>
        <v>119.15049999999999</v>
      </c>
      <c r="H67" s="1197"/>
      <c r="I67" s="1197"/>
      <c r="J67" s="1197"/>
      <c r="K67" s="1197"/>
      <c r="L67" s="1197"/>
      <c r="M67" s="1197"/>
      <c r="N67" s="1197"/>
      <c r="O67" s="1197"/>
      <c r="P67" s="1197"/>
      <c r="Q67" s="1197"/>
      <c r="R67" s="1197"/>
      <c r="S67" s="1197"/>
      <c r="T67" s="1197"/>
      <c r="U67" s="1197"/>
      <c r="V67" s="1197"/>
    </row>
    <row r="68" spans="1:22" x14ac:dyDescent="0.3">
      <c r="A68" s="1201" t="s">
        <v>2153</v>
      </c>
      <c r="B68" s="1203">
        <v>4.5999999999999996</v>
      </c>
      <c r="C68" s="1202">
        <v>3.8359999999999999</v>
      </c>
      <c r="D68" s="1202">
        <v>2.4</v>
      </c>
      <c r="E68" s="1202">
        <f t="shared" si="9"/>
        <v>17.645599999999998</v>
      </c>
      <c r="F68" s="1202">
        <v>8</v>
      </c>
      <c r="G68" s="1202">
        <f t="shared" si="10"/>
        <v>141.16479999999999</v>
      </c>
      <c r="H68" s="1197"/>
      <c r="I68" s="1197"/>
      <c r="J68" s="1197"/>
      <c r="K68" s="1197"/>
      <c r="L68" s="1197"/>
      <c r="M68" s="1197"/>
      <c r="N68" s="1197"/>
      <c r="O68" s="1197"/>
      <c r="P68" s="1197"/>
      <c r="Q68" s="1197"/>
      <c r="R68" s="1197"/>
      <c r="S68" s="1197"/>
      <c r="T68" s="1197"/>
      <c r="U68" s="1197"/>
      <c r="V68" s="1197"/>
    </row>
    <row r="69" spans="1:22" x14ac:dyDescent="0.3">
      <c r="A69" s="1204" t="s">
        <v>2154</v>
      </c>
      <c r="B69" s="1203">
        <v>2.9990000000000001</v>
      </c>
      <c r="C69" s="1202">
        <v>2.702</v>
      </c>
      <c r="D69" s="1202">
        <v>2.4</v>
      </c>
      <c r="E69" s="1202">
        <f t="shared" si="9"/>
        <v>8.1032980000000006</v>
      </c>
      <c r="F69" s="1202">
        <v>8</v>
      </c>
      <c r="G69" s="1202">
        <f t="shared" si="10"/>
        <v>64.826384000000004</v>
      </c>
      <c r="H69" s="1197"/>
      <c r="I69" s="1197"/>
      <c r="J69" s="1197"/>
      <c r="K69" s="1197"/>
      <c r="L69" s="1197"/>
      <c r="M69" s="1197"/>
      <c r="N69" s="1197"/>
      <c r="O69" s="1197"/>
      <c r="P69" s="1197"/>
      <c r="Q69" s="1197"/>
      <c r="R69" s="1197"/>
      <c r="S69" s="1197"/>
      <c r="T69" s="1197"/>
      <c r="U69" s="1197"/>
      <c r="V69" s="1197"/>
    </row>
    <row r="70" spans="1:22" x14ac:dyDescent="0.3">
      <c r="A70" s="1204" t="s">
        <v>2155</v>
      </c>
      <c r="B70" s="1202">
        <v>3.5960000000000001</v>
      </c>
      <c r="C70" s="1202">
        <v>3.6</v>
      </c>
      <c r="D70" s="1202">
        <v>2.4</v>
      </c>
      <c r="E70" s="1202">
        <f t="shared" si="9"/>
        <v>12.945600000000001</v>
      </c>
      <c r="F70" s="1202">
        <v>8</v>
      </c>
      <c r="G70" s="1202">
        <f t="shared" si="10"/>
        <v>103.56480000000001</v>
      </c>
      <c r="H70" s="1197"/>
      <c r="I70" s="1197"/>
      <c r="J70" s="1197"/>
      <c r="K70" s="1197"/>
      <c r="L70" s="1197"/>
      <c r="M70" s="1197"/>
      <c r="N70" s="1197"/>
      <c r="O70" s="1197"/>
      <c r="P70" s="1197"/>
      <c r="Q70" s="1197"/>
      <c r="R70" s="1197"/>
      <c r="S70" s="1197"/>
      <c r="T70" s="1197"/>
      <c r="U70" s="1197"/>
      <c r="V70" s="1197"/>
    </row>
    <row r="71" spans="1:22" x14ac:dyDescent="0.3">
      <c r="A71" s="1205" t="s">
        <v>2156</v>
      </c>
      <c r="B71" s="1202">
        <v>3.194</v>
      </c>
      <c r="C71" s="1202">
        <v>3.4580000000000002</v>
      </c>
      <c r="D71" s="1202">
        <v>2.4</v>
      </c>
      <c r="E71" s="1202">
        <f t="shared" si="9"/>
        <v>11.044852000000001</v>
      </c>
      <c r="F71" s="1202">
        <v>10</v>
      </c>
      <c r="G71" s="1202">
        <f t="shared" si="10"/>
        <v>110.44852</v>
      </c>
      <c r="H71" s="1197"/>
      <c r="I71" s="1197"/>
      <c r="J71" s="1197"/>
      <c r="K71" s="1197"/>
      <c r="L71" s="1197"/>
      <c r="M71" s="1197"/>
      <c r="N71" s="1197"/>
      <c r="O71" s="1197"/>
      <c r="P71" s="1197"/>
      <c r="Q71" s="1197"/>
      <c r="R71" s="1197"/>
      <c r="S71" s="1197"/>
      <c r="T71" s="1197"/>
      <c r="U71" s="1197"/>
      <c r="V71" s="1197"/>
    </row>
    <row r="72" spans="1:22" x14ac:dyDescent="0.3">
      <c r="A72" s="1206" t="s">
        <v>2157</v>
      </c>
      <c r="B72" s="1207">
        <v>2.9990000000000001</v>
      </c>
      <c r="C72" s="1207">
        <v>4.0599999999999996</v>
      </c>
      <c r="D72" s="1202">
        <v>2.4</v>
      </c>
      <c r="E72" s="1202">
        <f t="shared" si="9"/>
        <v>12.175939999999999</v>
      </c>
      <c r="F72" s="1202">
        <v>8</v>
      </c>
      <c r="G72" s="1202">
        <f t="shared" si="10"/>
        <v>97.407519999999991</v>
      </c>
      <c r="H72" s="1197"/>
      <c r="I72" s="1197"/>
      <c r="J72" s="1197"/>
      <c r="K72" s="1197"/>
      <c r="L72" s="1197"/>
      <c r="M72" s="1197"/>
      <c r="N72" s="1197"/>
      <c r="O72" s="1197"/>
      <c r="P72" s="1197"/>
      <c r="Q72" s="1197"/>
      <c r="R72" s="1197"/>
      <c r="S72" s="1197"/>
      <c r="T72" s="1197"/>
      <c r="U72" s="1197"/>
      <c r="V72" s="1197"/>
    </row>
    <row r="73" spans="1:22" x14ac:dyDescent="0.3">
      <c r="A73" s="1422" t="s">
        <v>1743</v>
      </c>
      <c r="B73" s="1422"/>
      <c r="C73" s="1422"/>
      <c r="D73" s="1422"/>
      <c r="E73" s="1422"/>
      <c r="F73" s="1422"/>
      <c r="G73" s="1199">
        <f>SUM(G67:G72)</f>
        <v>636.56252399999994</v>
      </c>
      <c r="H73" s="1197"/>
      <c r="I73" s="1197"/>
      <c r="J73" s="1197"/>
      <c r="K73" s="1197"/>
      <c r="L73" s="1197"/>
      <c r="M73" s="1197"/>
      <c r="N73" s="1197"/>
      <c r="O73" s="1197"/>
      <c r="P73" s="1197"/>
      <c r="Q73" s="1197"/>
      <c r="R73" s="1197"/>
      <c r="S73" s="1197"/>
      <c r="T73" s="1197"/>
      <c r="U73" s="1197"/>
      <c r="V73" s="1197"/>
    </row>
    <row r="74" spans="1:22" x14ac:dyDescent="0.3">
      <c r="A74" s="1197"/>
      <c r="B74" s="1197"/>
      <c r="C74" s="1197"/>
      <c r="D74" s="1197"/>
      <c r="E74" s="1197"/>
      <c r="F74" s="1197"/>
      <c r="G74" s="1197"/>
      <c r="H74" s="1197"/>
      <c r="I74" s="1197"/>
      <c r="J74" s="1197"/>
      <c r="K74" s="1197"/>
      <c r="L74" s="1197"/>
      <c r="M74" s="1197"/>
      <c r="N74" s="1197"/>
      <c r="O74" s="1197"/>
      <c r="P74" s="1197"/>
      <c r="Q74" s="1197"/>
      <c r="R74" s="1197"/>
      <c r="S74" s="1197"/>
      <c r="T74" s="1197"/>
      <c r="U74" s="1197"/>
      <c r="V74" s="1197"/>
    </row>
    <row r="75" spans="1:22" x14ac:dyDescent="0.3">
      <c r="A75" s="1428" t="s">
        <v>1963</v>
      </c>
      <c r="B75" s="1428"/>
      <c r="C75" s="1428"/>
      <c r="D75" s="1428"/>
      <c r="E75" s="1197"/>
      <c r="F75" s="1197"/>
      <c r="G75" s="1197"/>
      <c r="H75" s="1197"/>
      <c r="I75" s="1197"/>
      <c r="J75" s="1197"/>
      <c r="K75" s="1197"/>
      <c r="L75" s="1197"/>
      <c r="M75" s="1197"/>
      <c r="N75" s="1197"/>
      <c r="O75" s="1197"/>
      <c r="P75" s="1197"/>
      <c r="Q75" s="1197"/>
      <c r="R75" s="1197"/>
      <c r="S75" s="1197"/>
      <c r="T75" s="1197"/>
      <c r="U75" s="1197"/>
      <c r="V75" s="1197"/>
    </row>
    <row r="76" spans="1:22" x14ac:dyDescent="0.3">
      <c r="A76" s="1421" t="s">
        <v>1912</v>
      </c>
      <c r="B76" s="1422" t="s">
        <v>1964</v>
      </c>
      <c r="C76" s="1422"/>
      <c r="D76" s="1422"/>
      <c r="E76" s="1197"/>
      <c r="F76" s="1197"/>
      <c r="G76" s="1197"/>
      <c r="H76" s="1197"/>
      <c r="I76" s="1197"/>
      <c r="J76" s="1197"/>
      <c r="K76" s="1197"/>
      <c r="L76" s="1197"/>
      <c r="M76" s="1197"/>
      <c r="N76" s="1197"/>
      <c r="O76" s="1197"/>
      <c r="P76" s="1197"/>
      <c r="Q76" s="1197"/>
      <c r="R76" s="1197"/>
      <c r="S76" s="1197"/>
      <c r="T76" s="1197"/>
      <c r="U76" s="1197"/>
      <c r="V76" s="1197"/>
    </row>
    <row r="77" spans="1:22" x14ac:dyDescent="0.3">
      <c r="A77" s="1421"/>
      <c r="B77" s="1422" t="s">
        <v>1931</v>
      </c>
      <c r="C77" s="1422"/>
      <c r="D77" s="1422"/>
      <c r="E77" s="1197"/>
      <c r="F77" s="1197"/>
      <c r="G77" s="1197"/>
      <c r="H77" s="1197"/>
      <c r="I77" s="1197"/>
      <c r="J77" s="1197"/>
      <c r="K77" s="1197"/>
      <c r="L77" s="1197"/>
      <c r="M77" s="1197"/>
      <c r="N77" s="1197"/>
      <c r="O77" s="1197"/>
      <c r="P77" s="1197"/>
      <c r="Q77" s="1197"/>
      <c r="R77" s="1197"/>
      <c r="S77" s="1197"/>
      <c r="T77" s="1197"/>
      <c r="U77" s="1197"/>
      <c r="V77" s="1197"/>
    </row>
    <row r="78" spans="1:22" x14ac:dyDescent="0.3">
      <c r="A78" s="1201" t="s">
        <v>2152</v>
      </c>
      <c r="B78" s="1427">
        <v>400</v>
      </c>
      <c r="C78" s="1427"/>
      <c r="D78" s="1427"/>
      <c r="E78" s="1197"/>
      <c r="F78" s="1197"/>
      <c r="G78" s="1197"/>
      <c r="H78" s="1197"/>
      <c r="I78" s="1197"/>
      <c r="J78" s="1197"/>
      <c r="K78" s="1197"/>
      <c r="L78" s="1197"/>
      <c r="M78" s="1197"/>
      <c r="N78" s="1197"/>
      <c r="O78" s="1197"/>
      <c r="P78" s="1197"/>
      <c r="Q78" s="1197"/>
      <c r="R78" s="1197"/>
      <c r="S78" s="1197"/>
      <c r="T78" s="1197"/>
      <c r="U78" s="1197"/>
      <c r="V78" s="1197"/>
    </row>
    <row r="79" spans="1:22" x14ac:dyDescent="0.3">
      <c r="A79" s="1201" t="s">
        <v>2153</v>
      </c>
      <c r="B79" s="1427">
        <v>300</v>
      </c>
      <c r="C79" s="1427"/>
      <c r="D79" s="1427"/>
      <c r="E79" s="1197"/>
      <c r="F79" s="1197"/>
      <c r="G79" s="1197"/>
      <c r="H79" s="1197"/>
      <c r="I79" s="1197"/>
      <c r="J79" s="1197"/>
      <c r="K79" s="1197"/>
      <c r="L79" s="1197"/>
      <c r="M79" s="1197"/>
      <c r="N79" s="1197"/>
      <c r="O79" s="1197"/>
      <c r="P79" s="1197"/>
      <c r="Q79" s="1197"/>
      <c r="R79" s="1197"/>
      <c r="S79" s="1197"/>
      <c r="T79" s="1197"/>
      <c r="U79" s="1197"/>
      <c r="V79" s="1197"/>
    </row>
    <row r="80" spans="1:22" x14ac:dyDescent="0.3">
      <c r="A80" s="1204" t="s">
        <v>2154</v>
      </c>
      <c r="B80" s="1427">
        <v>300</v>
      </c>
      <c r="C80" s="1427"/>
      <c r="D80" s="1427"/>
      <c r="E80" s="1197"/>
      <c r="F80" s="1197"/>
      <c r="G80" s="1197"/>
      <c r="H80" s="1197"/>
      <c r="I80" s="1197"/>
      <c r="J80" s="1197"/>
      <c r="K80" s="1197"/>
      <c r="L80" s="1197"/>
      <c r="M80" s="1197"/>
      <c r="N80" s="1197"/>
      <c r="O80" s="1197"/>
      <c r="P80" s="1197"/>
      <c r="Q80" s="1197"/>
      <c r="R80" s="1197"/>
      <c r="S80" s="1197"/>
      <c r="T80" s="1197"/>
      <c r="U80" s="1197"/>
      <c r="V80" s="1197"/>
    </row>
    <row r="81" spans="1:22" x14ac:dyDescent="0.3">
      <c r="A81" s="1204" t="s">
        <v>2155</v>
      </c>
      <c r="B81" s="1427">
        <v>200</v>
      </c>
      <c r="C81" s="1427"/>
      <c r="D81" s="1427"/>
      <c r="E81" s="1197"/>
      <c r="F81" s="1197"/>
      <c r="G81" s="1197"/>
      <c r="H81" s="1197"/>
      <c r="I81" s="1197"/>
      <c r="J81" s="1197"/>
      <c r="K81" s="1197"/>
      <c r="L81" s="1197"/>
      <c r="M81" s="1197"/>
      <c r="N81" s="1197"/>
      <c r="O81" s="1197"/>
      <c r="P81" s="1197"/>
      <c r="Q81" s="1197"/>
      <c r="R81" s="1197"/>
      <c r="S81" s="1197"/>
      <c r="T81" s="1197"/>
      <c r="U81" s="1197"/>
      <c r="V81" s="1197"/>
    </row>
    <row r="82" spans="1:22" x14ac:dyDescent="0.3">
      <c r="A82" s="1205" t="s">
        <v>2156</v>
      </c>
      <c r="B82" s="1427">
        <v>400</v>
      </c>
      <c r="C82" s="1427"/>
      <c r="D82" s="1427"/>
      <c r="E82" s="1197"/>
      <c r="F82" s="1197"/>
      <c r="G82" s="1197"/>
      <c r="H82" s="1197"/>
      <c r="I82" s="1197"/>
      <c r="J82" s="1197"/>
      <c r="K82" s="1197"/>
      <c r="L82" s="1197"/>
      <c r="M82" s="1197"/>
      <c r="N82" s="1197"/>
      <c r="O82" s="1197"/>
      <c r="P82" s="1197"/>
      <c r="Q82" s="1197"/>
      <c r="R82" s="1197"/>
      <c r="S82" s="1197"/>
      <c r="T82" s="1197"/>
      <c r="U82" s="1197"/>
      <c r="V82" s="1197"/>
    </row>
    <row r="83" spans="1:22" x14ac:dyDescent="0.3">
      <c r="A83" s="1206" t="s">
        <v>2157</v>
      </c>
      <c r="B83" s="1427">
        <v>200</v>
      </c>
      <c r="C83" s="1427"/>
      <c r="D83" s="1427"/>
      <c r="E83" s="1197"/>
      <c r="F83" s="1197"/>
      <c r="G83" s="1197"/>
      <c r="H83" s="1197"/>
      <c r="I83" s="1197"/>
      <c r="J83" s="1197"/>
      <c r="K83" s="1197"/>
      <c r="L83" s="1197"/>
      <c r="M83" s="1197"/>
      <c r="N83" s="1197"/>
      <c r="O83" s="1197"/>
      <c r="P83" s="1197"/>
      <c r="Q83" s="1197"/>
      <c r="R83" s="1197"/>
      <c r="S83" s="1197"/>
      <c r="T83" s="1197"/>
      <c r="U83" s="1197"/>
      <c r="V83" s="1197"/>
    </row>
    <row r="84" spans="1:22" x14ac:dyDescent="0.3">
      <c r="A84" s="1199" t="s">
        <v>1743</v>
      </c>
      <c r="B84" s="1422">
        <f>SUM(B78:D83)</f>
        <v>1800</v>
      </c>
      <c r="C84" s="1422"/>
      <c r="D84" s="1422"/>
      <c r="E84" s="1197"/>
      <c r="F84" s="1197"/>
      <c r="G84" s="1197"/>
      <c r="H84" s="1197"/>
      <c r="I84" s="1197"/>
      <c r="J84" s="1197"/>
      <c r="K84" s="1197"/>
      <c r="L84" s="1197"/>
      <c r="M84" s="1197"/>
      <c r="N84" s="1197"/>
      <c r="O84" s="1197"/>
      <c r="P84" s="1197"/>
      <c r="Q84" s="1197"/>
      <c r="R84" s="1197"/>
      <c r="S84" s="1197"/>
      <c r="T84" s="1197"/>
      <c r="U84" s="1197"/>
      <c r="V84" s="1197"/>
    </row>
    <row r="85" spans="1:22" x14ac:dyDescent="0.3">
      <c r="A85" s="1197"/>
      <c r="B85" s="1197"/>
      <c r="C85" s="1197"/>
      <c r="D85" s="1197"/>
      <c r="E85" s="1197"/>
      <c r="F85" s="1197"/>
      <c r="G85" s="1197"/>
      <c r="H85" s="1197"/>
      <c r="I85" s="1197"/>
      <c r="J85" s="1197"/>
      <c r="K85" s="1197"/>
      <c r="L85" s="1197"/>
      <c r="M85" s="1197"/>
      <c r="N85" s="1197"/>
      <c r="O85" s="1197"/>
      <c r="P85" s="1197"/>
      <c r="Q85" s="1197"/>
      <c r="R85" s="1197"/>
      <c r="S85" s="1197"/>
      <c r="T85" s="1197"/>
      <c r="U85" s="1197"/>
      <c r="V85" s="1197"/>
    </row>
    <row r="86" spans="1:22" x14ac:dyDescent="0.3">
      <c r="A86" s="1197"/>
      <c r="B86" s="1197"/>
      <c r="C86" s="1197"/>
      <c r="D86" s="1197"/>
      <c r="E86" s="1197"/>
      <c r="F86" s="1197"/>
      <c r="G86" s="1197"/>
      <c r="H86" s="1197"/>
      <c r="I86" s="1197"/>
      <c r="J86" s="1197"/>
      <c r="K86" s="1197"/>
      <c r="L86" s="1197"/>
      <c r="M86" s="1197"/>
      <c r="N86" s="1197"/>
      <c r="O86" s="1197"/>
      <c r="P86" s="1197"/>
      <c r="Q86" s="1197"/>
      <c r="R86" s="1197"/>
      <c r="S86" s="1197"/>
      <c r="T86" s="1197"/>
      <c r="U86" s="1197"/>
      <c r="V86" s="1197"/>
    </row>
    <row r="87" spans="1:22" x14ac:dyDescent="0.3">
      <c r="A87" s="1428" t="s">
        <v>1965</v>
      </c>
      <c r="B87" s="1428"/>
      <c r="C87" s="1428"/>
      <c r="D87" s="1428"/>
      <c r="E87" s="1428"/>
      <c r="F87" s="1428"/>
      <c r="G87" s="1197"/>
      <c r="H87" s="1197"/>
      <c r="I87" s="1197"/>
      <c r="J87" s="1197"/>
      <c r="K87" s="1197"/>
      <c r="L87" s="1197"/>
      <c r="M87" s="1197"/>
      <c r="N87" s="1197"/>
      <c r="O87" s="1197"/>
      <c r="P87" s="1197"/>
      <c r="Q87" s="1197"/>
      <c r="R87" s="1197"/>
      <c r="S87" s="1197"/>
      <c r="T87" s="1197"/>
      <c r="U87" s="1197"/>
      <c r="V87" s="1197"/>
    </row>
    <row r="88" spans="1:22" x14ac:dyDescent="0.3">
      <c r="A88" s="1422" t="s">
        <v>1912</v>
      </c>
      <c r="B88" s="1422" t="s">
        <v>1966</v>
      </c>
      <c r="C88" s="1422"/>
      <c r="D88" s="1422"/>
      <c r="E88" s="1422"/>
      <c r="F88" s="1422"/>
      <c r="G88" s="1197"/>
      <c r="H88" s="1197"/>
      <c r="I88" s="1197"/>
      <c r="J88" s="1197"/>
      <c r="K88" s="1197"/>
      <c r="L88" s="1197"/>
      <c r="M88" s="1197"/>
      <c r="N88" s="1197"/>
      <c r="O88" s="1197"/>
      <c r="P88" s="1197"/>
      <c r="Q88" s="1197"/>
      <c r="R88" s="1197"/>
      <c r="S88" s="1197"/>
      <c r="T88" s="1197"/>
      <c r="U88" s="1197"/>
      <c r="V88" s="1197"/>
    </row>
    <row r="89" spans="1:22" x14ac:dyDescent="0.3">
      <c r="A89" s="1422"/>
      <c r="B89" s="1199" t="s">
        <v>1918</v>
      </c>
      <c r="C89" s="1199" t="s">
        <v>1967</v>
      </c>
      <c r="D89" s="1199" t="s">
        <v>1955</v>
      </c>
      <c r="E89" s="1199" t="s">
        <v>1960</v>
      </c>
      <c r="F89" s="1199" t="s">
        <v>1968</v>
      </c>
      <c r="G89" s="1197"/>
      <c r="H89" s="1197"/>
      <c r="I89" s="1197"/>
      <c r="J89" s="1197"/>
      <c r="K89" s="1197"/>
      <c r="L89" s="1197"/>
      <c r="M89" s="1197"/>
      <c r="N89" s="1197"/>
      <c r="O89" s="1197"/>
      <c r="P89" s="1197"/>
      <c r="Q89" s="1197"/>
      <c r="R89" s="1197"/>
      <c r="S89" s="1197"/>
      <c r="T89" s="1197"/>
      <c r="U89" s="1197"/>
      <c r="V89" s="1197"/>
    </row>
    <row r="90" spans="1:22" x14ac:dyDescent="0.3">
      <c r="A90" s="1422"/>
      <c r="B90" s="1199" t="s">
        <v>1931</v>
      </c>
      <c r="C90" s="1199" t="s">
        <v>1931</v>
      </c>
      <c r="D90" s="1199" t="s">
        <v>1931</v>
      </c>
      <c r="E90" s="1199" t="s">
        <v>1931</v>
      </c>
      <c r="F90" s="1199" t="s">
        <v>1931</v>
      </c>
      <c r="G90" s="1197"/>
      <c r="H90" s="1197"/>
      <c r="I90" s="1197"/>
      <c r="J90" s="1197"/>
      <c r="K90" s="1197"/>
      <c r="L90" s="1197"/>
      <c r="M90" s="1197"/>
      <c r="N90" s="1197"/>
      <c r="O90" s="1197"/>
      <c r="P90" s="1197"/>
      <c r="Q90" s="1197"/>
      <c r="R90" s="1197"/>
      <c r="S90" s="1197"/>
      <c r="T90" s="1197"/>
      <c r="U90" s="1197"/>
      <c r="V90" s="1197"/>
    </row>
    <row r="91" spans="1:22" x14ac:dyDescent="0.3">
      <c r="A91" s="1201" t="s">
        <v>2152</v>
      </c>
      <c r="B91" s="1202">
        <f t="shared" ref="B91:B97" si="11">P7</f>
        <v>41.825269999999996</v>
      </c>
      <c r="C91" s="1202">
        <f t="shared" ref="C91:C97" si="12">E43</f>
        <v>2415</v>
      </c>
      <c r="D91" s="1202">
        <f t="shared" ref="D91:D97" si="13">J55</f>
        <v>2.8800000000000003</v>
      </c>
      <c r="E91" s="1202">
        <f t="shared" ref="E91:E97" si="14">G67</f>
        <v>119.15049999999999</v>
      </c>
      <c r="F91" s="1202">
        <f t="shared" ref="F91:F97" si="15">B78</f>
        <v>400</v>
      </c>
      <c r="G91" s="1197"/>
      <c r="H91" s="1197"/>
      <c r="I91" s="1197"/>
      <c r="J91" s="1197"/>
      <c r="K91" s="1197"/>
      <c r="L91" s="1197"/>
      <c r="M91" s="1197"/>
      <c r="N91" s="1197"/>
      <c r="O91" s="1197"/>
      <c r="P91" s="1197"/>
      <c r="Q91" s="1197"/>
      <c r="R91" s="1197"/>
      <c r="S91" s="1197"/>
      <c r="T91" s="1197"/>
      <c r="U91" s="1197"/>
      <c r="V91" s="1197"/>
    </row>
    <row r="92" spans="1:22" x14ac:dyDescent="0.3">
      <c r="A92" s="1201" t="s">
        <v>2153</v>
      </c>
      <c r="B92" s="1202">
        <f t="shared" si="11"/>
        <v>53.487327999999991</v>
      </c>
      <c r="C92" s="1202">
        <f t="shared" si="12"/>
        <v>234</v>
      </c>
      <c r="D92" s="1202">
        <f t="shared" si="13"/>
        <v>1.4400000000000002</v>
      </c>
      <c r="E92" s="1202">
        <f t="shared" si="14"/>
        <v>141.16479999999999</v>
      </c>
      <c r="F92" s="1202">
        <f t="shared" si="15"/>
        <v>300</v>
      </c>
      <c r="G92" s="1197"/>
      <c r="H92" s="1197"/>
      <c r="I92" s="1197"/>
      <c r="J92" s="1197"/>
      <c r="K92" s="1197"/>
      <c r="L92" s="1197"/>
      <c r="M92" s="1197"/>
      <c r="N92" s="1197"/>
      <c r="O92" s="1197"/>
      <c r="P92" s="1197"/>
      <c r="Q92" s="1197"/>
      <c r="R92" s="1197"/>
      <c r="S92" s="1197"/>
      <c r="T92" s="1197"/>
      <c r="U92" s="1197"/>
      <c r="V92" s="1197"/>
    </row>
    <row r="93" spans="1:22" x14ac:dyDescent="0.3">
      <c r="A93" s="1204" t="s">
        <v>2154</v>
      </c>
      <c r="B93" s="1202">
        <f t="shared" si="11"/>
        <v>32.630650160000002</v>
      </c>
      <c r="C93" s="1202">
        <f t="shared" si="12"/>
        <v>444</v>
      </c>
      <c r="D93" s="1202">
        <f t="shared" si="13"/>
        <v>1.4400000000000002</v>
      </c>
      <c r="E93" s="1202">
        <f t="shared" si="14"/>
        <v>64.826384000000004</v>
      </c>
      <c r="F93" s="1202">
        <f t="shared" si="15"/>
        <v>300</v>
      </c>
      <c r="G93" s="1197"/>
      <c r="H93" s="1197"/>
      <c r="I93" s="1197"/>
      <c r="J93" s="1197"/>
      <c r="K93" s="1197"/>
      <c r="L93" s="1197"/>
      <c r="M93" s="1197"/>
      <c r="N93" s="1197"/>
      <c r="O93" s="1197"/>
      <c r="P93" s="1197"/>
      <c r="Q93" s="1197"/>
      <c r="R93" s="1197"/>
      <c r="S93" s="1197"/>
      <c r="T93" s="1197"/>
      <c r="U93" s="1197"/>
      <c r="V93" s="1197"/>
    </row>
    <row r="94" spans="1:22" x14ac:dyDescent="0.3">
      <c r="A94" s="1204" t="s">
        <v>2155</v>
      </c>
      <c r="B94" s="1202">
        <f t="shared" si="11"/>
        <v>43.687488000000002</v>
      </c>
      <c r="C94" s="1202">
        <f t="shared" si="12"/>
        <v>234</v>
      </c>
      <c r="D94" s="1202">
        <f t="shared" si="13"/>
        <v>1.4400000000000002</v>
      </c>
      <c r="E94" s="1202">
        <f t="shared" si="14"/>
        <v>103.56480000000001</v>
      </c>
      <c r="F94" s="1202">
        <f t="shared" si="15"/>
        <v>200</v>
      </c>
      <c r="G94" s="1197"/>
      <c r="H94" s="1197"/>
      <c r="I94" s="1197"/>
      <c r="J94" s="1197"/>
      <c r="K94" s="1197"/>
      <c r="L94" s="1197"/>
      <c r="M94" s="1197"/>
      <c r="N94" s="1197"/>
      <c r="O94" s="1197"/>
      <c r="P94" s="1197"/>
      <c r="Q94" s="1197"/>
      <c r="R94" s="1197"/>
      <c r="S94" s="1197"/>
      <c r="T94" s="1197"/>
      <c r="U94" s="1197"/>
      <c r="V94" s="1197"/>
    </row>
    <row r="95" spans="1:22" x14ac:dyDescent="0.3">
      <c r="A95" s="1205" t="s">
        <v>2156</v>
      </c>
      <c r="B95" s="1202">
        <f t="shared" si="11"/>
        <v>39.536495840000001</v>
      </c>
      <c r="C95" s="1202">
        <f t="shared" si="12"/>
        <v>234</v>
      </c>
      <c r="D95" s="1202">
        <f t="shared" si="13"/>
        <v>1.4400000000000002</v>
      </c>
      <c r="E95" s="1202">
        <f t="shared" si="14"/>
        <v>110.44852</v>
      </c>
      <c r="F95" s="1202">
        <f t="shared" si="15"/>
        <v>400</v>
      </c>
      <c r="G95" s="1197"/>
      <c r="H95" s="1197"/>
      <c r="I95" s="1197"/>
      <c r="J95" s="1197"/>
      <c r="K95" s="1197"/>
      <c r="L95" s="1197"/>
      <c r="M95" s="1197"/>
      <c r="N95" s="1197"/>
      <c r="O95" s="1197"/>
      <c r="P95" s="1197"/>
      <c r="Q95" s="1197"/>
      <c r="R95" s="1197"/>
      <c r="S95" s="1197"/>
      <c r="T95" s="1197"/>
      <c r="U95" s="1197"/>
      <c r="V95" s="1197"/>
    </row>
    <row r="96" spans="1:22" x14ac:dyDescent="0.3">
      <c r="A96" s="1206" t="s">
        <v>2157</v>
      </c>
      <c r="B96" s="1202">
        <f t="shared" si="11"/>
        <v>42.374408799999998</v>
      </c>
      <c r="C96" s="1202">
        <f t="shared" si="12"/>
        <v>117</v>
      </c>
      <c r="D96" s="1202">
        <f t="shared" si="13"/>
        <v>1.4400000000000002</v>
      </c>
      <c r="E96" s="1202">
        <f t="shared" si="14"/>
        <v>97.407519999999991</v>
      </c>
      <c r="F96" s="1202">
        <f t="shared" si="15"/>
        <v>200</v>
      </c>
      <c r="G96" s="1197"/>
      <c r="H96" s="1197"/>
      <c r="I96" s="1197"/>
      <c r="J96" s="1197"/>
      <c r="K96" s="1197"/>
      <c r="L96" s="1197"/>
      <c r="M96" s="1197"/>
      <c r="N96" s="1197"/>
      <c r="O96" s="1197"/>
      <c r="P96" s="1197"/>
      <c r="Q96" s="1197"/>
      <c r="R96" s="1197"/>
      <c r="S96" s="1197"/>
      <c r="T96" s="1197"/>
      <c r="U96" s="1197"/>
      <c r="V96" s="1197"/>
    </row>
    <row r="97" spans="1:22" x14ac:dyDescent="0.3">
      <c r="A97" s="1199" t="s">
        <v>1969</v>
      </c>
      <c r="B97" s="1199">
        <f t="shared" si="11"/>
        <v>253.54164079999995</v>
      </c>
      <c r="C97" s="1199">
        <f t="shared" si="12"/>
        <v>3678</v>
      </c>
      <c r="D97" s="1199">
        <f t="shared" si="13"/>
        <v>10.08</v>
      </c>
      <c r="E97" s="1199">
        <f t="shared" si="14"/>
        <v>636.56252399999994</v>
      </c>
      <c r="F97" s="1199">
        <f t="shared" si="15"/>
        <v>1800</v>
      </c>
      <c r="G97" s="1197"/>
      <c r="H97" s="1197"/>
      <c r="I97" s="1197"/>
      <c r="J97" s="1197"/>
      <c r="K97" s="1197"/>
      <c r="L97" s="1197"/>
      <c r="M97" s="1197"/>
      <c r="N97" s="1197"/>
      <c r="O97" s="1197"/>
      <c r="P97" s="1197"/>
      <c r="Q97" s="1197"/>
      <c r="R97" s="1197"/>
      <c r="S97" s="1197"/>
      <c r="T97" s="1197"/>
      <c r="U97" s="1197"/>
      <c r="V97" s="1197"/>
    </row>
    <row r="98" spans="1:22" x14ac:dyDescent="0.3">
      <c r="A98" s="1217" t="s">
        <v>1969</v>
      </c>
      <c r="B98" s="1429">
        <f>SUM(B97:F97)</f>
        <v>6378.1841648</v>
      </c>
      <c r="C98" s="1429"/>
      <c r="D98" s="1429"/>
      <c r="E98" s="1429"/>
      <c r="F98" s="1429"/>
      <c r="G98" s="1197"/>
      <c r="H98" s="1197"/>
      <c r="I98" s="1197"/>
      <c r="J98" s="1197"/>
      <c r="K98" s="1197"/>
      <c r="L98" s="1197"/>
      <c r="M98" s="1197"/>
      <c r="N98" s="1197"/>
      <c r="O98" s="1197"/>
      <c r="P98" s="1197"/>
      <c r="Q98" s="1197"/>
      <c r="R98" s="1197"/>
      <c r="S98" s="1197"/>
      <c r="T98" s="1197"/>
      <c r="U98" s="1197"/>
      <c r="V98" s="1197"/>
    </row>
    <row r="99" spans="1:22" x14ac:dyDescent="0.3">
      <c r="A99" s="1197"/>
      <c r="B99" s="1197"/>
      <c r="C99" s="1197"/>
      <c r="D99" s="1197"/>
      <c r="E99" s="1197"/>
      <c r="F99" s="1197"/>
      <c r="G99" s="1197"/>
      <c r="H99" s="1197"/>
      <c r="I99" s="1197"/>
      <c r="J99" s="1197"/>
      <c r="K99" s="1197"/>
      <c r="L99" s="1197"/>
      <c r="M99" s="1197"/>
      <c r="N99" s="1197"/>
      <c r="O99" s="1197"/>
      <c r="P99" s="1197"/>
      <c r="Q99" s="1197"/>
      <c r="R99" s="1197"/>
      <c r="S99" s="1197"/>
      <c r="T99" s="1197"/>
      <c r="U99" s="1197"/>
      <c r="V99" s="1197"/>
    </row>
    <row r="100" spans="1:22" x14ac:dyDescent="0.3">
      <c r="A100" s="1419" t="s">
        <v>1970</v>
      </c>
      <c r="B100" s="1419"/>
      <c r="C100" s="1197"/>
      <c r="D100" s="1197"/>
      <c r="E100" s="1197"/>
      <c r="F100" s="1197"/>
      <c r="G100" s="1197"/>
      <c r="H100" s="1197"/>
      <c r="I100" s="1197"/>
      <c r="J100" s="1197"/>
      <c r="K100" s="1197"/>
      <c r="L100" s="1197"/>
      <c r="M100" s="1197"/>
      <c r="N100" s="1197"/>
      <c r="O100" s="1197"/>
      <c r="P100" s="1197"/>
      <c r="Q100" s="1197"/>
      <c r="R100" s="1197"/>
      <c r="S100" s="1197"/>
      <c r="T100" s="1197"/>
      <c r="U100" s="1197"/>
      <c r="V100" s="1197"/>
    </row>
    <row r="101" spans="1:22" x14ac:dyDescent="0.3">
      <c r="A101" s="1197"/>
      <c r="B101" s="1197"/>
      <c r="C101" s="1197"/>
      <c r="D101" s="1197"/>
      <c r="E101" s="1197"/>
      <c r="F101" s="1197"/>
      <c r="G101" s="1197"/>
      <c r="H101" s="1197"/>
      <c r="I101" s="1197"/>
      <c r="J101" s="1197"/>
      <c r="K101" s="1197"/>
      <c r="L101" s="1197"/>
      <c r="M101" s="1197"/>
      <c r="N101" s="1197"/>
      <c r="O101" s="1197"/>
      <c r="P101" s="1197"/>
      <c r="Q101" s="1197"/>
      <c r="R101" s="1197"/>
      <c r="S101" s="1197"/>
      <c r="T101" s="1197"/>
      <c r="U101" s="1197"/>
      <c r="V101" s="1197"/>
    </row>
    <row r="102" spans="1:22" x14ac:dyDescent="0.3">
      <c r="A102" s="1422" t="s">
        <v>1912</v>
      </c>
      <c r="B102" s="1422" t="s">
        <v>1966</v>
      </c>
      <c r="C102" s="1422"/>
      <c r="D102" s="1422"/>
      <c r="E102" s="1422"/>
      <c r="F102" s="1422"/>
      <c r="G102" s="1422" t="s">
        <v>1969</v>
      </c>
      <c r="H102" s="1422" t="s">
        <v>1971</v>
      </c>
      <c r="I102" s="1422" t="s">
        <v>1971</v>
      </c>
      <c r="J102" s="1422" t="s">
        <v>1971</v>
      </c>
      <c r="K102" s="1199" t="s">
        <v>2163</v>
      </c>
      <c r="L102" s="1211" t="s">
        <v>2164</v>
      </c>
      <c r="M102" s="1216"/>
      <c r="N102" s="1216"/>
      <c r="O102" s="1197"/>
      <c r="P102" s="1197"/>
      <c r="Q102" s="1197"/>
      <c r="R102" s="1197"/>
      <c r="S102" s="1197"/>
      <c r="T102" s="1197"/>
      <c r="U102" s="1197"/>
      <c r="V102" s="1197"/>
    </row>
    <row r="103" spans="1:22" x14ac:dyDescent="0.3">
      <c r="A103" s="1422"/>
      <c r="B103" s="1199" t="s">
        <v>1918</v>
      </c>
      <c r="C103" s="1199" t="s">
        <v>1967</v>
      </c>
      <c r="D103" s="1199" t="s">
        <v>1955</v>
      </c>
      <c r="E103" s="1199" t="s">
        <v>1960</v>
      </c>
      <c r="F103" s="1199" t="s">
        <v>1968</v>
      </c>
      <c r="G103" s="1422"/>
      <c r="H103" s="1422"/>
      <c r="I103" s="1422"/>
      <c r="J103" s="1422"/>
      <c r="K103" s="1199" t="s">
        <v>2165</v>
      </c>
      <c r="L103" s="1214" t="s">
        <v>2166</v>
      </c>
      <c r="M103" s="1216"/>
      <c r="N103" s="1216"/>
      <c r="O103" s="1197"/>
      <c r="P103" s="1197">
        <v>1.2</v>
      </c>
      <c r="Q103" s="1197" t="s">
        <v>1996</v>
      </c>
      <c r="R103" s="1197"/>
      <c r="S103" s="1197"/>
      <c r="T103" s="1197"/>
      <c r="U103" s="1197"/>
      <c r="V103" s="1197"/>
    </row>
    <row r="104" spans="1:22" x14ac:dyDescent="0.3">
      <c r="A104" s="1422"/>
      <c r="B104" s="1199" t="s">
        <v>1931</v>
      </c>
      <c r="C104" s="1199" t="s">
        <v>1931</v>
      </c>
      <c r="D104" s="1199" t="s">
        <v>1931</v>
      </c>
      <c r="E104" s="1199" t="s">
        <v>1931</v>
      </c>
      <c r="F104" s="1199" t="s">
        <v>1931</v>
      </c>
      <c r="G104" s="1199" t="s">
        <v>1931</v>
      </c>
      <c r="H104" s="1199" t="s">
        <v>1975</v>
      </c>
      <c r="I104" s="1199" t="s">
        <v>1976</v>
      </c>
      <c r="J104" s="1199" t="s">
        <v>1977</v>
      </c>
      <c r="K104" s="1199" t="s">
        <v>28</v>
      </c>
      <c r="L104" s="1199" t="s">
        <v>28</v>
      </c>
      <c r="M104" s="1197"/>
      <c r="N104" s="1197"/>
      <c r="O104" s="1208" t="s">
        <v>1997</v>
      </c>
      <c r="P104" s="1197">
        <v>1.0249999999999999</v>
      </c>
      <c r="Q104" s="1197" t="s">
        <v>1998</v>
      </c>
      <c r="R104" s="1197"/>
      <c r="S104" s="1197"/>
      <c r="T104" s="1197"/>
      <c r="U104" s="1197"/>
      <c r="V104" s="1197"/>
    </row>
    <row r="105" spans="1:22" x14ac:dyDescent="0.3">
      <c r="A105" s="1201" t="s">
        <v>2152</v>
      </c>
      <c r="B105" s="1202">
        <f t="shared" ref="B105:F110" si="16">B91</f>
        <v>41.825269999999996</v>
      </c>
      <c r="C105" s="1202">
        <f t="shared" si="16"/>
        <v>2415</v>
      </c>
      <c r="D105" s="1202">
        <f t="shared" si="16"/>
        <v>2.8800000000000003</v>
      </c>
      <c r="E105" s="1202">
        <f t="shared" si="16"/>
        <v>119.15049999999999</v>
      </c>
      <c r="F105" s="1202">
        <f t="shared" si="16"/>
        <v>400</v>
      </c>
      <c r="G105" s="1202">
        <f t="shared" ref="G105:G110" si="17">SUM(B105:F105)</f>
        <v>2978.8557700000001</v>
      </c>
      <c r="H105" s="1202">
        <f t="shared" ref="H105:H111" si="18">G105/($P$103*$P$104*$P$105)</f>
        <v>302.72924491869924</v>
      </c>
      <c r="I105" s="1202">
        <f t="shared" ref="I105:I111" si="19">H105/3600</f>
        <v>8.4091456921860902E-2</v>
      </c>
      <c r="J105" s="1202">
        <f t="shared" ref="J105:J111" si="20">I105*1000</f>
        <v>84.091456921860896</v>
      </c>
      <c r="K105" s="1202" t="s">
        <v>2167</v>
      </c>
      <c r="L105" s="1202">
        <v>180</v>
      </c>
      <c r="M105" s="1197"/>
      <c r="N105" s="1197"/>
      <c r="O105" s="1208" t="s">
        <v>1999</v>
      </c>
      <c r="P105" s="1197">
        <v>8</v>
      </c>
      <c r="Q105" s="1197" t="s">
        <v>2000</v>
      </c>
      <c r="R105" s="1197"/>
      <c r="S105" s="1197"/>
      <c r="T105" s="1197"/>
      <c r="U105" s="1197"/>
      <c r="V105" s="1197"/>
    </row>
    <row r="106" spans="1:22" x14ac:dyDescent="0.3">
      <c r="A106" s="1201" t="s">
        <v>2153</v>
      </c>
      <c r="B106" s="1202">
        <f t="shared" si="16"/>
        <v>53.487327999999991</v>
      </c>
      <c r="C106" s="1202">
        <f t="shared" si="16"/>
        <v>234</v>
      </c>
      <c r="D106" s="1202">
        <f t="shared" si="16"/>
        <v>1.4400000000000002</v>
      </c>
      <c r="E106" s="1202">
        <f t="shared" si="16"/>
        <v>141.16479999999999</v>
      </c>
      <c r="F106" s="1202">
        <f t="shared" si="16"/>
        <v>300</v>
      </c>
      <c r="G106" s="1202">
        <f t="shared" si="17"/>
        <v>730.092128</v>
      </c>
      <c r="H106" s="1202">
        <f t="shared" si="18"/>
        <v>74.196354471544737</v>
      </c>
      <c r="I106" s="1202">
        <f t="shared" si="19"/>
        <v>2.0610098464317984E-2</v>
      </c>
      <c r="J106" s="1202">
        <f t="shared" si="20"/>
        <v>20.610098464317982</v>
      </c>
      <c r="K106" s="1202" t="s">
        <v>1978</v>
      </c>
      <c r="L106" s="1202">
        <v>100</v>
      </c>
      <c r="M106" s="1197"/>
      <c r="N106" s="1197"/>
      <c r="O106" s="1197"/>
      <c r="P106" s="1197"/>
      <c r="Q106" s="1197"/>
      <c r="R106" s="1197"/>
      <c r="S106" s="1197"/>
      <c r="T106" s="1197"/>
      <c r="U106" s="1197"/>
      <c r="V106" s="1197"/>
    </row>
    <row r="107" spans="1:22" x14ac:dyDescent="0.3">
      <c r="A107" s="1204" t="s">
        <v>2154</v>
      </c>
      <c r="B107" s="1202">
        <f t="shared" si="16"/>
        <v>32.630650160000002</v>
      </c>
      <c r="C107" s="1202">
        <f t="shared" si="16"/>
        <v>444</v>
      </c>
      <c r="D107" s="1202">
        <f t="shared" si="16"/>
        <v>1.4400000000000002</v>
      </c>
      <c r="E107" s="1202">
        <f t="shared" si="16"/>
        <v>64.826384000000004</v>
      </c>
      <c r="F107" s="1202">
        <f t="shared" si="16"/>
        <v>300</v>
      </c>
      <c r="G107" s="1202">
        <f t="shared" si="17"/>
        <v>842.89703415999998</v>
      </c>
      <c r="H107" s="1202">
        <f t="shared" si="18"/>
        <v>85.660267699187003</v>
      </c>
      <c r="I107" s="1202">
        <f t="shared" si="19"/>
        <v>2.3794518805329724E-2</v>
      </c>
      <c r="J107" s="1202">
        <f t="shared" si="20"/>
        <v>23.794518805329723</v>
      </c>
      <c r="K107" s="1202" t="s">
        <v>1978</v>
      </c>
      <c r="L107" s="1202">
        <v>80</v>
      </c>
      <c r="M107" s="1197"/>
      <c r="N107" s="1197"/>
      <c r="O107" s="1197"/>
      <c r="P107" s="1197"/>
      <c r="Q107" s="1197"/>
      <c r="R107" s="1197"/>
      <c r="S107" s="1197"/>
      <c r="T107" s="1197"/>
      <c r="U107" s="1197"/>
      <c r="V107" s="1197"/>
    </row>
    <row r="108" spans="1:22" x14ac:dyDescent="0.3">
      <c r="A108" s="1204" t="s">
        <v>2155</v>
      </c>
      <c r="B108" s="1202">
        <f t="shared" si="16"/>
        <v>43.687488000000002</v>
      </c>
      <c r="C108" s="1202">
        <f t="shared" si="16"/>
        <v>234</v>
      </c>
      <c r="D108" s="1202">
        <f t="shared" si="16"/>
        <v>1.4400000000000002</v>
      </c>
      <c r="E108" s="1202">
        <f t="shared" si="16"/>
        <v>103.56480000000001</v>
      </c>
      <c r="F108" s="1202">
        <f t="shared" si="16"/>
        <v>200</v>
      </c>
      <c r="G108" s="1202">
        <f t="shared" si="17"/>
        <v>582.69228799999996</v>
      </c>
      <c r="H108" s="1202">
        <f t="shared" si="18"/>
        <v>59.216695934959354</v>
      </c>
      <c r="I108" s="1202">
        <f t="shared" si="19"/>
        <v>1.6449082204155377E-2</v>
      </c>
      <c r="J108" s="1202">
        <f t="shared" si="20"/>
        <v>16.449082204155378</v>
      </c>
      <c r="K108" s="1202" t="s">
        <v>1978</v>
      </c>
      <c r="L108" s="1202">
        <v>100</v>
      </c>
      <c r="M108" s="1197"/>
      <c r="N108" s="1197"/>
      <c r="O108" s="1197"/>
      <c r="P108" s="1197"/>
      <c r="Q108" s="1197"/>
      <c r="R108" s="1197"/>
      <c r="S108" s="1197"/>
      <c r="T108" s="1197"/>
      <c r="U108" s="1197"/>
      <c r="V108" s="1197"/>
    </row>
    <row r="109" spans="1:22" x14ac:dyDescent="0.3">
      <c r="A109" s="1205" t="s">
        <v>2156</v>
      </c>
      <c r="B109" s="1202">
        <f t="shared" si="16"/>
        <v>39.536495840000001</v>
      </c>
      <c r="C109" s="1202">
        <f t="shared" si="16"/>
        <v>234</v>
      </c>
      <c r="D109" s="1202">
        <f t="shared" si="16"/>
        <v>1.4400000000000002</v>
      </c>
      <c r="E109" s="1202">
        <f t="shared" si="16"/>
        <v>110.44852</v>
      </c>
      <c r="F109" s="1202">
        <f t="shared" si="16"/>
        <v>400</v>
      </c>
      <c r="G109" s="1202">
        <f t="shared" si="17"/>
        <v>785.42501584000001</v>
      </c>
      <c r="H109" s="1202">
        <f t="shared" si="18"/>
        <v>79.819615430894331</v>
      </c>
      <c r="I109" s="1202">
        <f t="shared" si="19"/>
        <v>2.2172115397470646E-2</v>
      </c>
      <c r="J109" s="1202">
        <f t="shared" si="20"/>
        <v>22.172115397470645</v>
      </c>
      <c r="K109" s="1202" t="s">
        <v>1978</v>
      </c>
      <c r="L109" s="1202">
        <v>90</v>
      </c>
      <c r="M109" s="1197"/>
      <c r="N109" s="1197"/>
      <c r="O109" s="1197"/>
      <c r="P109" s="1197"/>
      <c r="Q109" s="1197"/>
      <c r="R109" s="1197"/>
      <c r="S109" s="1197"/>
      <c r="T109" s="1197"/>
      <c r="U109" s="1197"/>
      <c r="V109" s="1197"/>
    </row>
    <row r="110" spans="1:22" x14ac:dyDescent="0.3">
      <c r="A110" s="1206" t="s">
        <v>2157</v>
      </c>
      <c r="B110" s="1202">
        <f t="shared" si="16"/>
        <v>42.374408799999998</v>
      </c>
      <c r="C110" s="1202">
        <f t="shared" si="16"/>
        <v>117</v>
      </c>
      <c r="D110" s="1202">
        <f t="shared" si="16"/>
        <v>1.4400000000000002</v>
      </c>
      <c r="E110" s="1202">
        <f t="shared" si="16"/>
        <v>97.407519999999991</v>
      </c>
      <c r="F110" s="1202">
        <f t="shared" si="16"/>
        <v>200</v>
      </c>
      <c r="G110" s="1202">
        <f t="shared" si="17"/>
        <v>458.2219288</v>
      </c>
      <c r="H110" s="1202">
        <f t="shared" si="18"/>
        <v>46.567269186991879</v>
      </c>
      <c r="I110" s="1202">
        <f t="shared" si="19"/>
        <v>1.2935352551942189E-2</v>
      </c>
      <c r="J110" s="1202">
        <f t="shared" si="20"/>
        <v>12.935352551942188</v>
      </c>
      <c r="K110" s="1202" t="s">
        <v>1978</v>
      </c>
      <c r="L110" s="1202">
        <v>100</v>
      </c>
      <c r="M110" s="1197"/>
      <c r="N110" s="1197"/>
      <c r="O110" s="1197"/>
      <c r="P110" s="1197"/>
      <c r="Q110" s="1197"/>
      <c r="R110" s="1197"/>
      <c r="S110" s="1197"/>
      <c r="T110" s="1197"/>
      <c r="U110" s="1197"/>
      <c r="V110" s="1197"/>
    </row>
    <row r="111" spans="1:22" x14ac:dyDescent="0.3">
      <c r="A111" s="1429" t="s">
        <v>1969</v>
      </c>
      <c r="B111" s="1429"/>
      <c r="C111" s="1429"/>
      <c r="D111" s="1429"/>
      <c r="E111" s="1429"/>
      <c r="F111" s="1429"/>
      <c r="G111" s="1217">
        <f>SUM(G105:G110)</f>
        <v>6378.1841648</v>
      </c>
      <c r="H111" s="1199">
        <f t="shared" si="18"/>
        <v>648.18944764227649</v>
      </c>
      <c r="I111" s="1199">
        <f t="shared" si="19"/>
        <v>0.18005262434507679</v>
      </c>
      <c r="J111" s="1199">
        <f t="shared" si="20"/>
        <v>180.05262434507679</v>
      </c>
      <c r="K111" s="1199" t="s">
        <v>1980</v>
      </c>
      <c r="L111" s="1199">
        <v>200</v>
      </c>
      <c r="M111" s="1197"/>
      <c r="N111" s="1197"/>
      <c r="O111" s="1197"/>
      <c r="P111" s="1197"/>
      <c r="Q111" s="1197"/>
      <c r="R111" s="1197"/>
      <c r="S111" s="1197"/>
      <c r="T111" s="1197"/>
      <c r="U111" s="1197"/>
      <c r="V111" s="1197"/>
    </row>
    <row r="112" spans="1:22" x14ac:dyDescent="0.3">
      <c r="A112" s="1197"/>
      <c r="B112" s="1197"/>
      <c r="C112" s="1197"/>
      <c r="D112" s="1197"/>
      <c r="E112" s="1197"/>
      <c r="F112" s="1197"/>
      <c r="G112" s="1197"/>
      <c r="H112" s="1197"/>
      <c r="I112" s="1197"/>
      <c r="J112" s="1197"/>
      <c r="K112" s="1197"/>
      <c r="L112" s="1197"/>
      <c r="M112" s="1197"/>
      <c r="N112" s="1197"/>
      <c r="O112" s="1197"/>
      <c r="P112" s="1197"/>
      <c r="Q112" s="1197"/>
      <c r="R112" s="1197"/>
      <c r="S112" s="1197"/>
      <c r="T112" s="1197"/>
      <c r="U112" s="1197"/>
      <c r="V112" s="1197"/>
    </row>
    <row r="113" spans="1:22" x14ac:dyDescent="0.3">
      <c r="A113" s="1419" t="s">
        <v>1994</v>
      </c>
      <c r="B113" s="1419"/>
      <c r="C113" s="1419"/>
      <c r="D113" s="1197"/>
      <c r="E113" s="1197"/>
      <c r="F113" s="1197"/>
      <c r="G113" s="1197"/>
      <c r="H113" s="1197"/>
      <c r="I113" s="1197"/>
      <c r="J113" s="1197"/>
      <c r="K113" s="1197"/>
      <c r="L113" s="1197"/>
      <c r="M113" s="1197"/>
      <c r="N113" s="1197"/>
      <c r="O113" s="1197"/>
      <c r="P113" s="1197"/>
      <c r="Q113" s="1197"/>
      <c r="R113" s="1197"/>
      <c r="S113" s="1197"/>
      <c r="T113" s="1197"/>
      <c r="U113" s="1197"/>
      <c r="V113" s="1197"/>
    </row>
    <row r="114" spans="1:22" x14ac:dyDescent="0.3">
      <c r="A114" s="1198"/>
      <c r="B114" s="1198"/>
      <c r="C114" s="1198"/>
      <c r="D114" s="1197"/>
      <c r="E114" s="1197"/>
      <c r="F114" s="1197"/>
      <c r="G114" s="1197"/>
      <c r="H114" s="1197"/>
      <c r="I114" s="1197"/>
      <c r="J114" s="1197"/>
      <c r="K114" s="1197"/>
      <c r="L114" s="1197"/>
      <c r="M114" s="1197"/>
      <c r="N114" s="1197"/>
      <c r="O114" s="1197"/>
      <c r="P114" s="1197"/>
      <c r="Q114" s="1197"/>
      <c r="R114" s="1197"/>
      <c r="S114" s="1197"/>
      <c r="T114" s="1197"/>
      <c r="U114" s="1197"/>
      <c r="V114" s="1197"/>
    </row>
    <row r="115" spans="1:22" x14ac:dyDescent="0.3">
      <c r="A115" s="1198" t="s">
        <v>1995</v>
      </c>
      <c r="B115" s="1198"/>
      <c r="C115" s="1198"/>
      <c r="D115" s="1197"/>
      <c r="E115" s="1197"/>
      <c r="F115" s="1197"/>
      <c r="G115" s="1197"/>
      <c r="H115" s="1197"/>
      <c r="I115" s="1197"/>
      <c r="J115" s="1197"/>
      <c r="K115" s="1197"/>
      <c r="L115" s="1197"/>
      <c r="M115" s="1197"/>
      <c r="N115" s="1197"/>
      <c r="O115" s="1197"/>
      <c r="P115" s="1197"/>
      <c r="Q115" s="1197"/>
      <c r="R115" s="1197"/>
      <c r="S115" s="1197"/>
      <c r="T115" s="1197"/>
      <c r="U115" s="1197"/>
      <c r="V115" s="1197"/>
    </row>
    <row r="116" spans="1:22" x14ac:dyDescent="0.3">
      <c r="A116" s="1422" t="s">
        <v>1912</v>
      </c>
      <c r="B116" s="1218" t="s">
        <v>1966</v>
      </c>
      <c r="C116" s="1198"/>
      <c r="D116" s="1197"/>
      <c r="E116" s="1197"/>
      <c r="F116" s="1197"/>
      <c r="G116" s="1197"/>
      <c r="H116" s="1197"/>
      <c r="I116" s="1197"/>
      <c r="J116" s="1197"/>
      <c r="K116" s="1197"/>
      <c r="L116" s="1197"/>
      <c r="M116" s="1197"/>
      <c r="N116" s="1197"/>
      <c r="O116" s="1197"/>
      <c r="P116" s="1197"/>
      <c r="Q116" s="1197"/>
      <c r="R116" s="1197"/>
      <c r="S116" s="1197"/>
      <c r="T116" s="1197"/>
      <c r="U116" s="1197"/>
      <c r="V116" s="1197"/>
    </row>
    <row r="117" spans="1:22" x14ac:dyDescent="0.3">
      <c r="A117" s="1422"/>
      <c r="B117" s="1199" t="s">
        <v>1975</v>
      </c>
      <c r="C117" s="1198"/>
      <c r="D117" s="1197"/>
      <c r="E117" s="1197"/>
      <c r="F117" s="1197"/>
      <c r="G117" s="1197"/>
      <c r="H117" s="1197"/>
      <c r="I117" s="1197"/>
      <c r="J117" s="1197"/>
      <c r="K117" s="1197"/>
      <c r="L117" s="1197"/>
      <c r="M117" s="1197"/>
      <c r="N117" s="1197"/>
      <c r="O117" s="1197"/>
      <c r="P117" s="1197"/>
      <c r="Q117" s="1197"/>
      <c r="R117" s="1197"/>
      <c r="S117" s="1197"/>
      <c r="T117" s="1197"/>
      <c r="U117" s="1197"/>
      <c r="V117" s="1197"/>
    </row>
    <row r="118" spans="1:22" x14ac:dyDescent="0.3">
      <c r="A118" s="1201" t="s">
        <v>2152</v>
      </c>
      <c r="B118" s="1202">
        <f>20*4</f>
        <v>80</v>
      </c>
      <c r="C118" s="1198"/>
      <c r="D118" s="1197"/>
      <c r="E118" s="1197">
        <f>17.5*8</f>
        <v>140</v>
      </c>
      <c r="F118" s="1197"/>
      <c r="G118" s="1197"/>
      <c r="H118" s="1197"/>
      <c r="I118" s="1197"/>
      <c r="J118" s="1197"/>
      <c r="K118" s="1197"/>
      <c r="L118" s="1197"/>
      <c r="M118" s="1197"/>
      <c r="N118" s="1197"/>
      <c r="O118" s="1197"/>
      <c r="P118" s="1197"/>
      <c r="Q118" s="1197"/>
      <c r="R118" s="1197"/>
      <c r="S118" s="1197"/>
      <c r="T118" s="1197"/>
      <c r="U118" s="1197"/>
      <c r="V118" s="1197"/>
    </row>
    <row r="119" spans="1:22" x14ac:dyDescent="0.3">
      <c r="A119" s="1201" t="s">
        <v>2153</v>
      </c>
      <c r="B119" s="1202">
        <v>40</v>
      </c>
      <c r="C119" s="1198"/>
      <c r="D119" s="1197"/>
      <c r="E119" s="1197">
        <f>(E118/B124)*100</f>
        <v>37.234042553191486</v>
      </c>
      <c r="F119" s="1197"/>
      <c r="G119" s="1197"/>
      <c r="H119" s="1197"/>
      <c r="I119" s="1197"/>
      <c r="J119" s="1197"/>
      <c r="K119" s="1197"/>
      <c r="L119" s="1197"/>
      <c r="M119" s="1197"/>
      <c r="N119" s="1197"/>
      <c r="O119" s="1197"/>
      <c r="P119" s="1197"/>
      <c r="Q119" s="1197"/>
      <c r="R119" s="1197"/>
      <c r="S119" s="1197"/>
      <c r="T119" s="1197"/>
      <c r="U119" s="1197"/>
      <c r="V119" s="1197"/>
    </row>
    <row r="120" spans="1:22" x14ac:dyDescent="0.3">
      <c r="A120" s="1204" t="s">
        <v>2154</v>
      </c>
      <c r="B120" s="1202">
        <v>40</v>
      </c>
      <c r="C120" s="1198"/>
      <c r="D120" s="1197"/>
      <c r="E120" s="1197"/>
      <c r="F120" s="1197"/>
      <c r="G120" s="1197"/>
      <c r="H120" s="1197"/>
      <c r="I120" s="1197"/>
      <c r="J120" s="1197"/>
      <c r="K120" s="1197"/>
      <c r="L120" s="1197"/>
      <c r="M120" s="1197"/>
      <c r="N120" s="1197"/>
      <c r="O120" s="1197"/>
      <c r="P120" s="1197"/>
      <c r="Q120" s="1197"/>
      <c r="R120" s="1197"/>
      <c r="S120" s="1197"/>
      <c r="T120" s="1197"/>
      <c r="U120" s="1197"/>
      <c r="V120" s="1197"/>
    </row>
    <row r="121" spans="1:22" x14ac:dyDescent="0.3">
      <c r="A121" s="1204" t="s">
        <v>2155</v>
      </c>
      <c r="B121" s="1202">
        <v>40</v>
      </c>
      <c r="C121" s="1198"/>
      <c r="D121" s="1197"/>
      <c r="E121" s="1197"/>
      <c r="F121" s="1197"/>
      <c r="G121" s="1197"/>
      <c r="H121" s="1197"/>
      <c r="I121" s="1197"/>
      <c r="J121" s="1197"/>
      <c r="K121" s="1197"/>
      <c r="L121" s="1197"/>
      <c r="M121" s="1197"/>
      <c r="N121" s="1197"/>
      <c r="O121" s="1197"/>
      <c r="P121" s="1197"/>
      <c r="Q121" s="1197"/>
      <c r="R121" s="1197"/>
      <c r="S121" s="1197"/>
      <c r="T121" s="1197"/>
      <c r="U121" s="1197"/>
      <c r="V121" s="1197"/>
    </row>
    <row r="122" spans="1:22" x14ac:dyDescent="0.3">
      <c r="A122" s="1205" t="s">
        <v>2156</v>
      </c>
      <c r="B122" s="1202">
        <f>17*8</f>
        <v>136</v>
      </c>
      <c r="C122" s="1198"/>
      <c r="D122" s="1197"/>
      <c r="E122" s="1197"/>
      <c r="F122" s="1197"/>
      <c r="G122" s="1197"/>
      <c r="H122" s="1197"/>
      <c r="I122" s="1197"/>
      <c r="J122" s="1197"/>
      <c r="K122" s="1197"/>
      <c r="L122" s="1197"/>
      <c r="M122" s="1197"/>
      <c r="N122" s="1197"/>
      <c r="O122" s="1197"/>
      <c r="P122" s="1197"/>
      <c r="Q122" s="1197"/>
      <c r="R122" s="1197"/>
      <c r="S122" s="1197"/>
      <c r="T122" s="1197"/>
      <c r="U122" s="1197"/>
      <c r="V122" s="1197"/>
    </row>
    <row r="123" spans="1:22" x14ac:dyDescent="0.3">
      <c r="A123" s="1206" t="s">
        <v>2157</v>
      </c>
      <c r="B123" s="1202">
        <f>20*2</f>
        <v>40</v>
      </c>
      <c r="C123" s="1198"/>
      <c r="D123" s="1197"/>
      <c r="E123" s="1197"/>
      <c r="F123" s="1197"/>
      <c r="G123" s="1197"/>
      <c r="H123" s="1197"/>
      <c r="I123" s="1197"/>
      <c r="J123" s="1197"/>
      <c r="K123" s="1197"/>
      <c r="L123" s="1197"/>
      <c r="M123" s="1197"/>
      <c r="N123" s="1197"/>
      <c r="O123" s="1197"/>
      <c r="P123" s="1197"/>
      <c r="Q123" s="1197"/>
      <c r="R123" s="1197"/>
      <c r="S123" s="1197"/>
      <c r="T123" s="1197"/>
      <c r="U123" s="1197"/>
      <c r="V123" s="1197"/>
    </row>
    <row r="124" spans="1:22" x14ac:dyDescent="0.3">
      <c r="A124" s="1199" t="s">
        <v>1743</v>
      </c>
      <c r="B124" s="1199">
        <f>SUM(B118:B123)</f>
        <v>376</v>
      </c>
      <c r="C124" s="1198"/>
      <c r="D124" s="1197"/>
      <c r="E124" s="1197"/>
      <c r="F124" s="1197"/>
      <c r="G124" s="1197"/>
      <c r="H124" s="1197"/>
      <c r="I124" s="1197"/>
      <c r="J124" s="1197"/>
      <c r="K124" s="1197"/>
      <c r="L124" s="1197"/>
      <c r="M124" s="1197"/>
      <c r="N124" s="1197"/>
      <c r="O124" s="1197"/>
      <c r="P124" s="1197"/>
      <c r="Q124" s="1197"/>
      <c r="R124" s="1197"/>
      <c r="S124" s="1197"/>
      <c r="T124" s="1197"/>
      <c r="U124" s="1197"/>
      <c r="V124" s="1197"/>
    </row>
    <row r="125" spans="1:22" x14ac:dyDescent="0.3">
      <c r="A125" s="1198"/>
      <c r="B125" s="1198"/>
      <c r="C125" s="1198"/>
      <c r="D125" s="1197"/>
      <c r="E125" s="1197"/>
      <c r="F125" s="1197"/>
      <c r="G125" s="1197"/>
      <c r="H125" s="1197"/>
      <c r="I125" s="1197"/>
      <c r="J125" s="1197"/>
      <c r="K125" s="1197"/>
      <c r="L125" s="1197"/>
      <c r="M125" s="1197"/>
      <c r="N125" s="1197"/>
      <c r="O125" s="1197"/>
      <c r="P125" s="1197"/>
      <c r="Q125" s="1197"/>
      <c r="R125" s="1197"/>
      <c r="S125" s="1197"/>
      <c r="T125" s="1197"/>
      <c r="U125" s="1197"/>
      <c r="V125" s="1197"/>
    </row>
    <row r="126" spans="1:22" x14ac:dyDescent="0.3">
      <c r="A126" s="1197" t="s">
        <v>2168</v>
      </c>
      <c r="B126" s="1197"/>
      <c r="C126" s="1197"/>
      <c r="D126" s="1197"/>
      <c r="E126" s="1197"/>
      <c r="F126" s="1197"/>
      <c r="G126" s="1197"/>
      <c r="H126" s="1197"/>
      <c r="I126" s="1197"/>
      <c r="J126" s="1197"/>
      <c r="K126" s="1197"/>
      <c r="L126" s="1197"/>
      <c r="M126" s="1197"/>
      <c r="N126" s="1197"/>
      <c r="O126" s="1197"/>
      <c r="P126" s="1197"/>
      <c r="Q126" s="1197"/>
      <c r="R126" s="1197"/>
      <c r="S126" s="1197"/>
      <c r="T126" s="1197"/>
      <c r="U126" s="1197"/>
      <c r="V126" s="1197"/>
    </row>
    <row r="127" spans="1:22" x14ac:dyDescent="0.3">
      <c r="A127" s="1209" t="s">
        <v>823</v>
      </c>
      <c r="B127" s="1197">
        <f>H111</f>
        <v>648.18944764227649</v>
      </c>
      <c r="C127" s="1197" t="s">
        <v>2003</v>
      </c>
      <c r="D127" s="1197"/>
      <c r="E127" s="1197"/>
      <c r="F127" s="1197"/>
      <c r="G127" s="1197"/>
      <c r="H127" s="1197"/>
      <c r="I127" s="1197"/>
      <c r="J127" s="1197"/>
      <c r="K127" s="1197"/>
      <c r="L127" s="1197"/>
      <c r="M127" s="1197"/>
      <c r="N127" s="1197"/>
      <c r="O127" s="1197"/>
      <c r="P127" s="1197"/>
      <c r="Q127" s="1197"/>
      <c r="R127" s="1197"/>
      <c r="S127" s="1197"/>
      <c r="T127" s="1197"/>
      <c r="U127" s="1197"/>
      <c r="V127" s="1197"/>
    </row>
    <row r="128" spans="1:22" x14ac:dyDescent="0.3">
      <c r="A128" s="1209" t="s">
        <v>10</v>
      </c>
      <c r="B128" s="1197">
        <f>I111</f>
        <v>0.18005262434507679</v>
      </c>
      <c r="C128" s="1197" t="s">
        <v>2004</v>
      </c>
      <c r="D128" s="1197"/>
      <c r="E128" s="1197"/>
      <c r="F128" s="1197"/>
      <c r="G128" s="1197"/>
      <c r="H128" s="1197"/>
      <c r="I128" s="1197"/>
      <c r="J128" s="1197"/>
      <c r="K128" s="1197"/>
      <c r="L128" s="1197"/>
      <c r="M128" s="1197"/>
      <c r="N128" s="1197"/>
      <c r="O128" s="1197"/>
      <c r="P128" s="1197"/>
      <c r="Q128" s="1197"/>
      <c r="R128" s="1197"/>
      <c r="S128" s="1197"/>
      <c r="T128" s="1197"/>
      <c r="U128" s="1197"/>
      <c r="V128" s="1197"/>
    </row>
    <row r="129" spans="1:22" x14ac:dyDescent="0.3">
      <c r="A129" s="1209" t="s">
        <v>2011</v>
      </c>
      <c r="B129" s="1197">
        <f>B124</f>
        <v>376</v>
      </c>
      <c r="C129" s="1197" t="s">
        <v>2003</v>
      </c>
      <c r="D129" s="1197"/>
      <c r="E129" s="1197"/>
      <c r="F129" s="1197"/>
      <c r="G129" s="1197"/>
      <c r="H129" s="1197"/>
      <c r="I129" s="1197"/>
      <c r="J129" s="1197"/>
      <c r="K129" s="1197"/>
      <c r="L129" s="1197"/>
      <c r="M129" s="1197"/>
      <c r="N129" s="1197"/>
      <c r="O129" s="1197"/>
      <c r="P129" s="1197"/>
      <c r="Q129" s="1197"/>
      <c r="R129" s="1197"/>
      <c r="S129" s="1197"/>
      <c r="T129" s="1197"/>
      <c r="U129" s="1197"/>
      <c r="V129" s="1197"/>
    </row>
    <row r="130" spans="1:22" x14ac:dyDescent="0.3">
      <c r="A130" s="1209" t="s">
        <v>10</v>
      </c>
      <c r="B130" s="1197">
        <f>B129/3600</f>
        <v>0.10444444444444445</v>
      </c>
      <c r="C130" s="1197" t="s">
        <v>2004</v>
      </c>
      <c r="D130" s="1197"/>
      <c r="E130" s="1197"/>
      <c r="F130" s="1197"/>
      <c r="G130" s="1197"/>
      <c r="H130" s="1197"/>
      <c r="I130" s="1197"/>
      <c r="J130" s="1197"/>
      <c r="K130" s="1197"/>
      <c r="L130" s="1197"/>
      <c r="M130" s="1197"/>
      <c r="N130" s="1197"/>
      <c r="O130" s="1197"/>
      <c r="P130" s="1197"/>
      <c r="Q130" s="1197"/>
      <c r="R130" s="1197"/>
      <c r="S130" s="1197"/>
      <c r="T130" s="1197"/>
      <c r="U130" s="1197"/>
      <c r="V130" s="1197"/>
    </row>
    <row r="131" spans="1:22" x14ac:dyDescent="0.3">
      <c r="A131" s="1219" t="s">
        <v>2016</v>
      </c>
      <c r="B131" s="1216">
        <f>B128-B130</f>
        <v>7.5608179900632344E-2</v>
      </c>
      <c r="C131" s="1216" t="s">
        <v>2004</v>
      </c>
      <c r="D131" s="1197"/>
      <c r="E131" s="1197"/>
      <c r="F131" s="1197"/>
      <c r="G131" s="1197"/>
      <c r="H131" s="1197"/>
      <c r="I131" s="1197"/>
      <c r="J131" s="1197"/>
      <c r="K131" s="1197"/>
      <c r="L131" s="1197"/>
      <c r="M131" s="1197"/>
      <c r="N131" s="1197"/>
      <c r="O131" s="1197"/>
      <c r="P131" s="1197"/>
      <c r="Q131" s="1197"/>
      <c r="R131" s="1197"/>
      <c r="S131" s="1197"/>
      <c r="T131" s="1197"/>
      <c r="U131" s="1197"/>
      <c r="V131" s="1197"/>
    </row>
    <row r="132" spans="1:22" x14ac:dyDescent="0.3">
      <c r="A132" s="1197"/>
      <c r="B132" s="1197"/>
      <c r="C132" s="1197"/>
      <c r="D132" s="1197"/>
      <c r="E132" s="1197"/>
      <c r="F132" s="1197"/>
      <c r="G132" s="1197"/>
      <c r="H132" s="1197"/>
      <c r="I132" s="1197"/>
      <c r="J132" s="1197"/>
      <c r="K132" s="1197"/>
      <c r="L132" s="1197"/>
      <c r="M132" s="1197"/>
      <c r="N132" s="1197"/>
      <c r="O132" s="1197"/>
      <c r="P132" s="1197"/>
      <c r="Q132" s="1197"/>
      <c r="R132" s="1197"/>
      <c r="S132" s="1197"/>
      <c r="T132" s="1197"/>
      <c r="U132" s="1197"/>
      <c r="V132" s="1197"/>
    </row>
    <row r="133" spans="1:22" x14ac:dyDescent="0.3">
      <c r="A133" s="1424" t="s">
        <v>2007</v>
      </c>
      <c r="B133" s="1424"/>
      <c r="C133" s="1197"/>
      <c r="D133" s="1197"/>
      <c r="E133" s="1197"/>
      <c r="F133" s="1197"/>
      <c r="G133" s="1197"/>
      <c r="H133" s="1197"/>
      <c r="I133" s="1197"/>
      <c r="J133" s="1197"/>
      <c r="K133" s="1197"/>
      <c r="L133" s="1197"/>
      <c r="M133" s="1197"/>
      <c r="N133" s="1197"/>
      <c r="O133" s="1197"/>
      <c r="P133" s="1197"/>
      <c r="Q133" s="1197"/>
      <c r="R133" s="1197"/>
      <c r="S133" s="1197"/>
      <c r="T133" s="1197"/>
      <c r="U133" s="1197"/>
      <c r="V133" s="1197"/>
    </row>
    <row r="134" spans="1:22" x14ac:dyDescent="0.3">
      <c r="A134" s="1209" t="s">
        <v>2008</v>
      </c>
      <c r="B134" s="1197" t="s">
        <v>2169</v>
      </c>
      <c r="C134" s="1197"/>
      <c r="D134" s="1197"/>
      <c r="E134" s="1197"/>
      <c r="F134" s="1197"/>
      <c r="G134" s="1197"/>
      <c r="H134" s="1197"/>
      <c r="I134" s="1197"/>
      <c r="J134" s="1197"/>
      <c r="K134" s="1197"/>
      <c r="L134" s="1197"/>
      <c r="M134" s="1197"/>
      <c r="N134" s="1197"/>
      <c r="O134" s="1197"/>
      <c r="P134" s="1197"/>
      <c r="Q134" s="1197"/>
      <c r="R134" s="1197"/>
      <c r="S134" s="1197"/>
      <c r="T134" s="1197"/>
      <c r="U134" s="1197"/>
      <c r="V134" s="1197"/>
    </row>
    <row r="135" spans="1:22" x14ac:dyDescent="0.3">
      <c r="A135" s="1209" t="s">
        <v>2010</v>
      </c>
      <c r="B135" s="1220">
        <v>0.7</v>
      </c>
      <c r="C135" s="1197"/>
      <c r="D135" s="1197"/>
      <c r="E135" s="1197"/>
      <c r="F135" s="1197"/>
      <c r="G135" s="1197"/>
      <c r="H135" s="1197"/>
      <c r="I135" s="1197"/>
      <c r="J135" s="1197"/>
      <c r="K135" s="1197"/>
      <c r="L135" s="1197"/>
      <c r="M135" s="1197"/>
      <c r="N135" s="1197"/>
      <c r="O135" s="1197"/>
      <c r="P135" s="1197"/>
      <c r="Q135" s="1197"/>
      <c r="R135" s="1197"/>
      <c r="S135" s="1197"/>
      <c r="T135" s="1197"/>
      <c r="U135" s="1197"/>
      <c r="V135" s="1197"/>
    </row>
    <row r="136" spans="1:22" x14ac:dyDescent="0.3">
      <c r="A136" s="1209" t="s">
        <v>2011</v>
      </c>
      <c r="B136" s="1197">
        <v>0.89100000000000001</v>
      </c>
      <c r="C136" s="1197" t="s">
        <v>2012</v>
      </c>
      <c r="D136" s="1197"/>
      <c r="E136" s="1197"/>
      <c r="F136" s="1197"/>
      <c r="G136" s="1197"/>
      <c r="H136" s="1197"/>
      <c r="I136" s="1197"/>
      <c r="J136" s="1197"/>
      <c r="K136" s="1197"/>
      <c r="L136" s="1197"/>
      <c r="M136" s="1197"/>
      <c r="N136" s="1197"/>
      <c r="O136" s="1197"/>
      <c r="P136" s="1197"/>
      <c r="Q136" s="1197"/>
      <c r="R136" s="1197"/>
      <c r="S136" s="1197"/>
      <c r="T136" s="1197"/>
      <c r="U136" s="1197"/>
      <c r="V136" s="1197"/>
    </row>
    <row r="137" spans="1:22" x14ac:dyDescent="0.3">
      <c r="A137" s="1424" t="s">
        <v>2013</v>
      </c>
      <c r="B137" s="1424"/>
      <c r="C137" s="1197"/>
      <c r="D137" s="1197"/>
      <c r="E137" s="1197"/>
      <c r="F137" s="1197"/>
      <c r="G137" s="1197"/>
      <c r="H137" s="1197"/>
      <c r="I137" s="1197"/>
      <c r="J137" s="1197"/>
      <c r="K137" s="1197"/>
      <c r="L137" s="1197"/>
      <c r="M137" s="1197"/>
      <c r="N137" s="1197"/>
      <c r="O137" s="1197"/>
      <c r="P137" s="1197"/>
      <c r="Q137" s="1197"/>
      <c r="R137" s="1197"/>
      <c r="S137" s="1197"/>
      <c r="T137" s="1197"/>
      <c r="U137" s="1197"/>
      <c r="V137" s="1197"/>
    </row>
    <row r="138" spans="1:22" x14ac:dyDescent="0.3">
      <c r="A138" s="1209" t="s">
        <v>2008</v>
      </c>
      <c r="B138" s="1197" t="s">
        <v>2170</v>
      </c>
      <c r="C138" s="1197"/>
      <c r="D138" s="1197"/>
      <c r="E138" s="1197"/>
      <c r="F138" s="1197"/>
      <c r="G138" s="1197"/>
      <c r="H138" s="1197"/>
      <c r="I138" s="1197"/>
      <c r="J138" s="1197"/>
      <c r="K138" s="1197"/>
      <c r="L138" s="1197"/>
      <c r="M138" s="1197"/>
      <c r="N138" s="1197"/>
      <c r="O138" s="1197"/>
      <c r="P138" s="1197"/>
      <c r="Q138" s="1197"/>
      <c r="R138" s="1197"/>
      <c r="S138" s="1197"/>
      <c r="T138" s="1197"/>
      <c r="U138" s="1197"/>
      <c r="V138" s="1197"/>
    </row>
    <row r="139" spans="1:22" x14ac:dyDescent="0.3">
      <c r="A139" s="1209" t="s">
        <v>2010</v>
      </c>
      <c r="B139" s="1220">
        <v>0.5</v>
      </c>
      <c r="C139" s="1197"/>
      <c r="D139" s="1197"/>
      <c r="E139" s="1197"/>
      <c r="F139" s="1197"/>
      <c r="G139" s="1197"/>
      <c r="H139" s="1197"/>
      <c r="I139" s="1197"/>
      <c r="J139" s="1197"/>
      <c r="K139" s="1197"/>
      <c r="L139" s="1197"/>
      <c r="M139" s="1197"/>
      <c r="N139" s="1197"/>
      <c r="O139" s="1197"/>
      <c r="P139" s="1197"/>
      <c r="Q139" s="1197"/>
      <c r="R139" s="1197"/>
      <c r="S139" s="1197"/>
      <c r="T139" s="1197"/>
      <c r="U139" s="1197"/>
      <c r="V139" s="1197"/>
    </row>
    <row r="140" spans="1:22" x14ac:dyDescent="0.3">
      <c r="A140" s="1209" t="s">
        <v>2016</v>
      </c>
      <c r="B140" s="1197">
        <v>0.82099999999999995</v>
      </c>
      <c r="C140" s="1197" t="s">
        <v>2012</v>
      </c>
      <c r="D140" s="1197"/>
      <c r="E140" s="1197"/>
      <c r="F140" s="1197"/>
      <c r="G140" s="1197"/>
      <c r="H140" s="1197"/>
      <c r="I140" s="1197"/>
      <c r="J140" s="1197"/>
      <c r="K140" s="1197"/>
      <c r="L140" s="1197"/>
      <c r="M140" s="1197"/>
      <c r="N140" s="1197"/>
      <c r="O140" s="1197"/>
      <c r="P140" s="1197"/>
      <c r="Q140" s="1197"/>
      <c r="R140" s="1197"/>
      <c r="S140" s="1197"/>
      <c r="T140" s="1197"/>
      <c r="U140" s="1197"/>
      <c r="V140" s="1197"/>
    </row>
    <row r="141" spans="1:22" x14ac:dyDescent="0.3">
      <c r="A141" s="1209" t="s">
        <v>2017</v>
      </c>
      <c r="B141" s="1197">
        <v>100</v>
      </c>
      <c r="C141" s="1197" t="s">
        <v>2018</v>
      </c>
      <c r="D141" s="1197"/>
      <c r="E141" s="1197"/>
      <c r="F141" s="1197"/>
      <c r="G141" s="1197"/>
      <c r="H141" s="1197"/>
      <c r="I141" s="1197"/>
      <c r="J141" s="1197"/>
      <c r="K141" s="1197"/>
      <c r="L141" s="1197"/>
      <c r="M141" s="1197"/>
      <c r="N141" s="1197"/>
      <c r="O141" s="1197"/>
      <c r="P141" s="1197"/>
      <c r="Q141" s="1197"/>
      <c r="R141" s="1197"/>
      <c r="S141" s="1197"/>
      <c r="T141" s="1197"/>
      <c r="U141" s="1197"/>
      <c r="V141" s="1197"/>
    </row>
    <row r="142" spans="1:22" x14ac:dyDescent="0.3">
      <c r="A142" s="1209" t="s">
        <v>2019</v>
      </c>
      <c r="B142" s="1197">
        <v>35</v>
      </c>
      <c r="C142" s="1197" t="s">
        <v>2018</v>
      </c>
      <c r="D142" s="1197"/>
      <c r="E142" s="1197"/>
      <c r="F142" s="1197"/>
      <c r="G142" s="1197"/>
      <c r="H142" s="1197"/>
      <c r="I142" s="1197"/>
      <c r="J142" s="1197"/>
      <c r="K142" s="1197"/>
      <c r="L142" s="1197"/>
      <c r="M142" s="1197"/>
      <c r="N142" s="1197"/>
      <c r="O142" s="1197"/>
      <c r="P142" s="1197"/>
      <c r="Q142" s="1197"/>
      <c r="R142" s="1197"/>
      <c r="S142" s="1197"/>
      <c r="T142" s="1197"/>
      <c r="U142" s="1197"/>
      <c r="V142" s="1197"/>
    </row>
    <row r="143" spans="1:22" x14ac:dyDescent="0.3">
      <c r="A143" s="1219" t="s">
        <v>2020</v>
      </c>
      <c r="B143" s="1216">
        <f>(B130/B131)+(B131/B140)/(B130/B136)+(B131/B140)</f>
        <v>2.2591134618378272</v>
      </c>
      <c r="C143" s="1197"/>
      <c r="D143" s="1197"/>
      <c r="E143" s="1197"/>
      <c r="F143" s="1197"/>
      <c r="G143" s="1197"/>
      <c r="H143" s="1197"/>
      <c r="I143" s="1197"/>
      <c r="J143" s="1197"/>
      <c r="K143" s="1197"/>
      <c r="L143" s="1197"/>
      <c r="M143" s="1197"/>
      <c r="N143" s="1197"/>
      <c r="O143" s="1197"/>
      <c r="P143" s="1197"/>
      <c r="Q143" s="1197"/>
      <c r="R143" s="1197"/>
      <c r="S143" s="1197"/>
      <c r="T143" s="1197"/>
      <c r="U143" s="1197"/>
      <c r="V143" s="1197"/>
    </row>
    <row r="144" spans="1:22" x14ac:dyDescent="0.3">
      <c r="A144" s="1197"/>
      <c r="B144" s="1197"/>
      <c r="C144" s="1197"/>
      <c r="D144" s="1197"/>
      <c r="E144" s="1197"/>
      <c r="F144" s="1197"/>
      <c r="G144" s="1197"/>
      <c r="H144" s="1197"/>
      <c r="I144" s="1197"/>
      <c r="J144" s="1197"/>
      <c r="K144" s="1197"/>
      <c r="L144" s="1197"/>
      <c r="M144" s="1197"/>
      <c r="N144" s="1197"/>
      <c r="O144" s="1197"/>
      <c r="P144" s="1197"/>
      <c r="Q144" s="1197"/>
      <c r="R144" s="1197"/>
      <c r="S144" s="1197"/>
      <c r="T144" s="1197"/>
      <c r="U144" s="1197"/>
      <c r="V144" s="1197"/>
    </row>
    <row r="145" spans="1:22" x14ac:dyDescent="0.3">
      <c r="A145" s="1430" t="s">
        <v>2021</v>
      </c>
      <c r="B145" s="1430"/>
      <c r="C145" s="1430"/>
      <c r="D145" s="1430"/>
      <c r="E145" s="1197"/>
      <c r="F145" s="1197"/>
      <c r="G145" s="1197"/>
      <c r="H145" s="1197"/>
      <c r="I145" s="1197"/>
      <c r="J145" s="1197"/>
      <c r="K145" s="1197"/>
      <c r="L145" s="1197"/>
      <c r="M145" s="1197"/>
      <c r="N145" s="1197"/>
      <c r="O145" s="1197"/>
      <c r="P145" s="1197"/>
      <c r="Q145" s="1197"/>
      <c r="R145" s="1197"/>
      <c r="S145" s="1197"/>
      <c r="T145" s="1197"/>
      <c r="U145" s="1197"/>
      <c r="V145" s="1197"/>
    </row>
    <row r="146" spans="1:22" x14ac:dyDescent="0.3">
      <c r="A146" s="1197"/>
      <c r="B146" s="1197"/>
      <c r="C146" s="1197"/>
      <c r="D146" s="1197"/>
      <c r="E146" s="1197"/>
      <c r="F146" s="1197"/>
      <c r="G146" s="1197"/>
      <c r="H146" s="1197"/>
      <c r="I146" s="1197"/>
      <c r="J146" s="1197"/>
      <c r="K146" s="1197"/>
      <c r="L146" s="1197"/>
      <c r="M146" s="1197"/>
      <c r="N146" s="1197"/>
      <c r="O146" s="1197"/>
      <c r="P146" s="1197"/>
      <c r="Q146" s="1197"/>
      <c r="R146" s="1197"/>
      <c r="S146" s="1197"/>
      <c r="T146" s="1197"/>
      <c r="U146" s="1197"/>
      <c r="V146" s="1197"/>
    </row>
    <row r="147" spans="1:22" x14ac:dyDescent="0.3">
      <c r="A147" s="1422" t="s">
        <v>1912</v>
      </c>
      <c r="B147" s="1422" t="s">
        <v>2022</v>
      </c>
      <c r="C147" s="1211" t="s">
        <v>2171</v>
      </c>
      <c r="D147" s="1197"/>
      <c r="E147" s="1197"/>
      <c r="F147" s="1197"/>
      <c r="G147" s="1197"/>
      <c r="H147" s="1197"/>
      <c r="I147" s="1197"/>
      <c r="J147" s="1197"/>
      <c r="K147" s="1197"/>
      <c r="L147" s="1197"/>
      <c r="M147" s="1197"/>
      <c r="N147" s="1197"/>
      <c r="O147" s="1197"/>
      <c r="P147" s="1197"/>
      <c r="Q147" s="1197"/>
      <c r="R147" s="1197"/>
      <c r="S147" s="1197"/>
      <c r="T147" s="1197"/>
      <c r="U147" s="1197"/>
      <c r="V147" s="1197"/>
    </row>
    <row r="148" spans="1:22" x14ac:dyDescent="0.3">
      <c r="A148" s="1422"/>
      <c r="B148" s="1422"/>
      <c r="C148" s="1214" t="s">
        <v>2172</v>
      </c>
      <c r="D148" s="1197"/>
      <c r="E148" s="1197"/>
      <c r="F148" s="1197"/>
      <c r="G148" s="1197"/>
      <c r="H148" s="1197"/>
      <c r="I148" s="1197"/>
      <c r="J148" s="1197"/>
      <c r="K148" s="1197"/>
      <c r="L148" s="1197"/>
      <c r="M148" s="1197"/>
      <c r="N148" s="1197"/>
      <c r="O148" s="1197"/>
      <c r="P148" s="1197"/>
      <c r="Q148" s="1197"/>
      <c r="R148" s="1197"/>
      <c r="S148" s="1197"/>
      <c r="T148" s="1197"/>
      <c r="U148" s="1197"/>
      <c r="V148" s="1197"/>
    </row>
    <row r="149" spans="1:22" x14ac:dyDescent="0.3">
      <c r="A149" s="1201" t="s">
        <v>2152</v>
      </c>
      <c r="B149" s="1202">
        <v>4</v>
      </c>
      <c r="C149" s="1202">
        <f t="shared" ref="C149:C154" si="21">(B149*80)/($H$111*1.2)</f>
        <v>0.41140235719146567</v>
      </c>
      <c r="D149" s="1197"/>
      <c r="E149" s="1197"/>
      <c r="F149" s="1197"/>
      <c r="G149" s="1197"/>
      <c r="H149" s="1197"/>
      <c r="I149" s="1197"/>
      <c r="J149" s="1197"/>
      <c r="K149" s="1197"/>
      <c r="L149" s="1197"/>
      <c r="M149" s="1197"/>
      <c r="N149" s="1197"/>
      <c r="O149" s="1197"/>
      <c r="P149" s="1197"/>
      <c r="Q149" s="1197"/>
      <c r="R149" s="1197"/>
      <c r="S149" s="1197"/>
      <c r="T149" s="1197"/>
      <c r="U149" s="1197"/>
      <c r="V149" s="1197"/>
    </row>
    <row r="150" spans="1:22" x14ac:dyDescent="0.3">
      <c r="A150" s="1201" t="s">
        <v>2153</v>
      </c>
      <c r="B150" s="1202">
        <v>2</v>
      </c>
      <c r="C150" s="1202">
        <f t="shared" si="21"/>
        <v>0.20570117859573284</v>
      </c>
      <c r="D150" s="1197"/>
      <c r="E150" s="1197"/>
      <c r="F150" s="1197"/>
      <c r="G150" s="1197"/>
      <c r="H150" s="1197"/>
      <c r="I150" s="1197"/>
      <c r="J150" s="1197"/>
      <c r="K150" s="1197"/>
      <c r="L150" s="1197"/>
      <c r="M150" s="1197"/>
      <c r="N150" s="1197"/>
      <c r="O150" s="1197"/>
      <c r="P150" s="1197"/>
      <c r="Q150" s="1197"/>
      <c r="R150" s="1197"/>
      <c r="S150" s="1197"/>
      <c r="T150" s="1197"/>
      <c r="U150" s="1197"/>
      <c r="V150" s="1197"/>
    </row>
    <row r="151" spans="1:22" x14ac:dyDescent="0.3">
      <c r="A151" s="1204" t="s">
        <v>2154</v>
      </c>
      <c r="B151" s="1202">
        <v>2</v>
      </c>
      <c r="C151" s="1202">
        <f t="shared" si="21"/>
        <v>0.20570117859573284</v>
      </c>
      <c r="D151" s="1197"/>
      <c r="E151" s="1197"/>
      <c r="F151" s="1197"/>
      <c r="G151" s="1197"/>
      <c r="H151" s="1197"/>
      <c r="I151" s="1197"/>
      <c r="J151" s="1197"/>
      <c r="K151" s="1197"/>
      <c r="L151" s="1197"/>
      <c r="M151" s="1197"/>
      <c r="N151" s="1197"/>
      <c r="O151" s="1197"/>
      <c r="P151" s="1197"/>
      <c r="Q151" s="1197"/>
      <c r="R151" s="1197"/>
      <c r="S151" s="1197"/>
      <c r="T151" s="1197"/>
      <c r="U151" s="1197"/>
      <c r="V151" s="1197"/>
    </row>
    <row r="152" spans="1:22" x14ac:dyDescent="0.3">
      <c r="A152" s="1204" t="s">
        <v>2155</v>
      </c>
      <c r="B152" s="1202">
        <v>2</v>
      </c>
      <c r="C152" s="1202">
        <f t="shared" si="21"/>
        <v>0.20570117859573284</v>
      </c>
      <c r="D152" s="1197"/>
      <c r="E152" s="1197"/>
      <c r="F152" s="1197"/>
      <c r="G152" s="1197"/>
      <c r="H152" s="1197"/>
      <c r="I152" s="1197"/>
      <c r="J152" s="1197"/>
      <c r="K152" s="1197"/>
      <c r="L152" s="1197"/>
      <c r="M152" s="1197"/>
      <c r="N152" s="1197"/>
      <c r="O152" s="1197"/>
      <c r="P152" s="1197"/>
      <c r="Q152" s="1197"/>
      <c r="R152" s="1197"/>
      <c r="S152" s="1197"/>
      <c r="T152" s="1197"/>
      <c r="U152" s="1197"/>
      <c r="V152" s="1197"/>
    </row>
    <row r="153" spans="1:22" x14ac:dyDescent="0.3">
      <c r="A153" s="1205" t="s">
        <v>2156</v>
      </c>
      <c r="B153" s="1202">
        <v>4</v>
      </c>
      <c r="C153" s="1202">
        <f t="shared" si="21"/>
        <v>0.41140235719146567</v>
      </c>
      <c r="D153" s="1197"/>
      <c r="E153" s="1197"/>
      <c r="F153" s="1197"/>
      <c r="G153" s="1197"/>
      <c r="H153" s="1197"/>
      <c r="I153" s="1197"/>
      <c r="J153" s="1197"/>
      <c r="K153" s="1197"/>
      <c r="L153" s="1197"/>
      <c r="M153" s="1197"/>
      <c r="N153" s="1197"/>
      <c r="O153" s="1197"/>
      <c r="P153" s="1197"/>
      <c r="Q153" s="1197"/>
      <c r="R153" s="1197"/>
      <c r="S153" s="1197"/>
      <c r="T153" s="1197"/>
      <c r="U153" s="1197"/>
      <c r="V153" s="1197"/>
    </row>
    <row r="154" spans="1:22" x14ac:dyDescent="0.3">
      <c r="A154" s="1206" t="s">
        <v>2157</v>
      </c>
      <c r="B154" s="1202">
        <v>2</v>
      </c>
      <c r="C154" s="1202">
        <f t="shared" si="21"/>
        <v>0.20570117859573284</v>
      </c>
      <c r="D154" s="1197"/>
      <c r="E154" s="1197"/>
      <c r="F154" s="1197"/>
      <c r="G154" s="1197"/>
      <c r="H154" s="1197"/>
      <c r="I154" s="1197"/>
      <c r="J154" s="1197"/>
      <c r="K154" s="1197"/>
      <c r="L154" s="1197"/>
      <c r="M154" s="1197"/>
      <c r="N154" s="1197"/>
      <c r="O154" s="1197"/>
      <c r="P154" s="1197"/>
      <c r="Q154" s="1197"/>
      <c r="R154" s="1197"/>
      <c r="S154" s="1197"/>
      <c r="T154" s="1197"/>
      <c r="U154" s="1197"/>
      <c r="V154" s="1197"/>
    </row>
    <row r="155" spans="1:22" x14ac:dyDescent="0.3">
      <c r="A155" s="1422" t="s">
        <v>1743</v>
      </c>
      <c r="B155" s="1422"/>
      <c r="C155" s="1199">
        <f>SUM(C149:C154)</f>
        <v>1.6456094287658627</v>
      </c>
      <c r="D155" s="1197"/>
      <c r="E155" s="1197"/>
      <c r="F155" s="1197"/>
      <c r="G155" s="1197"/>
      <c r="H155" s="1197"/>
      <c r="I155" s="1197"/>
      <c r="J155" s="1197"/>
      <c r="K155" s="1197"/>
      <c r="L155" s="1197"/>
      <c r="M155" s="1197"/>
      <c r="N155" s="1197"/>
      <c r="O155" s="1197"/>
      <c r="P155" s="1197"/>
      <c r="Q155" s="1197"/>
      <c r="R155" s="1197"/>
      <c r="S155" s="1197"/>
      <c r="T155" s="1197"/>
      <c r="U155" s="1197"/>
      <c r="V155" s="1197"/>
    </row>
    <row r="156" spans="1:22" x14ac:dyDescent="0.3">
      <c r="A156" s="1197"/>
      <c r="B156" s="1197"/>
      <c r="C156" s="1197"/>
      <c r="D156" s="1197"/>
      <c r="E156" s="1197"/>
      <c r="F156" s="1197"/>
      <c r="G156" s="1197"/>
      <c r="H156" s="1197"/>
      <c r="I156" s="1197"/>
      <c r="J156" s="1197"/>
      <c r="K156" s="1197"/>
      <c r="L156" s="1197"/>
      <c r="M156" s="1197"/>
      <c r="N156" s="1197"/>
      <c r="O156" s="1197"/>
      <c r="P156" s="1197"/>
      <c r="Q156" s="1197"/>
      <c r="R156" s="1197"/>
      <c r="S156" s="1197"/>
      <c r="T156" s="1197"/>
      <c r="U156" s="1197"/>
      <c r="V156" s="1197"/>
    </row>
    <row r="157" spans="1:22" x14ac:dyDescent="0.3">
      <c r="A157" s="1430" t="s">
        <v>2023</v>
      </c>
      <c r="B157" s="1430"/>
      <c r="C157" s="1430"/>
      <c r="D157" s="1430"/>
      <c r="E157" s="1197"/>
      <c r="F157" s="1197"/>
      <c r="G157" s="1197"/>
      <c r="H157" s="1197"/>
      <c r="I157" s="1197"/>
      <c r="J157" s="1197"/>
      <c r="K157" s="1197"/>
      <c r="L157" s="1197"/>
      <c r="M157" s="1197"/>
      <c r="N157" s="1197"/>
      <c r="O157" s="1197"/>
      <c r="P157" s="1197"/>
      <c r="Q157" s="1197"/>
      <c r="R157" s="1197"/>
      <c r="S157" s="1197"/>
      <c r="T157" s="1197"/>
      <c r="U157" s="1197"/>
      <c r="V157" s="1197"/>
    </row>
    <row r="158" spans="1:22" x14ac:dyDescent="0.3">
      <c r="A158" s="1197"/>
      <c r="B158" s="1197"/>
      <c r="C158" s="1197"/>
      <c r="D158" s="1197"/>
      <c r="E158" s="1197"/>
      <c r="F158" s="1197"/>
      <c r="G158" s="1197"/>
      <c r="H158" s="1197"/>
      <c r="I158" s="1197"/>
      <c r="J158" s="1197"/>
      <c r="K158" s="1197"/>
      <c r="L158" s="1197"/>
      <c r="M158" s="1197"/>
      <c r="N158" s="1197"/>
      <c r="O158" s="1197"/>
      <c r="P158" s="1197"/>
      <c r="Q158" s="1197"/>
      <c r="R158" s="1197"/>
      <c r="S158" s="1197"/>
      <c r="T158" s="1197"/>
      <c r="U158" s="1197"/>
      <c r="V158" s="1197"/>
    </row>
    <row r="159" spans="1:22" x14ac:dyDescent="0.3">
      <c r="A159" s="1209" t="s">
        <v>2024</v>
      </c>
      <c r="B159" t="s">
        <v>2025</v>
      </c>
      <c r="C159" s="1197"/>
      <c r="D159" s="1197"/>
      <c r="E159" s="1197"/>
      <c r="F159" s="1197"/>
      <c r="G159" s="1197"/>
      <c r="H159" s="1197"/>
      <c r="I159" s="1197"/>
      <c r="J159" s="1197"/>
      <c r="K159" s="1197"/>
      <c r="L159" s="1197"/>
      <c r="M159" s="1197"/>
      <c r="N159" s="1197"/>
      <c r="O159" s="1197"/>
      <c r="P159" s="1197"/>
      <c r="Q159" s="1197"/>
      <c r="R159" s="1197"/>
      <c r="S159" s="1197"/>
      <c r="T159" s="1197"/>
      <c r="U159" s="1197"/>
      <c r="V159" s="1197"/>
    </row>
    <row r="160" spans="1:22" x14ac:dyDescent="0.3">
      <c r="A160" s="1209" t="s">
        <v>10</v>
      </c>
      <c r="B160" s="1197">
        <f>B127*1.2*(135-B143)</f>
        <v>103249.49030966093</v>
      </c>
      <c r="C160" s="1197" t="s">
        <v>2026</v>
      </c>
      <c r="D160" s="1197"/>
      <c r="E160" s="1197"/>
      <c r="F160" s="1197"/>
      <c r="G160" s="1197"/>
      <c r="H160" s="1197"/>
      <c r="I160" s="1197"/>
      <c r="J160" s="1197"/>
      <c r="K160" s="1197"/>
      <c r="L160" s="1197"/>
      <c r="M160" s="1197"/>
      <c r="N160" s="1197"/>
      <c r="O160" s="1197"/>
      <c r="P160" s="1197"/>
      <c r="Q160" s="1197"/>
      <c r="R160" s="1197"/>
      <c r="S160" s="1197"/>
      <c r="T160" s="1197"/>
      <c r="U160" s="1197"/>
      <c r="V160" s="1197"/>
    </row>
    <row r="161" spans="1:22" x14ac:dyDescent="0.3">
      <c r="A161" s="1209" t="s">
        <v>10</v>
      </c>
      <c r="B161" s="1197">
        <f>B160/3600</f>
        <v>28.680413974905814</v>
      </c>
      <c r="C161" s="1197" t="s">
        <v>260</v>
      </c>
      <c r="D161" s="1197"/>
      <c r="E161" s="1197"/>
      <c r="F161" s="1197"/>
      <c r="G161" s="1197"/>
      <c r="H161" s="1197"/>
      <c r="I161" s="1197"/>
      <c r="J161" s="1197"/>
      <c r="K161" s="1197"/>
      <c r="L161" s="1197"/>
      <c r="M161" s="1197"/>
      <c r="N161" s="1197"/>
      <c r="O161" s="1197"/>
      <c r="P161" s="1197"/>
      <c r="Q161" s="1197"/>
      <c r="R161" s="1197"/>
      <c r="S161" s="1197"/>
      <c r="T161" s="1197"/>
      <c r="U161" s="1197"/>
      <c r="V161" s="1197"/>
    </row>
    <row r="162" spans="1:22" x14ac:dyDescent="0.3">
      <c r="A162" s="1197"/>
      <c r="B162" s="1197"/>
      <c r="C162" s="1197"/>
      <c r="D162" s="1197"/>
      <c r="E162" s="1197"/>
      <c r="F162" s="1197"/>
      <c r="G162" s="1197"/>
      <c r="H162" s="1197"/>
      <c r="I162" s="1197"/>
      <c r="J162" s="1197"/>
      <c r="K162" s="1197"/>
      <c r="L162" s="1197"/>
      <c r="M162" s="1197"/>
      <c r="N162" s="1197"/>
      <c r="O162" s="1197"/>
      <c r="P162" s="1197"/>
      <c r="Q162" s="1197"/>
      <c r="R162" s="1197"/>
      <c r="S162" s="1197"/>
      <c r="T162" s="1197"/>
      <c r="U162" s="1197"/>
      <c r="V162" s="1197"/>
    </row>
  </sheetData>
  <mergeCells count="77">
    <mergeCell ref="A155:B155"/>
    <mergeCell ref="A157:D157"/>
    <mergeCell ref="A116:A117"/>
    <mergeCell ref="A133:B133"/>
    <mergeCell ref="A137:B137"/>
    <mergeCell ref="A145:D145"/>
    <mergeCell ref="A147:A148"/>
    <mergeCell ref="B147:B148"/>
    <mergeCell ref="H102:H103"/>
    <mergeCell ref="I102:I103"/>
    <mergeCell ref="J102:J103"/>
    <mergeCell ref="A111:F111"/>
    <mergeCell ref="A113:C113"/>
    <mergeCell ref="B98:F98"/>
    <mergeCell ref="A100:B100"/>
    <mergeCell ref="A102:A104"/>
    <mergeCell ref="B102:F102"/>
    <mergeCell ref="G102:G103"/>
    <mergeCell ref="B83:D83"/>
    <mergeCell ref="B84:D84"/>
    <mergeCell ref="A87:F87"/>
    <mergeCell ref="A88:A90"/>
    <mergeCell ref="B88:F88"/>
    <mergeCell ref="B78:D78"/>
    <mergeCell ref="B79:D79"/>
    <mergeCell ref="B80:D80"/>
    <mergeCell ref="B81:D81"/>
    <mergeCell ref="B82:D82"/>
    <mergeCell ref="A73:F73"/>
    <mergeCell ref="A75:D75"/>
    <mergeCell ref="A76:A77"/>
    <mergeCell ref="B76:D76"/>
    <mergeCell ref="B77:D77"/>
    <mergeCell ref="A61:I61"/>
    <mergeCell ref="A63:G63"/>
    <mergeCell ref="A64:A66"/>
    <mergeCell ref="B64:D64"/>
    <mergeCell ref="E64:E65"/>
    <mergeCell ref="G64:G65"/>
    <mergeCell ref="B58:C58"/>
    <mergeCell ref="D58:E58"/>
    <mergeCell ref="B59:C59"/>
    <mergeCell ref="D59:E59"/>
    <mergeCell ref="B60:C60"/>
    <mergeCell ref="D60:E60"/>
    <mergeCell ref="B55:C55"/>
    <mergeCell ref="D55:E55"/>
    <mergeCell ref="B56:C56"/>
    <mergeCell ref="D56:E56"/>
    <mergeCell ref="B57:C57"/>
    <mergeCell ref="D57:E57"/>
    <mergeCell ref="A49:D49"/>
    <mergeCell ref="A51:J51"/>
    <mergeCell ref="A52:A54"/>
    <mergeCell ref="B52:C52"/>
    <mergeCell ref="D52:E52"/>
    <mergeCell ref="F52:F54"/>
    <mergeCell ref="J52:J53"/>
    <mergeCell ref="B53:C53"/>
    <mergeCell ref="D53:E53"/>
    <mergeCell ref="B54:C54"/>
    <mergeCell ref="D54:E54"/>
    <mergeCell ref="A13:O13"/>
    <mergeCell ref="J18:M18"/>
    <mergeCell ref="J20:L20"/>
    <mergeCell ref="A40:E40"/>
    <mergeCell ref="A41:A42"/>
    <mergeCell ref="A2:B2"/>
    <mergeCell ref="A3:P3"/>
    <mergeCell ref="A4:A6"/>
    <mergeCell ref="B4:D4"/>
    <mergeCell ref="E4:E6"/>
    <mergeCell ref="F4:G4"/>
    <mergeCell ref="H4:I4"/>
    <mergeCell ref="J4:J6"/>
    <mergeCell ref="K4:O4"/>
    <mergeCell ref="P4:P5"/>
  </mergeCells>
  <pageMargins left="0.7" right="0.7" top="0.75" bottom="0.75"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O264"/>
  <sheetViews>
    <sheetView topLeftCell="A130" zoomScale="115" zoomScaleNormal="115" workbookViewId="0">
      <selection activeCell="D140" sqref="D140"/>
    </sheetView>
  </sheetViews>
  <sheetFormatPr defaultColWidth="9" defaultRowHeight="12" x14ac:dyDescent="0.25"/>
  <cols>
    <col min="1" max="1" width="9" style="549"/>
    <col min="2" max="2" width="10.09765625" style="549" customWidth="1"/>
    <col min="3" max="8" width="9.09765625" style="549" customWidth="1"/>
    <col min="9" max="9" width="10.09765625" style="549" customWidth="1"/>
    <col min="10" max="16384" width="9" style="549"/>
  </cols>
  <sheetData>
    <row r="1" spans="1:15" x14ac:dyDescent="0.25">
      <c r="A1" s="1221"/>
      <c r="B1" s="495" t="s">
        <v>2173</v>
      </c>
      <c r="C1" s="1221"/>
      <c r="D1" s="1221"/>
      <c r="E1" s="1221"/>
      <c r="F1" s="1221"/>
      <c r="G1" s="1221"/>
      <c r="H1" s="1221"/>
      <c r="I1" s="1221"/>
      <c r="J1" s="495"/>
      <c r="K1" s="421"/>
      <c r="L1" s="421"/>
      <c r="M1" s="421"/>
      <c r="N1" s="421"/>
      <c r="O1" s="421"/>
    </row>
    <row r="2" spans="1:15" x14ac:dyDescent="0.25">
      <c r="A2" s="1431" t="s">
        <v>114</v>
      </c>
      <c r="B2" s="1431"/>
      <c r="C2" s="1431"/>
      <c r="D2" s="1432"/>
      <c r="E2" s="1432"/>
      <c r="F2" s="262"/>
      <c r="G2" s="1221"/>
      <c r="H2" s="1221"/>
      <c r="I2" s="1221"/>
      <c r="J2" s="495"/>
      <c r="K2" s="421"/>
      <c r="L2" s="421"/>
      <c r="M2" s="421"/>
      <c r="N2" s="421"/>
      <c r="O2" s="421"/>
    </row>
    <row r="3" spans="1:15" x14ac:dyDescent="0.25">
      <c r="A3" s="1274" t="s">
        <v>116</v>
      </c>
      <c r="B3" s="1274"/>
      <c r="C3" s="1274"/>
      <c r="D3" s="1275" t="s">
        <v>330</v>
      </c>
      <c r="E3" s="1275"/>
      <c r="F3" s="265"/>
      <c r="G3" s="1221"/>
      <c r="H3" s="1221"/>
      <c r="I3" s="1221"/>
      <c r="J3" s="495"/>
      <c r="K3" s="421"/>
      <c r="L3" s="421"/>
      <c r="M3" s="421"/>
      <c r="N3" s="421"/>
      <c r="O3" s="421"/>
    </row>
    <row r="4" spans="1:15" x14ac:dyDescent="0.25">
      <c r="A4" s="1274" t="s">
        <v>118</v>
      </c>
      <c r="B4" s="1274"/>
      <c r="C4" s="1274"/>
      <c r="D4" s="1275" t="e">
        <f>HARVARLD!F6</f>
        <v>#REF!</v>
      </c>
      <c r="E4" s="1275"/>
      <c r="F4" s="265" t="s">
        <v>11</v>
      </c>
      <c r="G4" s="1221"/>
      <c r="H4" s="1221"/>
      <c r="I4" s="1221"/>
      <c r="J4" s="495"/>
      <c r="K4" s="421"/>
      <c r="L4" s="421"/>
      <c r="M4" s="421"/>
      <c r="N4" s="421"/>
      <c r="O4" s="421"/>
    </row>
    <row r="5" spans="1:15" x14ac:dyDescent="0.25">
      <c r="A5" s="1274" t="s">
        <v>121</v>
      </c>
      <c r="B5" s="1274"/>
      <c r="C5" s="1274"/>
      <c r="D5" s="1275" t="e">
        <f>HARVARLD!F8</f>
        <v>#REF!</v>
      </c>
      <c r="E5" s="1275"/>
      <c r="F5" s="265" t="s">
        <v>11</v>
      </c>
      <c r="G5" s="1221"/>
      <c r="H5" s="1221"/>
      <c r="I5" s="1221"/>
      <c r="J5" s="495"/>
      <c r="K5" s="421"/>
      <c r="L5" s="421"/>
      <c r="M5" s="421"/>
      <c r="N5" s="421"/>
      <c r="O5" s="421"/>
    </row>
    <row r="6" spans="1:15" x14ac:dyDescent="0.25">
      <c r="A6" s="1274" t="s">
        <v>124</v>
      </c>
      <c r="B6" s="1274"/>
      <c r="C6" s="1274"/>
      <c r="D6" s="1433" t="e">
        <f>HARVARLD!F14</f>
        <v>#REF!</v>
      </c>
      <c r="E6" s="1433"/>
      <c r="F6" s="265" t="s">
        <v>11</v>
      </c>
      <c r="G6" s="1221"/>
      <c r="H6" s="1221"/>
      <c r="I6" s="1221"/>
      <c r="J6" s="495"/>
      <c r="K6" s="421"/>
      <c r="L6" s="421"/>
      <c r="M6" s="421"/>
      <c r="N6" s="421"/>
      <c r="O6" s="421"/>
    </row>
    <row r="7" spans="1:15" x14ac:dyDescent="0.25">
      <c r="A7" s="1274" t="s">
        <v>12</v>
      </c>
      <c r="B7" s="1274"/>
      <c r="C7" s="1274"/>
      <c r="D7" s="1275">
        <f>HARVARLD!F16</f>
        <v>23.7</v>
      </c>
      <c r="E7" s="1275"/>
      <c r="F7" s="265" t="s">
        <v>11</v>
      </c>
      <c r="G7" s="1221"/>
      <c r="H7" s="1221"/>
      <c r="I7" s="1221"/>
      <c r="J7" s="495"/>
      <c r="K7" s="421"/>
      <c r="L7" s="421"/>
      <c r="M7" s="421"/>
      <c r="N7" s="421"/>
      <c r="O7" s="421"/>
    </row>
    <row r="8" spans="1:15" x14ac:dyDescent="0.25">
      <c r="A8" s="1274" t="s">
        <v>14</v>
      </c>
      <c r="B8" s="1274"/>
      <c r="C8" s="1274"/>
      <c r="D8" s="1275">
        <f>HARVARLD!F23</f>
        <v>9.9469999999999992</v>
      </c>
      <c r="E8" s="1275"/>
      <c r="F8" s="265" t="s">
        <v>11</v>
      </c>
      <c r="G8" s="1221"/>
      <c r="H8" s="1221"/>
      <c r="I8" s="1221"/>
      <c r="J8" s="495"/>
      <c r="K8" s="421"/>
      <c r="L8" s="421"/>
      <c r="M8" s="421"/>
      <c r="N8" s="421"/>
      <c r="O8" s="421"/>
    </row>
    <row r="9" spans="1:15" x14ac:dyDescent="0.25">
      <c r="A9" s="305" t="s">
        <v>13</v>
      </c>
      <c r="B9" s="306"/>
      <c r="C9" s="306"/>
      <c r="D9" s="1275">
        <f>HARVARLD!F25</f>
        <v>13.34</v>
      </c>
      <c r="E9" s="1275"/>
      <c r="F9" s="265" t="s">
        <v>11</v>
      </c>
      <c r="G9" s="1221"/>
      <c r="H9" s="1221"/>
      <c r="I9" s="1221"/>
      <c r="J9" s="495"/>
      <c r="K9" s="421"/>
      <c r="L9" s="421"/>
      <c r="M9" s="421"/>
      <c r="N9" s="421"/>
      <c r="O9" s="421"/>
    </row>
    <row r="10" spans="1:15" x14ac:dyDescent="0.25">
      <c r="A10" s="1274" t="s">
        <v>130</v>
      </c>
      <c r="B10" s="1274"/>
      <c r="C10" s="1274"/>
      <c r="D10" s="1275">
        <f>HARVARLD!F27</f>
        <v>16</v>
      </c>
      <c r="E10" s="1275"/>
      <c r="F10" s="265" t="s">
        <v>16</v>
      </c>
      <c r="G10" s="1221"/>
      <c r="H10" s="1221"/>
      <c r="I10" s="1221"/>
      <c r="J10" s="495"/>
      <c r="K10" s="421"/>
      <c r="L10" s="421"/>
      <c r="M10" s="421"/>
      <c r="N10" s="421"/>
      <c r="O10" s="421"/>
    </row>
    <row r="11" spans="1:15" x14ac:dyDescent="0.25">
      <c r="A11" s="1274" t="s">
        <v>19</v>
      </c>
      <c r="B11" s="1274"/>
      <c r="C11" s="1274"/>
      <c r="D11" s="1275" t="e">
        <f>HARVARLD!F28</f>
        <v>#REF!</v>
      </c>
      <c r="E11" s="1275"/>
      <c r="F11" s="265" t="s">
        <v>20</v>
      </c>
      <c r="G11" s="1221"/>
      <c r="H11" s="1221"/>
      <c r="I11" s="1221"/>
      <c r="J11" s="495"/>
      <c r="K11" s="421"/>
      <c r="L11" s="421"/>
      <c r="M11" s="421"/>
      <c r="N11" s="421"/>
      <c r="O11" s="421"/>
    </row>
    <row r="12" spans="1:15" x14ac:dyDescent="0.25">
      <c r="A12" s="305" t="s">
        <v>137</v>
      </c>
      <c r="B12" s="306"/>
      <c r="C12" s="306"/>
      <c r="D12" s="1275">
        <f>HARVARLD!F30</f>
        <v>0.98199999999999998</v>
      </c>
      <c r="E12" s="1275"/>
      <c r="F12" s="265"/>
      <c r="G12" s="1221"/>
      <c r="H12" s="1221"/>
      <c r="I12" s="1221"/>
      <c r="J12" s="495"/>
      <c r="K12" s="421"/>
      <c r="L12" s="421"/>
      <c r="M12" s="421"/>
      <c r="N12" s="421"/>
      <c r="O12" s="421"/>
    </row>
    <row r="13" spans="1:15" x14ac:dyDescent="0.25">
      <c r="A13" s="305" t="s">
        <v>140</v>
      </c>
      <c r="B13" s="306"/>
      <c r="C13" s="306"/>
      <c r="D13" s="1275">
        <f>HARVARLD!F31</f>
        <v>0.68</v>
      </c>
      <c r="E13" s="1275"/>
      <c r="F13" s="265"/>
      <c r="G13" s="1221"/>
      <c r="H13" s="1221"/>
      <c r="I13" s="1221"/>
      <c r="J13" s="495"/>
      <c r="K13" s="421"/>
      <c r="L13" s="421"/>
      <c r="M13" s="421"/>
      <c r="N13" s="421"/>
      <c r="O13" s="421"/>
    </row>
    <row r="14" spans="1:15" x14ac:dyDescent="0.25">
      <c r="A14" s="305" t="s">
        <v>141</v>
      </c>
      <c r="B14" s="306"/>
      <c r="C14" s="306"/>
      <c r="D14" s="1275">
        <f>HARVARLD!F32</f>
        <v>0.69</v>
      </c>
      <c r="E14" s="1275"/>
      <c r="F14" s="265"/>
      <c r="G14" s="1221"/>
      <c r="H14" s="1221"/>
      <c r="I14" s="1221"/>
      <c r="J14" s="495"/>
      <c r="K14" s="421"/>
      <c r="L14" s="421"/>
      <c r="M14" s="421"/>
      <c r="N14" s="421"/>
      <c r="O14" s="421"/>
    </row>
    <row r="15" spans="1:15" x14ac:dyDescent="0.25">
      <c r="A15" s="1434" t="s">
        <v>2174</v>
      </c>
      <c r="B15" s="1434"/>
      <c r="C15" s="1434"/>
      <c r="D15" s="1435" t="e">
        <f>D5/(D7*D8)</f>
        <v>#REF!</v>
      </c>
      <c r="E15" s="1435"/>
      <c r="F15" s="272"/>
      <c r="G15" s="1221"/>
      <c r="H15" s="1221"/>
      <c r="I15" s="1221"/>
      <c r="J15" s="495"/>
      <c r="K15" s="421"/>
      <c r="L15" s="421"/>
      <c r="M15" s="421"/>
      <c r="N15" s="421"/>
      <c r="O15" s="421"/>
    </row>
    <row r="16" spans="1:15" x14ac:dyDescent="0.25">
      <c r="A16" s="1221"/>
      <c r="B16" s="1221"/>
      <c r="C16" s="1221"/>
      <c r="D16" s="1221"/>
      <c r="E16" s="1221"/>
      <c r="F16" s="1221"/>
      <c r="G16" s="1221"/>
      <c r="H16" s="1221"/>
      <c r="I16" s="1221"/>
      <c r="J16" s="421"/>
      <c r="K16" s="421"/>
      <c r="L16" s="424"/>
      <c r="M16" s="421"/>
      <c r="N16" s="421"/>
      <c r="O16" s="1222"/>
    </row>
    <row r="17" spans="1:15" x14ac:dyDescent="0.25">
      <c r="A17" s="421" t="s">
        <v>2175</v>
      </c>
      <c r="B17" s="1221"/>
      <c r="C17" s="1221"/>
      <c r="D17" s="1221"/>
      <c r="E17" s="1221"/>
      <c r="F17" s="1221"/>
      <c r="G17" s="1221"/>
      <c r="H17" s="1221"/>
      <c r="I17" s="1221"/>
      <c r="J17" s="421"/>
      <c r="K17" s="421"/>
      <c r="L17" s="424"/>
      <c r="M17" s="421"/>
      <c r="N17" s="421"/>
      <c r="O17" s="1222"/>
    </row>
    <row r="18" spans="1:15" x14ac:dyDescent="0.25">
      <c r="A18" s="495" t="s">
        <v>2176</v>
      </c>
      <c r="B18" s="1221"/>
      <c r="C18" s="1221"/>
      <c r="D18" s="1221"/>
      <c r="E18" s="1221"/>
      <c r="F18" s="1221"/>
      <c r="G18" s="1221"/>
      <c r="H18" s="1221"/>
      <c r="I18" s="1221"/>
      <c r="J18" s="421"/>
      <c r="K18" s="421"/>
      <c r="L18" s="424"/>
      <c r="M18" s="421"/>
      <c r="N18" s="421"/>
      <c r="O18" s="1222"/>
    </row>
    <row r="19" spans="1:15" x14ac:dyDescent="0.25">
      <c r="A19" s="421" t="s">
        <v>107</v>
      </c>
      <c r="B19" s="1221"/>
      <c r="C19" s="1221"/>
      <c r="D19" s="1221"/>
      <c r="E19" s="1221"/>
      <c r="F19" s="1221"/>
      <c r="G19" s="1221"/>
      <c r="H19" s="1221"/>
      <c r="I19" s="1221"/>
      <c r="J19" s="421"/>
      <c r="K19" s="421"/>
      <c r="L19" s="424"/>
      <c r="M19" s="421"/>
      <c r="N19" s="421"/>
      <c r="O19" s="1222"/>
    </row>
    <row r="20" spans="1:15" x14ac:dyDescent="0.25">
      <c r="A20" s="421" t="s">
        <v>2177</v>
      </c>
      <c r="B20" s="1221"/>
      <c r="C20" s="1221"/>
      <c r="D20" s="1221"/>
      <c r="E20" s="1221"/>
      <c r="F20" s="1221"/>
      <c r="G20" s="1221"/>
      <c r="H20" s="1221"/>
      <c r="I20" s="1221"/>
      <c r="J20" s="421"/>
      <c r="K20" s="421"/>
      <c r="L20" s="424"/>
      <c r="M20" s="421"/>
      <c r="N20" s="421"/>
      <c r="O20" s="1222"/>
    </row>
    <row r="21" spans="1:15" x14ac:dyDescent="0.25">
      <c r="A21" s="421" t="s">
        <v>2178</v>
      </c>
      <c r="B21" s="1221"/>
      <c r="C21" s="1221"/>
      <c r="D21" s="1221"/>
      <c r="E21" s="1221"/>
      <c r="F21" s="1221"/>
      <c r="G21" s="1221"/>
      <c r="H21" s="1221"/>
      <c r="I21" s="1221"/>
      <c r="J21" s="421"/>
      <c r="K21" s="421"/>
      <c r="L21" s="424"/>
      <c r="M21" s="421"/>
      <c r="N21" s="421"/>
      <c r="O21" s="421"/>
    </row>
    <row r="22" spans="1:15" x14ac:dyDescent="0.25">
      <c r="A22" s="421" t="s">
        <v>2179</v>
      </c>
      <c r="B22" s="1221"/>
      <c r="C22" s="1221"/>
      <c r="D22" s="1221"/>
      <c r="E22" s="1221"/>
      <c r="F22" s="1221"/>
      <c r="G22" s="1221"/>
      <c r="H22" s="1221"/>
      <c r="I22" s="1221"/>
      <c r="J22" s="421"/>
      <c r="K22" s="421"/>
      <c r="L22" s="424"/>
      <c r="M22" s="421"/>
      <c r="N22" s="421"/>
      <c r="O22" s="421"/>
    </row>
    <row r="23" spans="1:15" x14ac:dyDescent="0.25">
      <c r="A23" s="421" t="s">
        <v>2180</v>
      </c>
      <c r="B23" s="1221"/>
      <c r="C23" s="1221"/>
      <c r="D23" s="1221"/>
      <c r="E23" s="1221"/>
      <c r="F23" s="1221"/>
      <c r="G23" s="1221"/>
      <c r="H23" s="1221"/>
      <c r="I23" s="1221"/>
      <c r="J23" s="421"/>
      <c r="K23" s="421"/>
      <c r="L23" s="424"/>
      <c r="M23" s="421"/>
      <c r="N23" s="421"/>
      <c r="O23" s="421"/>
    </row>
    <row r="24" spans="1:15" x14ac:dyDescent="0.25">
      <c r="A24" s="421" t="s">
        <v>2181</v>
      </c>
      <c r="B24" s="1221"/>
      <c r="C24" s="1221"/>
      <c r="D24" s="1221"/>
      <c r="E24" s="1221"/>
      <c r="F24" s="1221"/>
      <c r="G24" s="1221"/>
      <c r="H24" s="1221"/>
      <c r="I24" s="1221"/>
      <c r="J24" s="421"/>
      <c r="K24" s="421"/>
      <c r="L24" s="424"/>
      <c r="M24" s="421"/>
      <c r="N24" s="421"/>
      <c r="O24" s="421"/>
    </row>
    <row r="25" spans="1:15" x14ac:dyDescent="0.25">
      <c r="A25" s="421" t="s">
        <v>2182</v>
      </c>
      <c r="B25" s="1221"/>
      <c r="C25" s="1221"/>
      <c r="D25" s="1221"/>
      <c r="E25" s="1221"/>
      <c r="F25" s="1221"/>
      <c r="G25" s="1221"/>
      <c r="H25" s="1221"/>
      <c r="I25" s="1221"/>
      <c r="J25" s="421"/>
      <c r="K25" s="421"/>
      <c r="L25" s="454"/>
      <c r="M25" s="421"/>
      <c r="N25" s="421"/>
      <c r="O25" s="421"/>
    </row>
    <row r="26" spans="1:15" x14ac:dyDescent="0.25">
      <c r="A26" s="1221"/>
      <c r="B26" s="1221"/>
      <c r="C26" s="1221"/>
      <c r="D26" s="1221"/>
      <c r="E26" s="1221"/>
      <c r="F26" s="1221"/>
      <c r="G26" s="1221"/>
      <c r="H26" s="1221"/>
      <c r="I26" s="1221"/>
      <c r="J26" s="421"/>
      <c r="K26" s="421"/>
      <c r="L26" s="424"/>
      <c r="M26" s="421"/>
      <c r="N26" s="421"/>
      <c r="O26" s="421"/>
    </row>
    <row r="27" spans="1:15" x14ac:dyDescent="0.25">
      <c r="A27" s="495" t="s">
        <v>2176</v>
      </c>
      <c r="B27" s="1221"/>
      <c r="C27" s="1221"/>
      <c r="D27" s="1221"/>
      <c r="E27" s="1221"/>
      <c r="F27" s="1221"/>
      <c r="G27" s="1221"/>
      <c r="H27" s="1221"/>
      <c r="I27" s="1221"/>
      <c r="J27" s="421"/>
      <c r="K27" s="421"/>
      <c r="L27" s="424"/>
      <c r="M27" s="421"/>
      <c r="N27" s="1223"/>
      <c r="O27" s="421"/>
    </row>
    <row r="28" spans="1:15" x14ac:dyDescent="0.25">
      <c r="A28" s="1221"/>
      <c r="B28" s="1221"/>
      <c r="C28" s="1221"/>
      <c r="D28" s="1221"/>
      <c r="E28" s="1221"/>
      <c r="F28" s="1221"/>
      <c r="G28" s="1221"/>
      <c r="H28" s="1221"/>
      <c r="I28" s="1221"/>
      <c r="J28" s="421"/>
      <c r="K28" s="421"/>
      <c r="L28" s="421"/>
      <c r="M28" s="421"/>
      <c r="N28" s="421"/>
      <c r="O28" s="421"/>
    </row>
    <row r="29" spans="1:15" x14ac:dyDescent="0.25">
      <c r="A29" s="421" t="s">
        <v>107</v>
      </c>
      <c r="B29" s="1221"/>
      <c r="C29" s="1221"/>
      <c r="D29" s="1221"/>
      <c r="E29" s="1221"/>
      <c r="F29" s="1221"/>
      <c r="G29" s="1221"/>
      <c r="H29" s="1221"/>
      <c r="I29" s="1221"/>
      <c r="J29" s="421"/>
      <c r="K29" s="421"/>
      <c r="L29" s="421"/>
      <c r="M29" s="421"/>
      <c r="N29" s="421"/>
      <c r="O29" s="421"/>
    </row>
    <row r="30" spans="1:15" x14ac:dyDescent="0.25">
      <c r="A30" s="390" t="s">
        <v>2183</v>
      </c>
      <c r="B30" s="421" t="s">
        <v>2184</v>
      </c>
      <c r="C30" s="1221"/>
      <c r="D30" s="1221"/>
      <c r="E30" s="1224">
        <v>1.026</v>
      </c>
      <c r="F30" s="1221"/>
      <c r="G30" s="1221"/>
      <c r="H30" s="1221"/>
      <c r="I30" s="1221"/>
      <c r="J30" s="1221"/>
      <c r="K30" s="1221"/>
      <c r="L30" s="1221"/>
      <c r="M30" s="1221"/>
      <c r="N30" s="1221"/>
      <c r="O30" s="1221"/>
    </row>
    <row r="31" spans="1:15" x14ac:dyDescent="0.25">
      <c r="A31" s="390" t="s">
        <v>10</v>
      </c>
      <c r="B31" s="1225" t="e">
        <f>D5*D7*D8*D15*E30</f>
        <v>#REF!</v>
      </c>
      <c r="C31" s="1221"/>
      <c r="D31" s="1221"/>
      <c r="E31" s="1221"/>
      <c r="F31" s="1221"/>
      <c r="G31" s="1221"/>
      <c r="H31" s="1221"/>
      <c r="I31" s="1221"/>
      <c r="M31" s="1221"/>
      <c r="N31" s="1221"/>
      <c r="O31" s="1221"/>
    </row>
    <row r="32" spans="1:15" x14ac:dyDescent="0.25">
      <c r="A32" s="546"/>
      <c r="B32" s="1221"/>
      <c r="C32" s="1221"/>
      <c r="D32" s="1221"/>
      <c r="E32" s="1221"/>
      <c r="F32" s="1221"/>
      <c r="G32" s="1221"/>
      <c r="H32" s="1221"/>
      <c r="I32" s="1221"/>
      <c r="M32" s="1221"/>
      <c r="N32" s="1221"/>
      <c r="O32" s="1221"/>
    </row>
    <row r="33" spans="1:15" x14ac:dyDescent="0.25">
      <c r="A33" s="390" t="s">
        <v>1278</v>
      </c>
      <c r="B33" s="421" t="s">
        <v>2185</v>
      </c>
      <c r="C33" s="1221"/>
      <c r="D33" s="1221"/>
      <c r="E33" s="1221"/>
      <c r="F33" s="1221"/>
      <c r="G33" s="1221"/>
      <c r="H33" s="1221"/>
      <c r="I33" s="1221"/>
      <c r="M33" s="1221"/>
      <c r="N33" s="1221"/>
      <c r="O33" s="1221"/>
    </row>
    <row r="34" spans="1:15" x14ac:dyDescent="0.25">
      <c r="A34" s="390" t="s">
        <v>10</v>
      </c>
      <c r="B34" s="421" t="s">
        <v>2186</v>
      </c>
      <c r="C34" s="1221"/>
      <c r="D34" s="1221"/>
      <c r="E34" s="1221"/>
      <c r="F34" s="1226" t="s">
        <v>2187</v>
      </c>
      <c r="G34" s="1227" t="s">
        <v>2188</v>
      </c>
      <c r="H34" s="1228" t="s">
        <v>2189</v>
      </c>
      <c r="I34" s="1221"/>
      <c r="M34" s="1221"/>
      <c r="N34" s="1221"/>
      <c r="O34" s="1221"/>
    </row>
    <row r="35" spans="1:15" x14ac:dyDescent="0.25">
      <c r="A35" s="390" t="s">
        <v>10</v>
      </c>
      <c r="B35" s="1221">
        <f>(D9-D8)+((G35)+(4*G36))</f>
        <v>15.893000000000001</v>
      </c>
      <c r="C35" s="1221"/>
      <c r="D35" s="1221"/>
      <c r="E35" s="1221"/>
      <c r="F35" s="1229" t="s">
        <v>2190</v>
      </c>
      <c r="G35" s="1221">
        <v>2.5</v>
      </c>
      <c r="H35" s="1230">
        <f>D7</f>
        <v>23.7</v>
      </c>
      <c r="I35" s="1221"/>
      <c r="M35" s="1221"/>
      <c r="N35" s="1221"/>
      <c r="O35" s="1221"/>
    </row>
    <row r="36" spans="1:15" x14ac:dyDescent="0.25">
      <c r="C36" s="1221"/>
      <c r="D36" s="1221"/>
      <c r="E36" s="1221"/>
      <c r="F36" s="1229" t="s">
        <v>2191</v>
      </c>
      <c r="G36" s="1221">
        <v>2.5</v>
      </c>
      <c r="H36" s="1230">
        <v>16.2486</v>
      </c>
      <c r="I36" s="1221"/>
      <c r="J36" s="1221"/>
      <c r="K36" s="1221"/>
      <c r="L36" s="1221"/>
      <c r="M36" s="1221"/>
      <c r="N36" s="1221"/>
      <c r="O36" s="1221"/>
    </row>
    <row r="37" spans="1:15" x14ac:dyDescent="0.25">
      <c r="A37" s="390"/>
      <c r="B37" s="421"/>
      <c r="C37" s="1221"/>
      <c r="D37" s="1221"/>
      <c r="E37" s="1221"/>
      <c r="F37" s="1229" t="s">
        <v>2192</v>
      </c>
      <c r="G37" s="1221">
        <v>2.5</v>
      </c>
      <c r="H37" s="1230">
        <v>13.9963</v>
      </c>
      <c r="I37" s="1221"/>
      <c r="J37" s="1221"/>
      <c r="K37" s="1221"/>
      <c r="L37" s="1221"/>
      <c r="M37" s="1221"/>
      <c r="N37" s="1221"/>
      <c r="O37" s="1221"/>
    </row>
    <row r="38" spans="1:15" x14ac:dyDescent="0.25">
      <c r="A38" s="390" t="s">
        <v>1167</v>
      </c>
      <c r="B38" s="421" t="s">
        <v>2193</v>
      </c>
      <c r="C38" s="1221"/>
      <c r="D38" s="1221"/>
      <c r="E38" s="1221"/>
      <c r="F38" s="1229" t="s">
        <v>2194</v>
      </c>
      <c r="G38" s="1221">
        <v>2.5</v>
      </c>
      <c r="H38" s="1230">
        <v>13.9963</v>
      </c>
      <c r="I38" s="1221"/>
      <c r="J38" s="1221"/>
      <c r="K38" s="1221"/>
      <c r="L38" s="1221"/>
      <c r="M38" s="1221"/>
      <c r="N38" s="1221"/>
      <c r="O38" s="1221"/>
    </row>
    <row r="39" spans="1:15" x14ac:dyDescent="0.25">
      <c r="A39" s="390" t="s">
        <v>10</v>
      </c>
      <c r="B39" s="1221" t="e">
        <f>(D5*D8)+((G35*H35)+(G36*H36)+(G37*H37)+(G39*H39)+(G38*H38))</f>
        <v>#REF!</v>
      </c>
      <c r="C39" s="1221"/>
      <c r="D39" s="1221"/>
      <c r="E39" s="1221"/>
      <c r="F39" s="1231" t="s">
        <v>2195</v>
      </c>
      <c r="G39" s="1232">
        <v>2.5</v>
      </c>
      <c r="H39" s="1233">
        <v>11.997999999999999</v>
      </c>
      <c r="I39" s="1234"/>
      <c r="J39" s="1235"/>
      <c r="K39" s="1235"/>
      <c r="L39" s="1235"/>
      <c r="M39" s="1235"/>
      <c r="N39" s="1235"/>
      <c r="O39" s="1235"/>
    </row>
    <row r="40" spans="1:15" x14ac:dyDescent="0.25">
      <c r="C40" s="1221"/>
      <c r="D40" s="1221"/>
      <c r="E40" s="1221"/>
      <c r="F40" s="1221"/>
      <c r="G40" s="1221"/>
      <c r="H40" s="1221"/>
      <c r="I40" s="1235"/>
      <c r="J40" s="1235"/>
      <c r="K40" s="1235"/>
      <c r="L40" s="1235"/>
      <c r="M40" s="1235"/>
      <c r="N40" s="1235"/>
      <c r="O40" s="1235"/>
    </row>
    <row r="42" spans="1:15" x14ac:dyDescent="0.25">
      <c r="A42" s="1236" t="s">
        <v>2196</v>
      </c>
      <c r="B42" s="495" t="s">
        <v>2197</v>
      </c>
      <c r="C42" s="1221"/>
      <c r="D42" s="1221"/>
      <c r="E42" s="1221"/>
      <c r="F42" s="1221"/>
      <c r="G42" s="1221"/>
      <c r="H42" s="1221"/>
      <c r="I42" s="1234"/>
      <c r="J42" s="1235"/>
      <c r="K42" s="1235"/>
      <c r="L42" s="1235"/>
      <c r="M42" s="1235"/>
    </row>
    <row r="43" spans="1:15" x14ac:dyDescent="0.25">
      <c r="A43" s="390" t="s">
        <v>10</v>
      </c>
      <c r="B43" s="1237" t="e">
        <f>B31^(2/3) + (2*B35*D7) + (B39/10)</f>
        <v>#REF!</v>
      </c>
      <c r="C43" s="1221"/>
      <c r="D43" s="1221"/>
      <c r="E43" s="1221"/>
      <c r="F43" s="1221"/>
      <c r="G43" s="1221"/>
      <c r="H43" s="1221"/>
      <c r="I43" s="1235"/>
      <c r="J43" s="1235"/>
      <c r="K43" s="1235"/>
      <c r="L43" s="1235"/>
      <c r="M43" s="1235"/>
    </row>
    <row r="44" spans="1:15" x14ac:dyDescent="0.25">
      <c r="A44" s="1238"/>
      <c r="B44" s="1235"/>
      <c r="C44" s="1235"/>
      <c r="D44" s="1235"/>
      <c r="E44" s="1235"/>
      <c r="F44" s="1235"/>
      <c r="G44" s="1235"/>
      <c r="H44" s="1221"/>
      <c r="I44" s="1221"/>
      <c r="J44" s="1221"/>
      <c r="K44" s="1221"/>
      <c r="L44" s="1221"/>
      <c r="M44" s="1221"/>
    </row>
    <row r="45" spans="1:15" x14ac:dyDescent="0.25">
      <c r="A45" s="635" t="s">
        <v>2198</v>
      </c>
      <c r="B45" s="1235"/>
      <c r="C45" s="1235"/>
      <c r="D45" s="1235"/>
      <c r="E45" s="1235"/>
      <c r="F45" s="1235"/>
      <c r="G45" s="1235"/>
      <c r="H45" s="1221"/>
      <c r="I45" s="1221"/>
      <c r="J45" s="1221"/>
      <c r="K45" s="1221"/>
      <c r="L45" s="1221"/>
      <c r="M45" s="1221"/>
    </row>
    <row r="46" spans="1:15" x14ac:dyDescent="0.25">
      <c r="A46" s="421" t="s">
        <v>2199</v>
      </c>
      <c r="B46" s="1221"/>
      <c r="C46" s="1221"/>
      <c r="D46" s="421"/>
      <c r="E46" s="1221"/>
      <c r="F46" s="1221"/>
      <c r="G46" s="1221"/>
      <c r="H46" s="546" t="s">
        <v>2200</v>
      </c>
      <c r="I46" s="1237" t="e">
        <f>B43</f>
        <v>#REF!</v>
      </c>
      <c r="J46" s="1221"/>
      <c r="K46" s="1221"/>
      <c r="L46" s="1221"/>
      <c r="M46" s="1221"/>
    </row>
    <row r="47" spans="1:15" x14ac:dyDescent="0.25">
      <c r="A47" s="421" t="s">
        <v>2201</v>
      </c>
      <c r="B47" s="421"/>
      <c r="C47" s="1221"/>
      <c r="D47" s="421"/>
      <c r="E47" s="1221"/>
      <c r="F47" s="1221"/>
      <c r="G47" s="1221"/>
      <c r="H47" s="1221"/>
      <c r="I47" s="1221"/>
      <c r="J47" s="1221"/>
      <c r="K47" s="1221"/>
      <c r="L47" s="1221"/>
      <c r="M47" s="1221"/>
    </row>
    <row r="48" spans="1:15" x14ac:dyDescent="0.25">
      <c r="A48" s="421"/>
      <c r="B48" s="421"/>
      <c r="C48" s="1221"/>
      <c r="D48" s="421"/>
      <c r="E48" s="1221"/>
      <c r="F48" s="1221"/>
      <c r="G48" s="1221"/>
      <c r="H48" s="1221"/>
      <c r="I48" s="1221"/>
      <c r="J48" s="1221"/>
      <c r="K48" s="1221"/>
      <c r="L48" s="1221"/>
      <c r="M48" s="1221"/>
    </row>
    <row r="49" spans="1:13" x14ac:dyDescent="0.25">
      <c r="A49" s="1236" t="s">
        <v>2202</v>
      </c>
      <c r="B49" s="495" t="s">
        <v>2203</v>
      </c>
      <c r="C49" s="1221"/>
      <c r="D49" s="1221"/>
      <c r="E49" s="1221"/>
      <c r="F49" s="1221"/>
      <c r="G49" s="1221"/>
      <c r="H49" s="1221"/>
      <c r="I49" s="1221"/>
      <c r="J49" s="1221"/>
      <c r="K49" s="1221"/>
      <c r="L49" s="1221"/>
      <c r="M49" s="1221"/>
    </row>
    <row r="50" spans="1:13" x14ac:dyDescent="0.25">
      <c r="A50" s="390"/>
      <c r="B50" s="421" t="s">
        <v>2204</v>
      </c>
      <c r="C50" s="1221"/>
      <c r="D50" s="421">
        <v>2</v>
      </c>
      <c r="E50" s="421" t="s">
        <v>2205</v>
      </c>
      <c r="F50" s="1221"/>
      <c r="G50" s="1221"/>
      <c r="H50" s="1221"/>
      <c r="I50" s="1221"/>
      <c r="J50" s="1221"/>
      <c r="K50" s="1221"/>
      <c r="L50" s="1221"/>
      <c r="M50" s="1221"/>
    </row>
    <row r="51" spans="1:13" x14ac:dyDescent="0.25">
      <c r="A51" s="390"/>
      <c r="B51" s="421" t="s">
        <v>2206</v>
      </c>
      <c r="C51" s="1221"/>
      <c r="D51" s="421">
        <v>5250</v>
      </c>
      <c r="E51" s="421" t="s">
        <v>648</v>
      </c>
      <c r="F51" s="1221"/>
      <c r="G51" s="1221"/>
      <c r="H51" s="1221"/>
      <c r="I51" s="1221"/>
      <c r="J51" s="1221"/>
      <c r="K51" s="1221"/>
      <c r="L51" s="1221"/>
      <c r="M51" s="1221"/>
    </row>
    <row r="52" spans="1:13" x14ac:dyDescent="0.25">
      <c r="A52" s="1236" t="s">
        <v>2207</v>
      </c>
      <c r="B52" s="495" t="s">
        <v>2208</v>
      </c>
      <c r="C52" s="1221"/>
      <c r="D52" s="421"/>
      <c r="E52" s="1221"/>
      <c r="F52" s="1221"/>
      <c r="G52" s="1221"/>
      <c r="H52" s="1221"/>
      <c r="I52" s="1221"/>
      <c r="J52" s="1221"/>
      <c r="K52" s="1221"/>
      <c r="L52" s="1221"/>
      <c r="M52" s="1221"/>
    </row>
    <row r="53" spans="1:13" x14ac:dyDescent="0.25">
      <c r="A53" s="1221"/>
      <c r="B53" s="421" t="s">
        <v>2209</v>
      </c>
      <c r="C53" s="1221"/>
      <c r="D53" s="421">
        <v>577.5</v>
      </c>
      <c r="E53" s="421" t="s">
        <v>11</v>
      </c>
      <c r="F53" s="1221">
        <f>9/(3*0.2203)</f>
        <v>13.617793917385383</v>
      </c>
      <c r="G53" s="1221"/>
      <c r="H53" s="1221"/>
      <c r="I53" s="1221"/>
      <c r="J53" s="1221"/>
      <c r="K53" s="1221"/>
      <c r="L53" s="1221"/>
      <c r="M53" s="1221"/>
    </row>
    <row r="54" spans="1:13" x14ac:dyDescent="0.25">
      <c r="A54" s="1221"/>
      <c r="B54" s="421" t="s">
        <v>2210</v>
      </c>
      <c r="C54" s="1221"/>
      <c r="D54" s="421"/>
      <c r="E54" s="1221"/>
      <c r="F54" s="1221"/>
      <c r="G54" s="1221"/>
      <c r="H54" s="1221"/>
      <c r="I54" s="1221"/>
      <c r="J54" s="1221"/>
      <c r="K54" s="1221"/>
      <c r="L54" s="1221"/>
      <c r="M54" s="1221"/>
    </row>
    <row r="55" spans="1:13" x14ac:dyDescent="0.25">
      <c r="A55" s="1236"/>
      <c r="B55" s="495"/>
      <c r="C55" s="421" t="s">
        <v>2211</v>
      </c>
      <c r="D55" s="1221">
        <v>73</v>
      </c>
      <c r="E55" s="421" t="s">
        <v>28</v>
      </c>
      <c r="F55" s="1221"/>
      <c r="G55" s="1221"/>
      <c r="H55" s="1221"/>
      <c r="I55" s="1221"/>
      <c r="J55" s="1221"/>
      <c r="K55" s="1221"/>
      <c r="L55" s="1221"/>
      <c r="M55" s="1221"/>
    </row>
    <row r="56" spans="1:13" x14ac:dyDescent="0.25">
      <c r="A56" s="495"/>
      <c r="B56" s="421"/>
      <c r="C56" s="421" t="s">
        <v>2212</v>
      </c>
      <c r="D56" s="1221">
        <v>64</v>
      </c>
      <c r="E56" s="421" t="s">
        <v>28</v>
      </c>
      <c r="F56" s="1221"/>
      <c r="G56" s="1221"/>
      <c r="H56" s="1221"/>
      <c r="I56" s="1221"/>
      <c r="J56" s="1221"/>
      <c r="K56" s="1221"/>
      <c r="L56" s="1221"/>
      <c r="M56" s="1221"/>
    </row>
    <row r="57" spans="1:13" x14ac:dyDescent="0.25">
      <c r="A57" s="1236"/>
      <c r="B57" s="495"/>
      <c r="C57" s="421" t="s">
        <v>2213</v>
      </c>
      <c r="D57" s="421">
        <v>56</v>
      </c>
      <c r="E57" s="421" t="s">
        <v>28</v>
      </c>
      <c r="F57" s="1221"/>
      <c r="G57" s="1221"/>
      <c r="H57" s="1221"/>
      <c r="I57" s="1221"/>
      <c r="J57" s="1221"/>
      <c r="K57" s="1221"/>
      <c r="L57" s="1221"/>
      <c r="M57" s="1221"/>
    </row>
    <row r="58" spans="1:13" x14ac:dyDescent="0.25">
      <c r="A58" s="1236" t="s">
        <v>2214</v>
      </c>
      <c r="B58" s="495" t="s">
        <v>2215</v>
      </c>
      <c r="C58" s="1221"/>
      <c r="D58" s="421"/>
      <c r="E58" s="1221"/>
      <c r="F58" s="1221"/>
      <c r="G58" s="1221"/>
      <c r="H58" s="1221"/>
      <c r="I58" s="1221"/>
      <c r="J58" s="1221"/>
      <c r="K58" s="1221"/>
      <c r="L58" s="1221"/>
      <c r="M58" s="1221"/>
    </row>
    <row r="59" spans="1:13" x14ac:dyDescent="0.25">
      <c r="A59" s="495"/>
      <c r="B59" s="421" t="s">
        <v>2216</v>
      </c>
      <c r="C59" s="1221"/>
      <c r="D59" s="1221">
        <v>220</v>
      </c>
      <c r="E59" s="421" t="s">
        <v>11</v>
      </c>
      <c r="F59" s="1221"/>
      <c r="G59" s="1221"/>
      <c r="H59" s="1221"/>
      <c r="I59" s="1221"/>
      <c r="J59" s="1221"/>
      <c r="K59" s="1221"/>
      <c r="L59" s="1221"/>
      <c r="M59" s="1221"/>
    </row>
    <row r="60" spans="1:13" x14ac:dyDescent="0.25">
      <c r="A60" s="421"/>
      <c r="B60" s="421" t="s">
        <v>2217</v>
      </c>
      <c r="C60" s="1221"/>
      <c r="D60" s="1221">
        <v>1024</v>
      </c>
      <c r="E60" s="421" t="s">
        <v>251</v>
      </c>
      <c r="F60" s="1221"/>
      <c r="G60" s="1221"/>
      <c r="H60" s="1221"/>
      <c r="I60" s="1221"/>
      <c r="J60" s="1221"/>
      <c r="K60" s="1221"/>
      <c r="L60" s="1221"/>
      <c r="M60" s="1221"/>
    </row>
    <row r="61" spans="1:13" x14ac:dyDescent="0.25">
      <c r="A61" s="1236" t="s">
        <v>2218</v>
      </c>
      <c r="B61" s="495" t="s">
        <v>2219</v>
      </c>
      <c r="C61" s="1221"/>
      <c r="D61" s="421"/>
      <c r="E61" s="1221"/>
      <c r="F61" s="1221"/>
      <c r="G61" s="1221"/>
      <c r="H61" s="1221"/>
      <c r="I61" s="1221"/>
      <c r="J61" s="1221"/>
      <c r="K61" s="1221"/>
      <c r="L61" s="1221"/>
      <c r="M61" s="1221"/>
    </row>
    <row r="62" spans="1:13" x14ac:dyDescent="0.25">
      <c r="A62" s="546"/>
      <c r="B62" s="421" t="s">
        <v>2220</v>
      </c>
      <c r="C62" s="1221"/>
      <c r="D62" s="421">
        <v>5</v>
      </c>
      <c r="E62" s="421" t="s">
        <v>2205</v>
      </c>
      <c r="F62" s="1221"/>
      <c r="G62" s="1221"/>
      <c r="H62" s="1221"/>
      <c r="I62" s="1221"/>
      <c r="J62" s="1221"/>
      <c r="K62" s="1221"/>
      <c r="L62" s="1221"/>
      <c r="M62" s="1221"/>
    </row>
    <row r="63" spans="1:13" x14ac:dyDescent="0.25">
      <c r="A63" s="495"/>
      <c r="B63" s="421" t="s">
        <v>2221</v>
      </c>
      <c r="C63" s="1221"/>
      <c r="D63" s="421">
        <v>190</v>
      </c>
      <c r="E63" s="421" t="s">
        <v>11</v>
      </c>
      <c r="F63" s="1221"/>
      <c r="G63" s="1221"/>
      <c r="H63" s="1221"/>
      <c r="I63" s="1221"/>
      <c r="J63" s="1221"/>
      <c r="K63" s="1221"/>
      <c r="L63" s="1221"/>
      <c r="M63" s="1221"/>
    </row>
    <row r="64" spans="1:13" x14ac:dyDescent="0.25">
      <c r="A64" s="421"/>
      <c r="B64" s="421" t="s">
        <v>2217</v>
      </c>
      <c r="C64" s="1221"/>
      <c r="D64" s="1221">
        <v>384</v>
      </c>
      <c r="E64" s="421" t="s">
        <v>251</v>
      </c>
      <c r="F64" s="1221"/>
      <c r="G64" s="1221"/>
      <c r="H64" s="1221"/>
      <c r="I64" s="1221"/>
      <c r="J64" s="1221"/>
      <c r="K64" s="1221"/>
      <c r="L64" s="1221"/>
      <c r="M64" s="1221"/>
    </row>
    <row r="65" spans="1:13" x14ac:dyDescent="0.25">
      <c r="A65" s="1221"/>
      <c r="B65" s="1221"/>
      <c r="C65" s="1221"/>
      <c r="D65" s="1221"/>
      <c r="E65" s="1221"/>
      <c r="F65" s="1221"/>
      <c r="G65" s="1221"/>
      <c r="H65" s="1221"/>
      <c r="I65" s="1221"/>
      <c r="J65" s="1221"/>
      <c r="K65" s="1221"/>
      <c r="L65" s="1221"/>
      <c r="M65" s="1221"/>
    </row>
    <row r="66" spans="1:13" x14ac:dyDescent="0.25">
      <c r="A66" s="1221"/>
      <c r="B66" s="495" t="s">
        <v>2222</v>
      </c>
      <c r="C66" s="1221"/>
      <c r="D66" s="1221"/>
      <c r="E66" s="1221"/>
      <c r="F66" s="1221"/>
      <c r="G66" s="1221"/>
      <c r="H66" s="1221"/>
      <c r="I66" s="1221"/>
      <c r="J66" s="1221"/>
      <c r="K66" s="1221"/>
      <c r="L66" s="1221"/>
      <c r="M66" s="1221"/>
    </row>
    <row r="67" spans="1:13" x14ac:dyDescent="0.25">
      <c r="A67" s="1221"/>
      <c r="B67" s="1221"/>
      <c r="C67" s="1221"/>
      <c r="D67" s="1221"/>
      <c r="E67" s="1221"/>
      <c r="F67" s="1221"/>
      <c r="G67" s="1221"/>
      <c r="H67" s="1221"/>
      <c r="I67" s="1221"/>
      <c r="J67" s="1221"/>
      <c r="K67" s="1221"/>
      <c r="L67" s="1221"/>
      <c r="M67" s="1221"/>
    </row>
    <row r="68" spans="1:13" x14ac:dyDescent="0.25">
      <c r="A68" s="421" t="s">
        <v>2223</v>
      </c>
      <c r="B68" s="1221"/>
      <c r="C68" s="1221"/>
      <c r="D68" s="1221"/>
      <c r="E68" s="1221"/>
      <c r="F68" s="1221"/>
      <c r="G68" s="1221"/>
      <c r="H68" s="1221"/>
      <c r="I68" s="1221"/>
      <c r="J68" s="1221"/>
      <c r="K68" s="1221"/>
      <c r="L68" s="1221"/>
      <c r="M68" s="1221"/>
    </row>
    <row r="69" spans="1:13" x14ac:dyDescent="0.25">
      <c r="A69" s="421" t="s">
        <v>2224</v>
      </c>
      <c r="B69" s="1221"/>
      <c r="C69" s="1221"/>
      <c r="D69" s="1221"/>
      <c r="E69" s="1221"/>
      <c r="F69" s="1221"/>
      <c r="G69" s="1221"/>
      <c r="H69" s="1221"/>
      <c r="I69" s="1221"/>
      <c r="J69" s="1221"/>
      <c r="K69" s="1221"/>
      <c r="L69" s="1221"/>
      <c r="M69" s="1221"/>
    </row>
    <row r="70" spans="1:13" x14ac:dyDescent="0.25">
      <c r="A70" s="1236" t="s">
        <v>2225</v>
      </c>
      <c r="B70" s="495" t="s">
        <v>2226</v>
      </c>
      <c r="C70" s="1221"/>
      <c r="D70" s="1221"/>
      <c r="E70" s="1221"/>
      <c r="F70" s="1221"/>
      <c r="G70" s="1221"/>
      <c r="H70" s="1221"/>
      <c r="I70" s="1221" t="s">
        <v>2227</v>
      </c>
      <c r="J70" s="1221"/>
      <c r="K70" s="1221"/>
      <c r="L70" s="1221"/>
      <c r="M70" s="1221"/>
    </row>
    <row r="71" spans="1:13" x14ac:dyDescent="0.25">
      <c r="A71" s="1221"/>
      <c r="B71" s="421" t="s">
        <v>2228</v>
      </c>
      <c r="C71" s="1221"/>
      <c r="D71" s="1221"/>
      <c r="E71" s="1221"/>
      <c r="F71" s="1221"/>
      <c r="G71" s="1221"/>
      <c r="H71" s="1221"/>
      <c r="I71" s="1221" t="s">
        <v>2229</v>
      </c>
      <c r="J71" s="1221"/>
      <c r="K71" s="1221"/>
      <c r="L71" s="1221"/>
      <c r="M71" s="1221"/>
    </row>
    <row r="72" spans="1:13" x14ac:dyDescent="0.25">
      <c r="A72" s="1221"/>
      <c r="B72" s="421" t="s">
        <v>676</v>
      </c>
      <c r="C72" s="1221"/>
      <c r="D72" s="1221"/>
      <c r="E72" s="1221"/>
      <c r="F72" s="1221"/>
      <c r="G72" s="1221"/>
      <c r="H72" s="1221"/>
      <c r="I72" s="1221"/>
      <c r="J72" s="1221"/>
      <c r="K72" s="1221"/>
      <c r="L72" s="1221"/>
      <c r="M72" s="1221"/>
    </row>
    <row r="73" spans="1:13" x14ac:dyDescent="0.25">
      <c r="A73" s="1221"/>
      <c r="B73" s="421" t="s">
        <v>2230</v>
      </c>
      <c r="C73" s="1221"/>
      <c r="D73" s="1221">
        <f>D51</f>
        <v>5250</v>
      </c>
      <c r="E73" s="421" t="s">
        <v>648</v>
      </c>
      <c r="F73" s="1221"/>
      <c r="G73" s="1221"/>
      <c r="H73" s="1221"/>
      <c r="I73" s="1221"/>
      <c r="J73" s="1221"/>
      <c r="K73" s="1221"/>
      <c r="L73" s="1221"/>
      <c r="M73" s="1221"/>
    </row>
    <row r="74" spans="1:13" x14ac:dyDescent="0.25">
      <c r="A74" s="1221"/>
      <c r="B74" s="421" t="s">
        <v>2231</v>
      </c>
      <c r="C74" s="1221"/>
      <c r="D74" s="1221"/>
      <c r="E74" s="1221"/>
      <c r="F74" s="1239">
        <v>5</v>
      </c>
      <c r="G74" s="421" t="s">
        <v>11</v>
      </c>
      <c r="H74" s="1221"/>
      <c r="I74" s="1221"/>
      <c r="J74" s="1221"/>
      <c r="K74" s="1221"/>
      <c r="L74" s="1221"/>
      <c r="M74" s="1221"/>
    </row>
    <row r="75" spans="1:13" x14ac:dyDescent="0.25">
      <c r="A75" s="1221"/>
      <c r="B75" s="421" t="s">
        <v>2232</v>
      </c>
      <c r="C75" s="1221"/>
      <c r="D75" s="1221"/>
      <c r="E75" s="1221"/>
      <c r="F75" s="1221"/>
      <c r="G75" s="1221"/>
      <c r="H75" s="1221"/>
      <c r="I75" s="1221"/>
      <c r="J75" s="1221"/>
      <c r="K75" s="1221"/>
      <c r="L75" s="1221"/>
      <c r="M75" s="1221"/>
    </row>
    <row r="76" spans="1:13" x14ac:dyDescent="0.25">
      <c r="A76" s="1221"/>
      <c r="B76" s="390" t="s">
        <v>2233</v>
      </c>
      <c r="C76" s="421" t="s">
        <v>2234</v>
      </c>
      <c r="D76" s="1221"/>
      <c r="E76" s="1221"/>
      <c r="F76" s="1221">
        <v>2.3E-2</v>
      </c>
      <c r="G76" s="1221"/>
      <c r="H76" s="1221"/>
      <c r="I76" s="1221"/>
      <c r="J76" s="1221"/>
      <c r="K76" s="1221"/>
      <c r="L76" s="1221"/>
      <c r="M76" s="1221"/>
    </row>
    <row r="77" spans="1:13" x14ac:dyDescent="0.25">
      <c r="A77" s="1221"/>
      <c r="B77" s="390" t="s">
        <v>10</v>
      </c>
      <c r="C77" s="1221">
        <f>F76*(F77^2)</f>
        <v>94.207999999999998</v>
      </c>
      <c r="D77" s="1221"/>
      <c r="E77" s="421" t="s">
        <v>2235</v>
      </c>
      <c r="F77" s="1221">
        <v>64</v>
      </c>
      <c r="G77" s="421" t="s">
        <v>28</v>
      </c>
      <c r="H77" s="1221"/>
      <c r="I77" s="1221"/>
      <c r="J77" s="1221"/>
      <c r="K77" s="1221"/>
      <c r="L77" s="1221"/>
      <c r="M77" s="1221"/>
    </row>
    <row r="78" spans="1:13" x14ac:dyDescent="0.25">
      <c r="A78" s="1221"/>
      <c r="B78" s="421"/>
      <c r="C78" s="1221"/>
      <c r="D78" s="1221"/>
      <c r="E78" s="1221"/>
      <c r="F78" s="1221"/>
      <c r="G78" s="1221"/>
      <c r="H78" s="1221"/>
      <c r="I78" s="1221"/>
      <c r="J78" s="1221"/>
      <c r="K78" s="1221"/>
      <c r="L78" s="1221"/>
      <c r="M78" s="1221"/>
    </row>
    <row r="79" spans="1:13" x14ac:dyDescent="0.25">
      <c r="A79" s="1221"/>
      <c r="B79" s="421" t="s">
        <v>2236</v>
      </c>
      <c r="C79" s="1221"/>
      <c r="D79" s="1221"/>
      <c r="E79" s="1221"/>
      <c r="F79" s="1221"/>
      <c r="G79" s="1221"/>
      <c r="H79" s="1221"/>
      <c r="I79" s="1221"/>
      <c r="J79" s="1221"/>
      <c r="K79" s="1221"/>
      <c r="L79" s="1221"/>
      <c r="M79" s="1221"/>
    </row>
    <row r="80" spans="1:13" x14ac:dyDescent="0.25">
      <c r="A80" s="1221"/>
      <c r="B80" s="421" t="s">
        <v>2228</v>
      </c>
      <c r="C80" s="1221"/>
      <c r="D80" s="1221"/>
      <c r="E80" s="1221"/>
      <c r="F80" s="1221"/>
      <c r="G80" s="1221"/>
      <c r="H80" s="1221"/>
      <c r="I80" s="1221"/>
      <c r="J80" s="1221"/>
      <c r="K80" s="1221"/>
      <c r="L80" s="1221"/>
      <c r="M80" s="1221"/>
    </row>
    <row r="81" spans="1:13" x14ac:dyDescent="0.25">
      <c r="A81" s="1221"/>
      <c r="B81" s="1225">
        <f>2.35*(D73+(C77*F74))</f>
        <v>13444.444000000001</v>
      </c>
      <c r="C81" s="421" t="s">
        <v>648</v>
      </c>
      <c r="D81" s="1221"/>
      <c r="E81" s="1221"/>
      <c r="F81" s="1221"/>
      <c r="G81" s="1221"/>
      <c r="H81" s="1221"/>
      <c r="I81" s="1221"/>
      <c r="J81" s="1221"/>
      <c r="K81" s="1221"/>
      <c r="L81" s="1221"/>
      <c r="M81" s="1221"/>
    </row>
    <row r="82" spans="1:13" x14ac:dyDescent="0.25">
      <c r="A82" s="1221"/>
      <c r="B82" s="1225">
        <f>B81/1000</f>
        <v>13.444444000000001</v>
      </c>
      <c r="C82" s="421" t="s">
        <v>134</v>
      </c>
      <c r="D82" s="1221"/>
      <c r="E82" s="1221"/>
      <c r="F82" s="1221"/>
      <c r="G82" s="1221"/>
      <c r="H82" s="1221"/>
      <c r="I82" s="1221"/>
      <c r="J82" s="1221"/>
      <c r="K82" s="1221"/>
      <c r="L82" s="1221"/>
      <c r="M82" s="1221"/>
    </row>
    <row r="83" spans="1:13" x14ac:dyDescent="0.25">
      <c r="A83" s="1221"/>
      <c r="B83" s="421"/>
      <c r="C83" s="1221"/>
      <c r="D83" s="1221"/>
      <c r="E83" s="1221"/>
      <c r="F83" s="1221"/>
      <c r="G83" s="1221"/>
      <c r="H83" s="1221"/>
      <c r="I83" s="1221"/>
      <c r="J83" s="1221"/>
      <c r="K83" s="1221"/>
      <c r="L83" s="1221"/>
      <c r="M83" s="1221"/>
    </row>
    <row r="84" spans="1:13" x14ac:dyDescent="0.25">
      <c r="A84" s="1236" t="s">
        <v>2207</v>
      </c>
      <c r="B84" s="495" t="s">
        <v>2237</v>
      </c>
      <c r="C84" s="1221"/>
      <c r="D84" s="1221"/>
      <c r="E84" s="1221"/>
      <c r="F84" s="1221"/>
      <c r="G84" s="1221"/>
      <c r="H84" s="1221"/>
      <c r="I84" s="1221"/>
      <c r="J84" s="1221"/>
      <c r="K84" s="1221"/>
      <c r="L84" s="1221"/>
      <c r="M84" s="1221"/>
    </row>
    <row r="85" spans="1:13" x14ac:dyDescent="0.25">
      <c r="A85" s="1221"/>
      <c r="B85" s="421" t="s">
        <v>2238</v>
      </c>
      <c r="C85" s="1221"/>
      <c r="D85" s="1221"/>
      <c r="E85" s="1221"/>
      <c r="F85" s="1221"/>
      <c r="G85" s="1221"/>
      <c r="H85" s="1221"/>
      <c r="I85" s="1221"/>
      <c r="J85" s="1221"/>
      <c r="K85" s="1221"/>
      <c r="L85" s="1221"/>
      <c r="M85" s="1221"/>
    </row>
    <row r="86" spans="1:13" x14ac:dyDescent="0.25">
      <c r="A86" s="1221"/>
      <c r="B86" s="421" t="s">
        <v>676</v>
      </c>
      <c r="C86" s="1221"/>
      <c r="D86" s="1221"/>
      <c r="E86" s="1221"/>
      <c r="F86" s="1221"/>
      <c r="G86" s="1221"/>
      <c r="H86" s="1221"/>
      <c r="I86" s="1221"/>
      <c r="J86" s="1221"/>
      <c r="K86" s="1221"/>
      <c r="L86" s="1221"/>
      <c r="M86" s="1221"/>
    </row>
    <row r="87" spans="1:13" x14ac:dyDescent="0.25">
      <c r="A87" s="1221"/>
      <c r="B87" s="421" t="s">
        <v>2239</v>
      </c>
      <c r="C87" s="1221"/>
      <c r="D87" s="1221"/>
      <c r="E87" s="421"/>
      <c r="F87" s="1221"/>
      <c r="G87" s="1221"/>
      <c r="H87" s="1221"/>
      <c r="I87" s="1221"/>
      <c r="J87" s="1221"/>
      <c r="K87" s="1221"/>
      <c r="L87" s="1221"/>
      <c r="M87" s="1221"/>
    </row>
    <row r="88" spans="1:13" x14ac:dyDescent="0.25">
      <c r="A88" s="1221"/>
      <c r="B88" s="421" t="s">
        <v>2240</v>
      </c>
      <c r="C88" s="1221"/>
      <c r="D88" s="1221"/>
      <c r="E88" s="390" t="s">
        <v>2241</v>
      </c>
      <c r="F88" s="1221">
        <f>F77</f>
        <v>64</v>
      </c>
      <c r="G88" s="1221"/>
      <c r="H88" s="1221"/>
      <c r="I88" s="1221"/>
      <c r="J88" s="1221"/>
      <c r="K88" s="1221"/>
      <c r="L88" s="1221"/>
      <c r="M88" s="1221"/>
    </row>
    <row r="89" spans="1:13" x14ac:dyDescent="0.25">
      <c r="A89" s="1221"/>
      <c r="B89" s="546">
        <f>0.0136*F88</f>
        <v>0.87039999999999995</v>
      </c>
      <c r="C89" s="1221"/>
      <c r="D89" s="1221"/>
      <c r="E89" s="1221"/>
      <c r="F89" s="1221"/>
      <c r="G89" s="1221"/>
      <c r="H89" s="1221"/>
      <c r="I89" s="1221"/>
      <c r="J89" s="1221"/>
      <c r="K89" s="1221"/>
      <c r="L89" s="1221"/>
      <c r="M89" s="1221"/>
    </row>
    <row r="90" spans="1:13" x14ac:dyDescent="0.25">
      <c r="A90" s="1221"/>
      <c r="B90" s="421" t="s">
        <v>2242</v>
      </c>
      <c r="C90" s="1221"/>
      <c r="D90" s="1221"/>
      <c r="E90" s="1221">
        <v>0.9</v>
      </c>
      <c r="F90" s="1221"/>
      <c r="G90" s="1221"/>
      <c r="H90" s="1221"/>
      <c r="I90" s="1221"/>
      <c r="J90" s="1221"/>
      <c r="K90" s="1221"/>
      <c r="L90" s="1221"/>
      <c r="M90" s="1221"/>
    </row>
    <row r="91" spans="1:13" x14ac:dyDescent="0.25">
      <c r="A91" s="1221"/>
      <c r="B91" s="421" t="s">
        <v>2236</v>
      </c>
      <c r="C91" s="1221"/>
      <c r="D91" s="1221"/>
      <c r="E91" s="1221"/>
      <c r="F91" s="1221"/>
      <c r="G91" s="1221"/>
      <c r="H91" s="1221"/>
      <c r="I91" s="1221"/>
      <c r="J91" s="1221"/>
      <c r="K91" s="1221"/>
      <c r="L91" s="1221"/>
      <c r="M91" s="1221"/>
    </row>
    <row r="92" spans="1:13" x14ac:dyDescent="0.25">
      <c r="A92" s="1221"/>
      <c r="B92" s="421" t="s">
        <v>2238</v>
      </c>
      <c r="C92" s="1221"/>
      <c r="D92" s="1221"/>
      <c r="E92" s="1221"/>
      <c r="F92" s="1221"/>
      <c r="G92" s="1221"/>
      <c r="H92" s="1221"/>
      <c r="I92" s="1221"/>
      <c r="J92" s="1221"/>
      <c r="K92" s="1221"/>
      <c r="L92" s="1221"/>
      <c r="M92" s="1221"/>
    </row>
    <row r="93" spans="1:13" x14ac:dyDescent="0.25">
      <c r="A93" s="1221"/>
      <c r="B93" s="1225">
        <f>(B81*B89)/(2*E90)</f>
        <v>6501.1355875555555</v>
      </c>
      <c r="C93" s="421" t="s">
        <v>2243</v>
      </c>
      <c r="D93" s="1221"/>
      <c r="E93" s="1221"/>
      <c r="F93" s="1221"/>
      <c r="G93" s="1221"/>
      <c r="H93" s="1221"/>
      <c r="I93" s="1221"/>
      <c r="J93" s="1221"/>
      <c r="K93" s="1221"/>
      <c r="L93" s="1221"/>
      <c r="M93" s="1221"/>
    </row>
    <row r="94" spans="1:13" x14ac:dyDescent="0.25">
      <c r="A94" s="1221"/>
      <c r="B94" s="546"/>
      <c r="C94" s="1221"/>
      <c r="D94" s="1221"/>
      <c r="E94" s="1221"/>
      <c r="F94" s="1221"/>
      <c r="G94" s="1221"/>
      <c r="H94" s="1221"/>
      <c r="I94" s="1221"/>
      <c r="J94" s="1221"/>
      <c r="K94" s="1221"/>
      <c r="L94" s="1221"/>
      <c r="M94" s="1221"/>
    </row>
    <row r="95" spans="1:13" x14ac:dyDescent="0.25">
      <c r="A95" s="1236" t="s">
        <v>2214</v>
      </c>
      <c r="B95" s="495" t="s">
        <v>2244</v>
      </c>
      <c r="C95" s="1221"/>
      <c r="D95" s="1221"/>
      <c r="E95" s="1221"/>
      <c r="F95" s="1221"/>
      <c r="G95" s="1221"/>
      <c r="H95" s="1221"/>
      <c r="I95" s="1221"/>
      <c r="J95" s="1221"/>
      <c r="K95" s="1221"/>
      <c r="L95" s="1221"/>
      <c r="M95" s="1221"/>
    </row>
    <row r="96" spans="1:13" x14ac:dyDescent="0.25">
      <c r="A96" s="1221"/>
      <c r="B96" s="421" t="s">
        <v>2245</v>
      </c>
      <c r="C96" s="1221"/>
      <c r="D96" s="1221"/>
      <c r="E96" s="1221"/>
      <c r="F96" s="1221"/>
      <c r="G96" s="1221"/>
      <c r="H96" s="1221"/>
      <c r="I96" s="1221"/>
      <c r="J96" s="1221"/>
      <c r="K96" s="1221"/>
      <c r="L96" s="1221"/>
      <c r="M96" s="1221"/>
    </row>
    <row r="97" spans="1:13" x14ac:dyDescent="0.25">
      <c r="A97" s="1221"/>
      <c r="B97" s="421" t="s">
        <v>676</v>
      </c>
      <c r="C97" s="1221"/>
      <c r="D97" s="1221"/>
      <c r="E97" s="1221"/>
      <c r="F97" s="1221"/>
      <c r="G97" s="1221"/>
      <c r="H97" s="1221"/>
      <c r="I97" s="1221"/>
      <c r="J97" s="1221"/>
      <c r="K97" s="1221"/>
      <c r="L97" s="1221"/>
      <c r="M97" s="1221"/>
    </row>
    <row r="98" spans="1:13" x14ac:dyDescent="0.25">
      <c r="A98" s="1221"/>
      <c r="B98" s="421" t="s">
        <v>2246</v>
      </c>
      <c r="C98" s="1221"/>
      <c r="D98" s="1221"/>
      <c r="E98" s="1221"/>
      <c r="F98" s="1221"/>
      <c r="G98" s="1221"/>
      <c r="H98" s="1221"/>
      <c r="I98" s="1221"/>
      <c r="J98" s="1221"/>
      <c r="K98" s="1221"/>
      <c r="L98" s="1221"/>
      <c r="M98" s="1221"/>
    </row>
    <row r="99" spans="1:13" x14ac:dyDescent="0.25">
      <c r="A99" s="1221"/>
      <c r="B99" s="421" t="s">
        <v>2247</v>
      </c>
      <c r="C99" s="1221"/>
      <c r="D99" s="1221"/>
      <c r="E99" s="1221"/>
      <c r="F99" s="1221"/>
      <c r="G99" s="1221"/>
      <c r="H99" s="1221"/>
      <c r="I99" s="1221"/>
      <c r="J99" s="1221"/>
      <c r="K99" s="1221"/>
      <c r="L99" s="1221"/>
      <c r="M99" s="1221"/>
    </row>
    <row r="100" spans="1:13" x14ac:dyDescent="0.25">
      <c r="A100" s="1221"/>
      <c r="B100" s="421" t="s">
        <v>2248</v>
      </c>
      <c r="C100" s="1221"/>
      <c r="D100" s="1221"/>
      <c r="E100" s="1221"/>
      <c r="F100" s="1221"/>
      <c r="G100" s="1221"/>
      <c r="H100" s="1221">
        <v>1000</v>
      </c>
      <c r="I100" s="421" t="s">
        <v>622</v>
      </c>
      <c r="J100" s="1221"/>
      <c r="K100" s="1221"/>
      <c r="L100" s="1221"/>
      <c r="M100" s="1221"/>
    </row>
    <row r="101" spans="1:13" x14ac:dyDescent="0.25">
      <c r="A101" s="1221"/>
      <c r="B101" s="421" t="s">
        <v>2249</v>
      </c>
      <c r="C101" s="1221"/>
      <c r="D101" s="1221"/>
      <c r="E101" s="1221"/>
      <c r="F101" s="1221"/>
      <c r="G101" s="1221"/>
      <c r="H101" s="1221"/>
      <c r="I101" s="1221"/>
      <c r="J101" s="1221"/>
      <c r="K101" s="1221"/>
      <c r="L101" s="1221"/>
      <c r="M101" s="1221"/>
    </row>
    <row r="102" spans="1:13" x14ac:dyDescent="0.25">
      <c r="A102" s="1221"/>
      <c r="B102" s="421" t="s">
        <v>2250</v>
      </c>
      <c r="C102" s="1221"/>
      <c r="D102" s="1221"/>
      <c r="E102" s="1221"/>
      <c r="F102" s="390" t="s">
        <v>679</v>
      </c>
      <c r="G102" s="1221">
        <v>0.2</v>
      </c>
      <c r="H102" s="1221"/>
      <c r="I102" s="1221"/>
      <c r="J102" s="1221"/>
      <c r="K102" s="1221"/>
      <c r="L102" s="1221"/>
      <c r="M102" s="1221"/>
    </row>
    <row r="103" spans="1:13" x14ac:dyDescent="0.25">
      <c r="A103" s="1221"/>
      <c r="B103" s="546">
        <f>(60*G102)/(0.04*F77)</f>
        <v>4.6875</v>
      </c>
      <c r="C103" s="421" t="s">
        <v>622</v>
      </c>
      <c r="D103" s="1221"/>
      <c r="E103" s="1221"/>
      <c r="F103" s="1221"/>
      <c r="G103" s="1221"/>
      <c r="H103" s="1221"/>
      <c r="I103" s="1221"/>
      <c r="J103" s="1221"/>
      <c r="K103" s="1221"/>
      <c r="L103" s="1221"/>
      <c r="M103" s="1221"/>
    </row>
    <row r="104" spans="1:13" x14ac:dyDescent="0.25">
      <c r="A104" s="1221"/>
      <c r="B104" s="421" t="s">
        <v>2251</v>
      </c>
      <c r="C104" s="1221"/>
      <c r="D104" s="1221"/>
      <c r="E104" s="1221"/>
      <c r="F104" s="1221"/>
      <c r="G104" s="1221"/>
      <c r="H104" s="1221"/>
      <c r="I104" s="1221"/>
      <c r="J104" s="1221"/>
      <c r="K104" s="1221"/>
      <c r="L104" s="1221"/>
      <c r="M104" s="1221"/>
    </row>
    <row r="105" spans="1:13" x14ac:dyDescent="0.25">
      <c r="A105" s="1221"/>
      <c r="B105" s="1240">
        <f>H100/B103</f>
        <v>213.33333333333334</v>
      </c>
      <c r="C105" s="1221"/>
      <c r="D105" s="1221"/>
      <c r="E105" s="1221"/>
      <c r="F105" s="1221"/>
      <c r="G105" s="1221"/>
      <c r="H105" s="1221"/>
      <c r="I105" s="1221"/>
      <c r="J105" s="1221"/>
      <c r="K105" s="1221"/>
      <c r="L105" s="1221"/>
      <c r="M105" s="1221"/>
    </row>
    <row r="106" spans="1:13" x14ac:dyDescent="0.25">
      <c r="A106" s="1221"/>
      <c r="B106" s="421" t="s">
        <v>2252</v>
      </c>
      <c r="C106" s="1221"/>
      <c r="D106" s="1221"/>
      <c r="E106" s="1221"/>
      <c r="F106" s="1221"/>
      <c r="G106" s="1221">
        <v>0.75</v>
      </c>
      <c r="H106" s="1221"/>
      <c r="I106" s="1221"/>
      <c r="J106" s="1221"/>
      <c r="K106" s="1221"/>
      <c r="L106" s="1221"/>
      <c r="M106" s="1221"/>
    </row>
    <row r="107" spans="1:13" x14ac:dyDescent="0.25">
      <c r="A107" s="1221"/>
      <c r="B107" s="421" t="s">
        <v>2236</v>
      </c>
      <c r="C107" s="1221"/>
      <c r="D107" s="1221"/>
      <c r="E107" s="1221"/>
      <c r="F107" s="1221"/>
      <c r="G107" s="1221"/>
      <c r="H107" s="1221"/>
      <c r="I107" s="1221"/>
      <c r="J107" s="1221"/>
      <c r="K107" s="1221"/>
      <c r="L107" s="1221"/>
      <c r="M107" s="1221"/>
    </row>
    <row r="108" spans="1:13" x14ac:dyDescent="0.25">
      <c r="A108" s="1221"/>
      <c r="B108" s="421" t="s">
        <v>2245</v>
      </c>
      <c r="C108" s="1221"/>
      <c r="D108" s="1221"/>
      <c r="E108" s="1221"/>
      <c r="F108" s="1221"/>
      <c r="G108" s="1221"/>
      <c r="H108" s="1221"/>
      <c r="I108" s="1221"/>
      <c r="J108" s="1221"/>
      <c r="K108" s="1221"/>
      <c r="L108" s="1221"/>
      <c r="M108" s="1221"/>
    </row>
    <row r="109" spans="1:13" x14ac:dyDescent="0.25">
      <c r="A109" s="1221"/>
      <c r="B109" s="1240">
        <f>B93/(B105*G106)</f>
        <v>40.632097422222223</v>
      </c>
      <c r="C109" s="421" t="s">
        <v>622</v>
      </c>
      <c r="D109" s="1221"/>
      <c r="E109" s="1221"/>
      <c r="F109" s="1221"/>
      <c r="G109" s="1221"/>
      <c r="H109" s="1221"/>
      <c r="I109" s="1221"/>
      <c r="J109" s="1221"/>
      <c r="K109" s="1221"/>
      <c r="L109" s="1221"/>
      <c r="M109" s="1221"/>
    </row>
    <row r="110" spans="1:13" x14ac:dyDescent="0.25">
      <c r="A110" s="1221"/>
      <c r="B110" s="1240"/>
      <c r="C110" s="1221"/>
      <c r="D110" s="1221"/>
      <c r="E110" s="1221"/>
      <c r="F110" s="1221"/>
      <c r="G110" s="1221"/>
      <c r="H110" s="1221"/>
      <c r="I110" s="1221"/>
      <c r="J110" s="1221"/>
      <c r="K110" s="1221"/>
      <c r="L110" s="1221"/>
      <c r="M110" s="1221"/>
    </row>
    <row r="111" spans="1:13" x14ac:dyDescent="0.25">
      <c r="A111" s="1236" t="s">
        <v>2218</v>
      </c>
      <c r="B111" s="495" t="s">
        <v>2253</v>
      </c>
      <c r="C111" s="1221"/>
      <c r="D111" s="1221"/>
      <c r="E111" s="1221"/>
      <c r="F111" s="1221"/>
      <c r="G111" s="1221"/>
      <c r="H111" s="1221"/>
      <c r="I111" s="1221"/>
      <c r="J111" s="1221"/>
      <c r="K111" s="1221"/>
      <c r="L111" s="1221"/>
      <c r="M111" s="1221"/>
    </row>
    <row r="112" spans="1:13" x14ac:dyDescent="0.25">
      <c r="A112" s="1221"/>
      <c r="B112" s="421" t="s">
        <v>2254</v>
      </c>
      <c r="C112" s="1221"/>
      <c r="D112" s="1221"/>
      <c r="E112" s="1221"/>
      <c r="F112" s="1221"/>
      <c r="G112" s="1221"/>
      <c r="H112" s="1221"/>
      <c r="I112" s="1221"/>
      <c r="J112" s="1221"/>
      <c r="K112" s="1221"/>
      <c r="L112" s="1221"/>
      <c r="M112" s="1221"/>
    </row>
    <row r="113" spans="1:13" x14ac:dyDescent="0.25">
      <c r="A113" s="1221"/>
      <c r="B113" s="1241">
        <f>(B109*H100)/716.2</f>
        <v>56.732892239908153</v>
      </c>
      <c r="C113" s="421" t="s">
        <v>262</v>
      </c>
      <c r="D113" s="1221"/>
      <c r="E113" s="1221"/>
      <c r="F113" s="1221"/>
      <c r="G113" s="1221"/>
      <c r="H113" s="1221"/>
      <c r="I113" s="1221"/>
      <c r="J113" s="1221"/>
      <c r="K113" s="1221"/>
      <c r="L113" s="1221"/>
      <c r="M113" s="1221"/>
    </row>
    <row r="114" spans="1:13" x14ac:dyDescent="0.25">
      <c r="A114" s="1221"/>
      <c r="B114" s="1241"/>
      <c r="C114" s="421"/>
      <c r="D114" s="1221"/>
      <c r="E114" s="1221"/>
      <c r="F114" s="1221"/>
      <c r="G114" s="1221"/>
      <c r="H114" s="1221"/>
      <c r="I114" s="1221"/>
      <c r="J114" s="1221"/>
      <c r="K114" s="1221"/>
      <c r="L114" s="1221"/>
      <c r="M114" s="1221"/>
    </row>
    <row r="115" spans="1:13" x14ac:dyDescent="0.25">
      <c r="A115" s="1221"/>
      <c r="B115" s="495" t="s">
        <v>2255</v>
      </c>
      <c r="C115" s="1221"/>
      <c r="D115" s="1221"/>
      <c r="E115" s="1221"/>
      <c r="F115" s="1221"/>
      <c r="G115" s="1221"/>
      <c r="H115" s="1221"/>
      <c r="I115" s="1221"/>
      <c r="J115" s="1221"/>
      <c r="K115" s="1221"/>
      <c r="L115" s="1221"/>
      <c r="M115" s="1221"/>
    </row>
    <row r="116" spans="1:13" x14ac:dyDescent="0.25">
      <c r="A116" s="1221"/>
      <c r="B116" s="1221"/>
      <c r="C116" s="1221"/>
      <c r="D116" s="1221"/>
      <c r="E116" s="1221"/>
      <c r="F116" s="1221"/>
      <c r="G116" s="1221"/>
      <c r="H116" s="1221"/>
      <c r="I116" s="1221"/>
      <c r="J116" s="1221"/>
      <c r="K116" s="1221"/>
      <c r="L116" s="1221"/>
      <c r="M116" s="1221"/>
    </row>
    <row r="117" spans="1:13" x14ac:dyDescent="0.25">
      <c r="A117" s="1236" t="s">
        <v>2202</v>
      </c>
      <c r="B117" s="495" t="s">
        <v>2256</v>
      </c>
      <c r="C117" s="1221"/>
      <c r="D117" s="1221"/>
      <c r="E117" s="1221"/>
      <c r="F117" s="1221"/>
      <c r="G117" s="1221"/>
      <c r="H117" s="1221"/>
      <c r="I117" s="1221"/>
      <c r="J117" s="1221"/>
      <c r="K117" s="1221"/>
      <c r="L117" s="1221"/>
      <c r="M117" s="1221"/>
    </row>
    <row r="118" spans="1:13" x14ac:dyDescent="0.25">
      <c r="A118" s="1221"/>
      <c r="B118" s="421" t="s">
        <v>2257</v>
      </c>
      <c r="C118" s="1221">
        <f>D62</f>
        <v>5</v>
      </c>
      <c r="D118" s="1221"/>
      <c r="E118" s="1221"/>
      <c r="F118" s="1221"/>
      <c r="G118" s="1221"/>
      <c r="H118" s="1221"/>
      <c r="I118" s="1221"/>
      <c r="J118" s="1221"/>
      <c r="K118" s="1221"/>
      <c r="L118" s="1221"/>
      <c r="M118" s="1221"/>
    </row>
    <row r="119" spans="1:13" x14ac:dyDescent="0.25">
      <c r="A119" s="1221"/>
      <c r="B119" s="421" t="s">
        <v>2258</v>
      </c>
      <c r="C119" s="1221">
        <f>D63</f>
        <v>190</v>
      </c>
      <c r="D119" s="1221"/>
      <c r="E119" s="1221"/>
      <c r="F119" s="1221"/>
      <c r="G119" s="1221"/>
      <c r="H119" s="1221"/>
      <c r="I119" s="1221"/>
      <c r="J119" s="1221"/>
      <c r="K119" s="1221"/>
      <c r="L119" s="1221"/>
      <c r="M119" s="1221"/>
    </row>
    <row r="120" spans="1:13" x14ac:dyDescent="0.25">
      <c r="A120" s="1221"/>
      <c r="B120" s="421" t="s">
        <v>2217</v>
      </c>
      <c r="C120" s="421">
        <f>D64</f>
        <v>384</v>
      </c>
      <c r="D120" s="549" t="s">
        <v>251</v>
      </c>
      <c r="F120" s="1221"/>
      <c r="G120" s="1221"/>
      <c r="H120" s="1221"/>
      <c r="I120" s="1221"/>
      <c r="J120" s="1221"/>
      <c r="K120" s="1221"/>
      <c r="L120" s="1221"/>
      <c r="M120" s="1221"/>
    </row>
    <row r="121" spans="1:13" x14ac:dyDescent="0.25">
      <c r="A121" s="1221"/>
      <c r="B121" s="421"/>
      <c r="C121" s="1221">
        <f>C120*100</f>
        <v>38400</v>
      </c>
      <c r="D121" s="421" t="s">
        <v>249</v>
      </c>
      <c r="E121" s="421"/>
      <c r="F121" s="1221"/>
      <c r="G121" s="1221"/>
      <c r="H121" s="1221"/>
      <c r="I121" s="1221"/>
      <c r="J121" s="1221"/>
      <c r="K121" s="1221"/>
      <c r="L121" s="1221"/>
      <c r="M121" s="1221"/>
    </row>
    <row r="122" spans="1:13" x14ac:dyDescent="0.25">
      <c r="A122" s="1221"/>
      <c r="B122" s="1221"/>
      <c r="C122" s="1221"/>
      <c r="D122" s="1221"/>
      <c r="E122" s="1221"/>
      <c r="F122" s="1221"/>
      <c r="G122" s="1221"/>
      <c r="H122" s="1221"/>
      <c r="I122" s="1221"/>
      <c r="J122" s="1221"/>
      <c r="K122" s="1221"/>
      <c r="L122" s="1221"/>
      <c r="M122" s="1221"/>
    </row>
    <row r="123" spans="1:13" x14ac:dyDescent="0.25">
      <c r="A123" s="1236" t="s">
        <v>2207</v>
      </c>
      <c r="B123" s="495" t="s">
        <v>2259</v>
      </c>
      <c r="C123" s="1221"/>
      <c r="D123" s="1221"/>
      <c r="E123" s="1221"/>
      <c r="F123" s="1221"/>
      <c r="G123" s="1221"/>
      <c r="H123" s="1221"/>
      <c r="I123" s="1221"/>
      <c r="J123" s="1221"/>
      <c r="K123" s="1221"/>
      <c r="L123" s="1221"/>
      <c r="M123" s="1221"/>
    </row>
    <row r="124" spans="1:13" x14ac:dyDescent="0.25">
      <c r="A124" s="1221"/>
      <c r="B124" s="421" t="s">
        <v>2260</v>
      </c>
      <c r="C124" s="1221"/>
      <c r="D124" s="1221"/>
      <c r="E124" s="1221"/>
      <c r="F124" s="1221"/>
      <c r="G124" s="1221"/>
      <c r="H124" s="1221"/>
      <c r="I124" s="1221"/>
      <c r="J124" s="1221"/>
      <c r="K124" s="1221"/>
      <c r="L124" s="1221"/>
      <c r="M124" s="1221"/>
    </row>
    <row r="125" spans="1:13" x14ac:dyDescent="0.25">
      <c r="A125" s="1221"/>
      <c r="B125" s="1240">
        <f>C121/6</f>
        <v>6400</v>
      </c>
      <c r="C125" s="421" t="s">
        <v>249</v>
      </c>
      <c r="D125" s="1221"/>
      <c r="E125" s="1221"/>
      <c r="F125" s="1221"/>
      <c r="G125" s="1221"/>
      <c r="H125" s="1221"/>
      <c r="I125" s="1221"/>
      <c r="J125" s="1221"/>
      <c r="K125" s="1221"/>
      <c r="L125" s="1221"/>
      <c r="M125" s="1221"/>
    </row>
    <row r="126" spans="1:13" x14ac:dyDescent="0.25">
      <c r="A126" s="1221"/>
      <c r="B126" s="1221"/>
      <c r="C126" s="1221"/>
      <c r="D126" s="1221"/>
      <c r="E126" s="1221"/>
      <c r="F126" s="1221"/>
      <c r="G126" s="1221"/>
      <c r="H126" s="1221"/>
      <c r="I126" s="1221"/>
      <c r="J126" s="1221"/>
      <c r="K126" s="1221"/>
      <c r="L126" s="1221"/>
      <c r="M126" s="1221"/>
    </row>
    <row r="127" spans="1:13" x14ac:dyDescent="0.25">
      <c r="A127" s="1236" t="s">
        <v>2214</v>
      </c>
      <c r="B127" s="495" t="s">
        <v>2261</v>
      </c>
      <c r="C127" s="1221"/>
      <c r="D127" s="1221"/>
      <c r="E127" s="1221"/>
      <c r="F127" s="1221"/>
      <c r="G127" s="1221"/>
      <c r="H127" s="1221"/>
      <c r="I127" s="1221"/>
      <c r="J127" s="1221"/>
      <c r="K127" s="1221"/>
      <c r="L127" s="1221"/>
      <c r="M127" s="1221"/>
    </row>
    <row r="128" spans="1:13" x14ac:dyDescent="0.25">
      <c r="A128" s="1221"/>
      <c r="B128" s="421" t="s">
        <v>2262</v>
      </c>
      <c r="C128" s="1221"/>
      <c r="D128" s="1221"/>
      <c r="E128" s="1221"/>
      <c r="F128" s="1221"/>
      <c r="G128" s="1221"/>
      <c r="H128" s="1221"/>
      <c r="I128" s="1221"/>
      <c r="J128" s="1221"/>
      <c r="K128" s="1221"/>
      <c r="L128" s="1221"/>
      <c r="M128" s="1221"/>
    </row>
    <row r="129" spans="1:13" x14ac:dyDescent="0.25">
      <c r="A129" s="1221"/>
      <c r="B129" s="421" t="s">
        <v>676</v>
      </c>
      <c r="C129" s="1221"/>
      <c r="D129" s="1221"/>
      <c r="E129" s="1221"/>
      <c r="F129" s="1221"/>
      <c r="G129" s="1221"/>
      <c r="H129" s="1221"/>
      <c r="I129" s="1221"/>
      <c r="J129" s="1221"/>
      <c r="K129" s="1221"/>
      <c r="L129" s="1221"/>
      <c r="M129" s="1221"/>
    </row>
    <row r="130" spans="1:13" x14ac:dyDescent="0.25">
      <c r="A130" s="1221"/>
      <c r="B130" s="421" t="s">
        <v>2263</v>
      </c>
      <c r="C130" s="1221"/>
      <c r="D130" s="1221"/>
      <c r="E130" s="1221">
        <v>0.25</v>
      </c>
      <c r="F130" s="421" t="s">
        <v>129</v>
      </c>
      <c r="G130" s="1221"/>
      <c r="H130" s="1221"/>
      <c r="I130" s="1221"/>
      <c r="J130" s="1221"/>
      <c r="K130" s="1221"/>
      <c r="L130" s="1221"/>
      <c r="M130" s="1221"/>
    </row>
    <row r="131" spans="1:13" x14ac:dyDescent="0.25">
      <c r="A131" s="1221"/>
      <c r="B131" s="421" t="s">
        <v>2264</v>
      </c>
      <c r="C131" s="1221"/>
      <c r="D131" s="1221">
        <v>2.4E-2</v>
      </c>
      <c r="E131" s="421" t="s">
        <v>11</v>
      </c>
      <c r="F131" s="421" t="s">
        <v>2265</v>
      </c>
      <c r="G131" s="1221"/>
      <c r="H131" s="1221"/>
      <c r="I131" s="1221"/>
      <c r="J131" s="1221"/>
      <c r="K131" s="1221"/>
      <c r="L131" s="1221"/>
      <c r="M131" s="1221"/>
    </row>
    <row r="132" spans="1:13" x14ac:dyDescent="0.25">
      <c r="A132" s="1221"/>
      <c r="B132" s="421" t="s">
        <v>2266</v>
      </c>
      <c r="C132" s="1221"/>
      <c r="D132" s="1221"/>
      <c r="E132" s="1221"/>
      <c r="F132" s="1221"/>
      <c r="G132" s="1221"/>
      <c r="H132" s="1221"/>
      <c r="I132" s="1221"/>
      <c r="J132" s="1221"/>
      <c r="K132" s="1221"/>
      <c r="L132" s="1221"/>
      <c r="M132" s="1221"/>
    </row>
    <row r="133" spans="1:13" x14ac:dyDescent="0.25">
      <c r="A133" s="1221"/>
      <c r="B133" s="546">
        <f>7*D131</f>
        <v>0.16800000000000001</v>
      </c>
      <c r="C133" s="1221"/>
      <c r="D133" s="1221"/>
      <c r="E133" s="1221"/>
      <c r="F133" s="1221"/>
      <c r="G133" s="1221"/>
      <c r="H133" s="1221"/>
      <c r="I133" s="1221"/>
      <c r="J133" s="1221"/>
      <c r="K133" s="1221"/>
      <c r="L133" s="1221"/>
      <c r="M133" s="1221"/>
    </row>
    <row r="134" spans="1:13" x14ac:dyDescent="0.25">
      <c r="A134" s="1221"/>
      <c r="B134" s="421" t="s">
        <v>2262</v>
      </c>
      <c r="C134" s="1221"/>
      <c r="D134" s="1221"/>
      <c r="E134" s="1221"/>
      <c r="F134" s="1221"/>
      <c r="G134" s="1221"/>
      <c r="H134" s="1221"/>
      <c r="I134" s="1221"/>
      <c r="J134" s="1221"/>
      <c r="K134" s="1221"/>
      <c r="L134" s="1221"/>
      <c r="M134" s="1221"/>
    </row>
    <row r="135" spans="1:13" x14ac:dyDescent="0.25">
      <c r="A135" s="1221"/>
      <c r="B135" s="1240">
        <f>(19.1*E130)/(B133+D131)</f>
        <v>24.869791666666668</v>
      </c>
      <c r="C135" s="1221"/>
      <c r="D135" s="1221"/>
      <c r="E135" s="1221"/>
      <c r="F135" s="1221"/>
      <c r="G135" s="1221"/>
      <c r="H135" s="1221"/>
      <c r="I135" s="1221"/>
      <c r="J135" s="1221"/>
      <c r="K135" s="1221"/>
      <c r="L135" s="1221"/>
      <c r="M135" s="1221"/>
    </row>
    <row r="136" spans="1:13" x14ac:dyDescent="0.25">
      <c r="A136" s="1221"/>
      <c r="B136" s="1221"/>
      <c r="C136" s="1221"/>
      <c r="D136" s="1221"/>
      <c r="E136" s="1221"/>
      <c r="F136" s="1221"/>
      <c r="G136" s="1221"/>
      <c r="H136" s="1221"/>
      <c r="I136" s="1221"/>
      <c r="J136" s="1221"/>
      <c r="K136" s="1221"/>
      <c r="L136" s="1221"/>
      <c r="M136" s="1221"/>
    </row>
    <row r="137" spans="1:13" x14ac:dyDescent="0.25">
      <c r="A137" s="1236" t="s">
        <v>2218</v>
      </c>
      <c r="B137" s="495" t="s">
        <v>2267</v>
      </c>
      <c r="C137" s="1221"/>
      <c r="D137" s="1221"/>
      <c r="E137" s="1221"/>
      <c r="F137" s="1221"/>
      <c r="G137" s="1221"/>
      <c r="H137" s="1221"/>
      <c r="I137" s="1221"/>
      <c r="J137" s="1221"/>
      <c r="K137" s="1221"/>
      <c r="L137" s="1221"/>
      <c r="M137" s="1221"/>
    </row>
    <row r="138" spans="1:13" x14ac:dyDescent="0.25">
      <c r="A138" s="1221"/>
      <c r="B138" s="421" t="s">
        <v>2268</v>
      </c>
      <c r="C138" s="1221"/>
      <c r="D138" s="1221"/>
      <c r="E138" s="1221"/>
      <c r="F138" s="1221"/>
      <c r="G138" s="1221"/>
      <c r="H138" s="1221"/>
      <c r="I138" s="1221"/>
      <c r="J138" s="1221"/>
      <c r="K138" s="1221"/>
      <c r="L138" s="1221"/>
      <c r="M138" s="1221"/>
    </row>
    <row r="139" spans="1:13" x14ac:dyDescent="0.25">
      <c r="A139" s="1221"/>
      <c r="B139" s="421" t="s">
        <v>676</v>
      </c>
      <c r="C139" s="1221"/>
      <c r="D139" s="1221"/>
      <c r="E139" s="1221"/>
      <c r="F139" s="1221"/>
      <c r="G139" s="1221"/>
      <c r="H139" s="1221"/>
      <c r="I139" s="1221"/>
      <c r="J139" s="1221"/>
      <c r="K139" s="1221"/>
      <c r="L139" s="1221"/>
      <c r="M139" s="1221"/>
    </row>
    <row r="140" spans="1:13" x14ac:dyDescent="0.25">
      <c r="A140" s="1221"/>
      <c r="B140" s="421" t="s">
        <v>2269</v>
      </c>
      <c r="C140" s="1221"/>
      <c r="D140" s="1221"/>
      <c r="E140" s="1221">
        <v>0.9</v>
      </c>
      <c r="F140" s="1221"/>
      <c r="G140" s="1221"/>
      <c r="H140" s="1221"/>
      <c r="I140" s="1221"/>
      <c r="J140" s="1221"/>
      <c r="K140" s="1221"/>
      <c r="L140" s="1221"/>
      <c r="M140" s="1221"/>
    </row>
    <row r="141" spans="1:13" x14ac:dyDescent="0.25">
      <c r="A141" s="1221"/>
      <c r="B141" s="421" t="s">
        <v>2270</v>
      </c>
      <c r="C141" s="1221"/>
      <c r="D141" s="1221"/>
      <c r="E141" s="1221"/>
      <c r="F141" s="1221"/>
      <c r="G141" s="1221"/>
      <c r="H141" s="1221">
        <v>1000</v>
      </c>
      <c r="I141" s="1221"/>
      <c r="J141" s="1221"/>
      <c r="K141" s="1221"/>
      <c r="L141" s="1221"/>
      <c r="M141" s="1221"/>
    </row>
    <row r="142" spans="1:13" x14ac:dyDescent="0.25">
      <c r="A142" s="1221"/>
      <c r="B142" s="421" t="s">
        <v>2271</v>
      </c>
      <c r="C142" s="1221"/>
      <c r="D142" s="1221"/>
      <c r="E142" s="1221"/>
      <c r="F142" s="1221"/>
      <c r="G142" s="1221"/>
      <c r="H142" s="1221"/>
      <c r="I142" s="1221"/>
      <c r="J142" s="1221"/>
      <c r="K142" s="1221"/>
      <c r="L142" s="1221"/>
      <c r="M142" s="1221"/>
    </row>
    <row r="143" spans="1:13" x14ac:dyDescent="0.25">
      <c r="A143" s="1221"/>
      <c r="B143" s="1240">
        <f>H141/B135</f>
        <v>40.209424083769633</v>
      </c>
      <c r="C143" s="421" t="s">
        <v>622</v>
      </c>
      <c r="D143" s="1221"/>
      <c r="E143" s="1221"/>
      <c r="F143" s="1221"/>
      <c r="G143" s="1221"/>
      <c r="H143" s="1221"/>
      <c r="I143" s="1221"/>
      <c r="J143" s="1221"/>
      <c r="K143" s="1221"/>
      <c r="L143" s="1221"/>
      <c r="M143" s="1221"/>
    </row>
    <row r="144" spans="1:13" x14ac:dyDescent="0.25">
      <c r="A144" s="1221"/>
      <c r="B144" s="421" t="s">
        <v>2236</v>
      </c>
      <c r="C144" s="1221"/>
      <c r="D144" s="1221"/>
      <c r="E144" s="1221"/>
      <c r="F144" s="1221"/>
      <c r="G144" s="1221"/>
      <c r="H144" s="1221"/>
      <c r="I144" s="1221"/>
      <c r="J144" s="1221"/>
      <c r="K144" s="1221"/>
      <c r="L144" s="1221"/>
      <c r="M144" s="1221"/>
    </row>
    <row r="145" spans="1:13" x14ac:dyDescent="0.25">
      <c r="A145" s="1221"/>
      <c r="B145" s="421" t="s">
        <v>2268</v>
      </c>
      <c r="C145" s="1221"/>
      <c r="D145" s="1221"/>
      <c r="E145" s="1221"/>
      <c r="F145" s="1221"/>
      <c r="G145" s="1221"/>
      <c r="H145" s="1221"/>
      <c r="I145" s="1221"/>
      <c r="J145" s="1221"/>
      <c r="K145" s="1221"/>
      <c r="L145" s="1221"/>
      <c r="M145" s="1221"/>
    </row>
    <row r="146" spans="1:13" x14ac:dyDescent="0.25">
      <c r="A146" s="1221"/>
      <c r="B146" s="1240">
        <f>B125*(B133+D131)/(2*B143*E140)</f>
        <v>16.977777777777774</v>
      </c>
      <c r="C146" s="421" t="s">
        <v>2243</v>
      </c>
      <c r="D146" s="1221"/>
      <c r="E146" s="1221"/>
      <c r="F146" s="1221"/>
      <c r="G146" s="1221"/>
      <c r="H146" s="1221"/>
      <c r="I146" s="1221"/>
      <c r="J146" s="1221"/>
      <c r="K146" s="1221"/>
      <c r="L146" s="1221"/>
      <c r="M146" s="1221"/>
    </row>
    <row r="147" spans="1:13" x14ac:dyDescent="0.25">
      <c r="A147" s="1221"/>
      <c r="B147" s="1221"/>
      <c r="C147" s="1221"/>
      <c r="D147" s="1221"/>
      <c r="E147" s="1221"/>
      <c r="F147" s="1221"/>
      <c r="G147" s="1221"/>
      <c r="H147" s="1221"/>
      <c r="I147" s="1221"/>
      <c r="J147" s="1221"/>
      <c r="K147" s="1221"/>
      <c r="L147" s="1221"/>
      <c r="M147" s="1221"/>
    </row>
    <row r="148" spans="1:13" x14ac:dyDescent="0.25">
      <c r="A148" s="1236" t="s">
        <v>2272</v>
      </c>
      <c r="B148" s="495" t="s">
        <v>2273</v>
      </c>
      <c r="C148" s="1221"/>
      <c r="D148" s="1221"/>
      <c r="E148" s="1221"/>
      <c r="F148" s="1221"/>
      <c r="G148" s="1221"/>
      <c r="H148" s="1221"/>
      <c r="I148" s="1221"/>
      <c r="J148" s="1221"/>
      <c r="K148" s="1221"/>
      <c r="L148" s="1221"/>
      <c r="M148" s="1221"/>
    </row>
    <row r="149" spans="1:13" x14ac:dyDescent="0.25">
      <c r="A149" s="1221"/>
      <c r="B149" s="421" t="s">
        <v>2274</v>
      </c>
      <c r="C149" s="1221"/>
      <c r="D149" s="1221"/>
      <c r="E149" s="1221"/>
      <c r="F149" s="1221"/>
      <c r="G149" s="1221"/>
      <c r="H149" s="1221"/>
      <c r="I149" s="1221"/>
      <c r="J149" s="1221"/>
      <c r="K149" s="1221"/>
      <c r="L149" s="1221"/>
      <c r="M149" s="1221"/>
    </row>
    <row r="150" spans="1:13" x14ac:dyDescent="0.25">
      <c r="A150" s="1221"/>
      <c r="B150" s="1242">
        <f>(B146*H141)/975</f>
        <v>17.413105413105409</v>
      </c>
      <c r="C150" s="421" t="s">
        <v>262</v>
      </c>
      <c r="D150" s="1221"/>
      <c r="E150" s="1221"/>
      <c r="F150" s="1221"/>
      <c r="G150" s="1221"/>
      <c r="H150" s="1221"/>
      <c r="I150" s="1221"/>
      <c r="J150" s="1221"/>
      <c r="K150" s="1221"/>
      <c r="L150" s="1221"/>
      <c r="M150" s="1221"/>
    </row>
    <row r="151" spans="1:13" x14ac:dyDescent="0.25">
      <c r="A151" s="1221"/>
      <c r="B151" s="1221"/>
      <c r="C151" s="1221"/>
      <c r="D151" s="1221"/>
      <c r="E151" s="1221"/>
      <c r="F151" s="1221"/>
      <c r="G151" s="1221"/>
      <c r="H151" s="1221"/>
      <c r="I151" s="1221"/>
      <c r="J151" s="1221"/>
      <c r="K151" s="1221"/>
      <c r="L151" s="1221"/>
      <c r="M151" s="1221"/>
    </row>
    <row r="152" spans="1:13" x14ac:dyDescent="0.25">
      <c r="A152" s="1221"/>
      <c r="B152" s="495" t="s">
        <v>2275</v>
      </c>
      <c r="C152" s="1221"/>
      <c r="D152" s="1221"/>
      <c r="E152" s="1221"/>
      <c r="F152" s="1221"/>
      <c r="G152" s="1221"/>
      <c r="H152" s="1221"/>
      <c r="I152" s="1221"/>
      <c r="J152" s="1221"/>
      <c r="K152" s="1221"/>
      <c r="L152" s="1221"/>
      <c r="M152" s="1221"/>
    </row>
    <row r="153" spans="1:13" x14ac:dyDescent="0.25">
      <c r="A153" s="1221"/>
      <c r="B153" s="1221"/>
      <c r="C153" s="1221"/>
      <c r="D153" s="1221"/>
      <c r="E153" s="1221"/>
      <c r="F153" s="1221"/>
      <c r="G153" s="1221"/>
      <c r="H153" s="1221"/>
      <c r="I153" s="1221"/>
      <c r="J153" s="1221"/>
      <c r="K153" s="1221"/>
      <c r="L153" s="1221"/>
      <c r="M153" s="1221"/>
    </row>
    <row r="154" spans="1:13" x14ac:dyDescent="0.25">
      <c r="A154" s="421" t="s">
        <v>2276</v>
      </c>
      <c r="B154" s="1221"/>
      <c r="C154" s="1221"/>
      <c r="D154" s="1221"/>
      <c r="E154" s="1221"/>
      <c r="F154" s="1221"/>
      <c r="G154" s="1221"/>
      <c r="H154" s="1221"/>
      <c r="I154" s="1221"/>
      <c r="J154" s="1221"/>
      <c r="K154" s="1221"/>
      <c r="L154" s="1221"/>
      <c r="M154" s="1221"/>
    </row>
    <row r="155" spans="1:13" x14ac:dyDescent="0.25">
      <c r="A155" s="421" t="s">
        <v>2277</v>
      </c>
      <c r="B155" s="1221"/>
      <c r="C155" s="1221"/>
      <c r="D155" s="1221"/>
      <c r="E155" s="1221"/>
      <c r="F155" s="1221"/>
      <c r="G155" s="1221"/>
      <c r="H155" s="1221"/>
      <c r="I155" s="1221"/>
      <c r="J155" s="1221"/>
      <c r="K155" s="1221"/>
      <c r="L155" s="1221"/>
      <c r="M155" s="1221"/>
    </row>
    <row r="156" spans="1:13" x14ac:dyDescent="0.25">
      <c r="A156" s="421" t="s">
        <v>2278</v>
      </c>
      <c r="B156" s="1221"/>
      <c r="C156" s="1221"/>
      <c r="D156" s="1221"/>
      <c r="E156" s="1221"/>
      <c r="F156" s="1221"/>
      <c r="G156" s="1221"/>
      <c r="H156" s="1221"/>
      <c r="I156" s="1221"/>
      <c r="J156" s="1221"/>
      <c r="K156" s="1221"/>
      <c r="L156" s="1221"/>
      <c r="M156" s="1221"/>
    </row>
    <row r="157" spans="1:13" x14ac:dyDescent="0.25">
      <c r="A157" s="1221"/>
      <c r="B157" s="421" t="s">
        <v>2279</v>
      </c>
      <c r="C157" s="1221"/>
      <c r="D157" s="1221"/>
      <c r="E157" s="1221"/>
      <c r="F157" s="1221"/>
      <c r="G157" s="1221"/>
      <c r="H157" s="1221"/>
      <c r="I157" s="1221"/>
      <c r="J157" s="1221"/>
      <c r="K157" s="1221"/>
      <c r="L157" s="1221"/>
      <c r="M157" s="1221"/>
    </row>
    <row r="158" spans="1:13" x14ac:dyDescent="0.25">
      <c r="A158" s="1221"/>
      <c r="B158" s="421" t="s">
        <v>2280</v>
      </c>
      <c r="C158" s="1221">
        <f>D53</f>
        <v>577.5</v>
      </c>
      <c r="D158" s="421" t="s">
        <v>11</v>
      </c>
      <c r="E158" s="421" t="s">
        <v>2281</v>
      </c>
      <c r="F158" s="1221"/>
      <c r="G158" s="1221"/>
      <c r="H158" s="1221"/>
      <c r="I158" s="1221"/>
      <c r="J158" s="1221"/>
      <c r="K158" s="1221"/>
      <c r="L158" s="1221"/>
      <c r="M158" s="1221"/>
    </row>
    <row r="159" spans="1:13" x14ac:dyDescent="0.25">
      <c r="A159" s="1221"/>
      <c r="B159" s="421" t="s">
        <v>2282</v>
      </c>
      <c r="C159" s="1221">
        <f>0.547*C158</f>
        <v>315.89250000000004</v>
      </c>
      <c r="D159" s="1221"/>
      <c r="E159" s="421" t="s">
        <v>2283</v>
      </c>
      <c r="F159" s="1221"/>
      <c r="G159" s="1221"/>
      <c r="H159" s="1221"/>
      <c r="I159" s="1221"/>
      <c r="J159" s="1221"/>
      <c r="K159" s="1221"/>
      <c r="L159" s="1221"/>
      <c r="M159" s="1221"/>
    </row>
    <row r="160" spans="1:13" x14ac:dyDescent="0.25">
      <c r="A160" s="1221"/>
      <c r="B160" s="421" t="s">
        <v>2284</v>
      </c>
      <c r="C160" s="1221"/>
      <c r="D160" s="1221"/>
      <c r="E160" s="1221">
        <f>C159</f>
        <v>315.89250000000004</v>
      </c>
      <c r="F160" s="421" t="s">
        <v>2285</v>
      </c>
      <c r="G160" s="1221"/>
      <c r="H160" s="1221"/>
      <c r="I160" s="1221"/>
      <c r="J160" s="1221"/>
      <c r="K160" s="1221"/>
      <c r="L160" s="1221"/>
      <c r="M160" s="1221"/>
    </row>
    <row r="161" spans="1:13" x14ac:dyDescent="0.25">
      <c r="A161" s="1221"/>
      <c r="B161" s="421" t="s">
        <v>2286</v>
      </c>
      <c r="C161" s="1221"/>
      <c r="D161" s="1221"/>
      <c r="E161" s="1221"/>
      <c r="F161" s="1221"/>
      <c r="G161" s="1221"/>
      <c r="H161" s="1221"/>
      <c r="I161" s="1221"/>
      <c r="J161" s="1221"/>
      <c r="K161" s="1221"/>
      <c r="L161" s="1221"/>
      <c r="M161" s="1221"/>
    </row>
    <row r="162" spans="1:13" x14ac:dyDescent="0.25">
      <c r="A162" s="1221"/>
      <c r="B162" s="1242">
        <f>50/25.4</f>
        <v>1.9685039370078741</v>
      </c>
      <c r="C162" s="421" t="s">
        <v>2287</v>
      </c>
      <c r="D162" s="1221"/>
      <c r="E162" s="1221"/>
      <c r="F162" s="1221"/>
      <c r="G162" s="1221"/>
      <c r="H162" s="1221"/>
      <c r="I162" s="1221"/>
      <c r="J162" s="1221"/>
      <c r="K162" s="1221"/>
      <c r="L162" s="1221"/>
      <c r="M162" s="1221"/>
    </row>
    <row r="163" spans="1:13" x14ac:dyDescent="0.25">
      <c r="A163" s="1221"/>
      <c r="B163" s="1221"/>
      <c r="C163" s="1221"/>
      <c r="D163" s="1221"/>
      <c r="E163" s="1221"/>
      <c r="F163" s="1221"/>
      <c r="G163" s="1221"/>
      <c r="H163" s="1221"/>
      <c r="I163" s="1221"/>
      <c r="J163" s="1221"/>
      <c r="K163" s="1221"/>
      <c r="L163" s="1221"/>
      <c r="M163" s="1221"/>
    </row>
    <row r="164" spans="1:13" x14ac:dyDescent="0.25">
      <c r="A164" s="421" t="s">
        <v>2288</v>
      </c>
      <c r="B164" s="1221"/>
      <c r="C164" s="1221"/>
      <c r="D164" s="1221"/>
      <c r="E164" s="1221"/>
      <c r="F164" s="1221"/>
      <c r="G164" s="1221"/>
      <c r="H164" s="1221"/>
      <c r="I164" s="1221"/>
      <c r="J164" s="1221"/>
      <c r="K164" s="1221"/>
      <c r="L164" s="1221"/>
      <c r="M164" s="1221"/>
    </row>
    <row r="165" spans="1:13" x14ac:dyDescent="0.25">
      <c r="A165" s="390" t="s">
        <v>2289</v>
      </c>
      <c r="B165" s="421" t="s">
        <v>2290</v>
      </c>
      <c r="C165" s="1221"/>
      <c r="D165" s="1221"/>
      <c r="E165" s="1221"/>
      <c r="F165" s="1221"/>
      <c r="G165" s="1221"/>
      <c r="H165" s="1221"/>
      <c r="I165" s="1221"/>
      <c r="J165" s="1221"/>
      <c r="K165" s="1221"/>
      <c r="L165" s="1221"/>
      <c r="M165" s="1221"/>
    </row>
    <row r="166" spans="1:13" x14ac:dyDescent="0.25">
      <c r="A166" s="1221"/>
      <c r="B166" s="1242">
        <f>(E160/100)*(B162^2)</f>
        <v>12.240858856717717</v>
      </c>
      <c r="C166" s="421" t="s">
        <v>1575</v>
      </c>
      <c r="D166" s="1221"/>
      <c r="E166" s="1221"/>
      <c r="F166" s="1221"/>
      <c r="G166" s="1221"/>
      <c r="H166" s="1221"/>
      <c r="I166" s="1221"/>
      <c r="J166" s="1221"/>
      <c r="K166" s="1221"/>
      <c r="L166" s="1221"/>
      <c r="M166" s="1221"/>
    </row>
    <row r="167" spans="1:13" x14ac:dyDescent="0.25">
      <c r="A167" s="1221"/>
      <c r="B167" s="1221"/>
      <c r="C167" s="1221"/>
      <c r="D167" s="1221"/>
      <c r="E167" s="1221"/>
      <c r="F167" s="1221"/>
      <c r="G167" s="1221"/>
      <c r="H167" s="1221"/>
      <c r="I167" s="1221"/>
      <c r="J167" s="1221"/>
      <c r="K167" s="1221"/>
      <c r="L167" s="1221"/>
      <c r="M167" s="1221"/>
    </row>
    <row r="168" spans="1:13" x14ac:dyDescent="0.25">
      <c r="A168" s="421" t="s">
        <v>2291</v>
      </c>
      <c r="B168" s="1221"/>
      <c r="C168" s="1221"/>
      <c r="D168" s="1221"/>
      <c r="E168" s="1221"/>
      <c r="F168" s="1221"/>
      <c r="G168" s="1221"/>
      <c r="H168" s="1221"/>
      <c r="I168" s="1221"/>
      <c r="J168" s="1221"/>
      <c r="K168" s="1221"/>
      <c r="L168" s="1221"/>
      <c r="M168" s="1221"/>
    </row>
    <row r="169" spans="1:13" x14ac:dyDescent="0.25">
      <c r="A169" s="390" t="s">
        <v>2289</v>
      </c>
      <c r="B169" s="421" t="s">
        <v>2292</v>
      </c>
      <c r="C169" s="1221"/>
      <c r="D169" s="1221"/>
      <c r="E169" s="1221"/>
      <c r="F169" s="1221"/>
      <c r="G169" s="1221"/>
      <c r="H169" s="1221"/>
      <c r="I169" s="1221"/>
      <c r="J169" s="1221"/>
      <c r="K169" s="1221"/>
      <c r="L169" s="1221"/>
      <c r="M169" s="1221"/>
    </row>
    <row r="170" spans="1:13" x14ac:dyDescent="0.25">
      <c r="A170" s="1221"/>
      <c r="B170" s="1242">
        <f>(20%*B166)+B166</f>
        <v>14.689030628061261</v>
      </c>
      <c r="C170" s="421" t="s">
        <v>1575</v>
      </c>
      <c r="D170" s="1221"/>
      <c r="E170" s="1221"/>
      <c r="F170" s="1221"/>
      <c r="G170" s="1221"/>
      <c r="H170" s="1221"/>
      <c r="I170" s="1221"/>
      <c r="J170" s="1221"/>
      <c r="K170" s="1221"/>
      <c r="L170" s="1221"/>
      <c r="M170" s="1221"/>
    </row>
    <row r="171" spans="1:13" x14ac:dyDescent="0.25">
      <c r="A171" s="1221"/>
      <c r="B171" s="1221"/>
      <c r="C171" s="1221"/>
      <c r="D171" s="1221"/>
      <c r="E171" s="1221"/>
      <c r="F171" s="1221"/>
      <c r="G171" s="1221"/>
      <c r="H171" s="1221"/>
      <c r="I171" s="1221"/>
      <c r="J171" s="1221"/>
      <c r="K171" s="1221"/>
      <c r="L171" s="1221"/>
      <c r="M171" s="1221"/>
    </row>
    <row r="172" spans="1:13" x14ac:dyDescent="0.25">
      <c r="A172" s="421" t="s">
        <v>2293</v>
      </c>
      <c r="B172" s="1221"/>
      <c r="C172" s="1221"/>
      <c r="D172" s="1221"/>
      <c r="E172" s="1221"/>
      <c r="F172" s="1221"/>
      <c r="G172" s="1221"/>
      <c r="H172" s="1221"/>
      <c r="I172" s="1221"/>
      <c r="J172" s="1221"/>
      <c r="K172" s="1221"/>
      <c r="L172" s="1221"/>
      <c r="M172" s="1221"/>
    </row>
    <row r="173" spans="1:13" x14ac:dyDescent="0.25">
      <c r="A173" s="1221"/>
      <c r="B173" s="421" t="s">
        <v>2221</v>
      </c>
      <c r="C173" s="1221">
        <v>5</v>
      </c>
      <c r="D173" s="421" t="s">
        <v>11</v>
      </c>
      <c r="E173" s="1221"/>
      <c r="F173" s="1221"/>
      <c r="G173" s="1221"/>
      <c r="H173" s="1221"/>
      <c r="I173" s="1221"/>
      <c r="J173" s="1221"/>
      <c r="K173" s="1221"/>
      <c r="L173" s="1221"/>
      <c r="M173" s="1221"/>
    </row>
    <row r="174" spans="1:13" x14ac:dyDescent="0.25">
      <c r="A174" s="1221"/>
      <c r="B174" s="421" t="s">
        <v>2189</v>
      </c>
      <c r="C174" s="1221">
        <v>1.5</v>
      </c>
      <c r="D174" s="421" t="s">
        <v>11</v>
      </c>
      <c r="E174" s="1221"/>
      <c r="F174" s="1221"/>
      <c r="G174" s="1221"/>
      <c r="H174" s="1221"/>
      <c r="I174" s="1221"/>
      <c r="J174" s="1221"/>
      <c r="K174" s="1221"/>
      <c r="L174" s="1221"/>
      <c r="M174" s="1221"/>
    </row>
    <row r="175" spans="1:13" x14ac:dyDescent="0.25">
      <c r="A175" s="1221"/>
      <c r="B175" s="421" t="s">
        <v>2188</v>
      </c>
      <c r="C175" s="1221">
        <v>2</v>
      </c>
      <c r="D175" s="421" t="s">
        <v>11</v>
      </c>
      <c r="E175" s="1221"/>
      <c r="F175" s="1221"/>
      <c r="G175" s="1221"/>
      <c r="H175" s="1221"/>
      <c r="I175" s="1221"/>
      <c r="J175" s="1221"/>
      <c r="K175" s="1221"/>
      <c r="L175" s="1221"/>
      <c r="M175" s="1221"/>
    </row>
    <row r="176" spans="1:13" x14ac:dyDescent="0.25">
      <c r="A176" s="1221"/>
      <c r="B176" s="1221"/>
      <c r="C176" s="1221"/>
      <c r="D176" s="1221"/>
      <c r="E176" s="1221"/>
      <c r="F176" s="1221"/>
      <c r="G176" s="1221"/>
      <c r="H176" s="1221"/>
      <c r="I176" s="1221"/>
      <c r="J176" s="1221"/>
      <c r="K176" s="1221"/>
      <c r="L176" s="1221"/>
      <c r="M176" s="1221"/>
    </row>
    <row r="177" spans="1:13" x14ac:dyDescent="0.25">
      <c r="A177" s="1221"/>
      <c r="B177" s="421" t="s">
        <v>2294</v>
      </c>
      <c r="C177" s="1221"/>
      <c r="D177" s="1221"/>
      <c r="E177" s="1221"/>
      <c r="F177" s="1221"/>
      <c r="G177" s="1221"/>
      <c r="H177" s="1221"/>
      <c r="I177" s="1221"/>
      <c r="J177" s="1221"/>
      <c r="K177" s="1221"/>
      <c r="L177" s="1221"/>
      <c r="M177" s="1221"/>
    </row>
    <row r="178" spans="1:13" x14ac:dyDescent="0.25">
      <c r="A178" s="1221"/>
      <c r="B178" s="421" t="s">
        <v>2295</v>
      </c>
      <c r="C178" s="1221"/>
      <c r="D178" s="1221"/>
      <c r="E178" s="1221"/>
      <c r="F178" s="1221"/>
      <c r="G178" s="1221"/>
      <c r="H178" s="1221"/>
      <c r="I178" s="1221"/>
      <c r="J178" s="1221"/>
      <c r="K178" s="1221"/>
      <c r="L178" s="1221"/>
      <c r="M178" s="1221"/>
    </row>
    <row r="179" spans="1:13" x14ac:dyDescent="0.25">
      <c r="A179" s="1221"/>
      <c r="B179" s="546">
        <f>C173*C174*C175</f>
        <v>15</v>
      </c>
      <c r="C179" s="421" t="s">
        <v>1575</v>
      </c>
      <c r="D179" s="1221"/>
      <c r="E179" s="1221"/>
      <c r="F179" s="1221"/>
      <c r="G179" s="1221"/>
      <c r="H179" s="1221"/>
      <c r="I179" s="1221"/>
      <c r="J179" s="1221"/>
      <c r="K179" s="1221"/>
      <c r="L179" s="1221"/>
      <c r="M179" s="1221"/>
    </row>
    <row r="180" spans="1:13" ht="409.5" customHeight="1" x14ac:dyDescent="0.25"/>
    <row r="181" spans="1:13" ht="408.75" customHeight="1" x14ac:dyDescent="0.25"/>
    <row r="182" spans="1:13" x14ac:dyDescent="0.25">
      <c r="A182" s="1243"/>
    </row>
    <row r="183" spans="1:13" x14ac:dyDescent="0.25">
      <c r="A183" s="1221"/>
      <c r="B183" s="495" t="s">
        <v>2296</v>
      </c>
      <c r="C183" s="1221"/>
      <c r="D183" s="1221"/>
      <c r="E183" s="1221"/>
      <c r="F183" s="1221"/>
    </row>
    <row r="184" spans="1:13" x14ac:dyDescent="0.25">
      <c r="A184" s="1221"/>
      <c r="B184" s="1221"/>
      <c r="C184" s="1221"/>
      <c r="D184" s="1221"/>
      <c r="E184" s="1221"/>
      <c r="F184" s="1221"/>
    </row>
    <row r="185" spans="1:13" x14ac:dyDescent="0.25">
      <c r="A185" s="421" t="s">
        <v>2297</v>
      </c>
      <c r="B185" s="1221"/>
      <c r="C185" s="1221"/>
      <c r="D185" s="1221"/>
      <c r="E185" s="1221"/>
      <c r="F185" s="1221"/>
    </row>
    <row r="186" spans="1:13" x14ac:dyDescent="0.25">
      <c r="A186" s="421" t="s">
        <v>2298</v>
      </c>
      <c r="B186" s="1221"/>
      <c r="C186" s="1221"/>
      <c r="D186" s="1221"/>
      <c r="E186" s="1221"/>
      <c r="F186" s="1221"/>
    </row>
    <row r="187" spans="1:13" x14ac:dyDescent="0.25">
      <c r="A187" s="421" t="s">
        <v>107</v>
      </c>
      <c r="B187" s="1221"/>
      <c r="C187" s="1221"/>
      <c r="D187" s="1221"/>
      <c r="E187" s="1221"/>
      <c r="F187" s="1221"/>
    </row>
    <row r="188" spans="1:13" x14ac:dyDescent="0.25">
      <c r="A188" s="390" t="s">
        <v>976</v>
      </c>
      <c r="B188" s="421" t="s">
        <v>2299</v>
      </c>
      <c r="C188" s="1221"/>
      <c r="D188" s="1221"/>
      <c r="E188" s="1221"/>
      <c r="F188" s="1221"/>
    </row>
    <row r="189" spans="1:13" x14ac:dyDescent="0.25">
      <c r="A189" s="390" t="s">
        <v>2300</v>
      </c>
      <c r="B189" s="421" t="s">
        <v>2301</v>
      </c>
      <c r="C189" s="1221"/>
      <c r="D189" s="1221"/>
      <c r="E189" s="1221"/>
      <c r="F189" s="1221"/>
    </row>
    <row r="190" spans="1:13" x14ac:dyDescent="0.25">
      <c r="A190" s="390" t="s">
        <v>1300</v>
      </c>
      <c r="B190" s="421" t="s">
        <v>2302</v>
      </c>
      <c r="C190" s="1221"/>
      <c r="D190" s="1221"/>
      <c r="E190" s="1221"/>
      <c r="F190" s="1221"/>
    </row>
    <row r="191" spans="1:13" x14ac:dyDescent="0.25">
      <c r="A191" s="1221"/>
      <c r="B191" s="1221"/>
      <c r="C191" s="1221"/>
      <c r="D191" s="1221"/>
      <c r="E191" s="1221"/>
      <c r="F191" s="1221"/>
    </row>
    <row r="192" spans="1:13" x14ac:dyDescent="0.25">
      <c r="A192" s="421" t="s">
        <v>2298</v>
      </c>
      <c r="B192" s="1221"/>
      <c r="C192" s="1221"/>
      <c r="D192" s="1221"/>
      <c r="E192" s="1221"/>
      <c r="F192" s="1221"/>
    </row>
    <row r="193" spans="1:6" x14ac:dyDescent="0.25">
      <c r="A193" s="1221"/>
      <c r="B193" s="1237" t="e">
        <f>((D8*D4)/100)/(1+25*((D7/D4)^2))</f>
        <v>#REF!</v>
      </c>
      <c r="C193" s="421" t="s">
        <v>2303</v>
      </c>
      <c r="D193" s="1221"/>
      <c r="E193" s="1221"/>
      <c r="F193" s="1221"/>
    </row>
    <row r="194" spans="1:6" x14ac:dyDescent="0.25">
      <c r="A194" s="1221"/>
      <c r="B194" s="1221"/>
      <c r="C194" s="1221"/>
      <c r="D194" s="1221"/>
      <c r="E194" s="1221"/>
      <c r="F194" s="1221"/>
    </row>
    <row r="195" spans="1:6" x14ac:dyDescent="0.25">
      <c r="A195" s="421" t="s">
        <v>2304</v>
      </c>
      <c r="B195" s="1221"/>
      <c r="C195" s="1221"/>
      <c r="D195" s="1221"/>
      <c r="E195" s="1221"/>
      <c r="F195" s="1221"/>
    </row>
    <row r="196" spans="1:6" x14ac:dyDescent="0.25">
      <c r="A196" s="390" t="s">
        <v>2305</v>
      </c>
      <c r="B196" s="421" t="s">
        <v>2306</v>
      </c>
      <c r="C196" s="1221"/>
      <c r="D196" s="1221"/>
      <c r="E196" s="1221"/>
      <c r="F196" s="1221"/>
    </row>
    <row r="197" spans="1:6" x14ac:dyDescent="0.25">
      <c r="A197" s="1221"/>
      <c r="B197" s="1237" t="e">
        <f>23%*B193</f>
        <v>#REF!</v>
      </c>
      <c r="C197" s="421" t="s">
        <v>2303</v>
      </c>
      <c r="D197" s="1221"/>
      <c r="E197" s="1221"/>
      <c r="F197" s="1221"/>
    </row>
    <row r="198" spans="1:6" x14ac:dyDescent="0.25">
      <c r="A198" s="1221"/>
      <c r="B198" s="1221"/>
      <c r="C198" s="1221"/>
      <c r="D198" s="1221"/>
      <c r="E198" s="1221"/>
      <c r="F198" s="1221"/>
    </row>
    <row r="199" spans="1:6" x14ac:dyDescent="0.25">
      <c r="A199" s="421" t="s">
        <v>2307</v>
      </c>
      <c r="B199" s="1221"/>
      <c r="C199" s="1221"/>
      <c r="D199" s="1221"/>
      <c r="E199" s="1221"/>
      <c r="F199" s="1221"/>
    </row>
    <row r="200" spans="1:6" x14ac:dyDescent="0.25">
      <c r="A200" s="390" t="s">
        <v>477</v>
      </c>
      <c r="B200" s="1221">
        <v>1.8</v>
      </c>
      <c r="C200" s="1221"/>
      <c r="D200" s="1221"/>
      <c r="E200" s="1221"/>
      <c r="F200" s="1221"/>
    </row>
    <row r="201" spans="1:6" x14ac:dyDescent="0.25">
      <c r="A201" s="390" t="s">
        <v>477</v>
      </c>
      <c r="B201" s="421" t="s">
        <v>2308</v>
      </c>
      <c r="C201" s="1221"/>
      <c r="D201" s="1221"/>
      <c r="E201" s="1221"/>
      <c r="F201" s="1221"/>
    </row>
    <row r="202" spans="1:6" x14ac:dyDescent="0.25">
      <c r="A202" s="1221"/>
      <c r="B202" s="421" t="s">
        <v>676</v>
      </c>
      <c r="C202" s="1221"/>
      <c r="D202" s="1221"/>
      <c r="E202" s="1221"/>
      <c r="F202" s="1221"/>
    </row>
    <row r="203" spans="1:6" x14ac:dyDescent="0.25">
      <c r="A203" s="1221"/>
      <c r="B203" s="421" t="s">
        <v>2309</v>
      </c>
      <c r="C203" s="1221"/>
      <c r="D203" s="1221"/>
      <c r="E203" s="1221"/>
      <c r="F203" s="1221"/>
    </row>
    <row r="204" spans="1:6" x14ac:dyDescent="0.25">
      <c r="A204" s="1221"/>
      <c r="B204" s="421" t="s">
        <v>2310</v>
      </c>
      <c r="C204" s="1221"/>
      <c r="D204" s="1221"/>
      <c r="E204" s="1221"/>
      <c r="F204" s="1221"/>
    </row>
    <row r="205" spans="1:6" x14ac:dyDescent="0.25">
      <c r="A205" s="1221"/>
      <c r="B205" s="1221"/>
      <c r="C205" s="1221"/>
      <c r="D205" s="1221"/>
      <c r="E205" s="1221"/>
      <c r="F205" s="1221"/>
    </row>
    <row r="206" spans="1:6" x14ac:dyDescent="0.25">
      <c r="A206" s="1221"/>
      <c r="B206" s="421" t="s">
        <v>2311</v>
      </c>
      <c r="C206" s="1221"/>
      <c r="D206" s="1221"/>
      <c r="E206" s="1221"/>
      <c r="F206" s="1221"/>
    </row>
    <row r="207" spans="1:6" x14ac:dyDescent="0.25">
      <c r="A207" s="1221"/>
      <c r="B207" s="421" t="s">
        <v>2312</v>
      </c>
      <c r="C207" s="1221"/>
      <c r="D207" s="1221"/>
      <c r="E207" s="1221"/>
      <c r="F207" s="1221"/>
    </row>
    <row r="208" spans="1:6" x14ac:dyDescent="0.25">
      <c r="A208" s="1221"/>
      <c r="B208" s="421" t="s">
        <v>2313</v>
      </c>
      <c r="C208" s="1221"/>
      <c r="D208" s="1221"/>
      <c r="E208" s="1221"/>
      <c r="F208" s="1221"/>
    </row>
    <row r="209" spans="1:6" x14ac:dyDescent="0.25">
      <c r="A209" s="1221"/>
      <c r="B209" s="421" t="s">
        <v>2314</v>
      </c>
      <c r="C209" s="1221"/>
      <c r="D209" s="1221"/>
      <c r="E209" s="1221"/>
      <c r="F209" s="1221"/>
    </row>
    <row r="210" spans="1:6" x14ac:dyDescent="0.25">
      <c r="A210" s="1221"/>
      <c r="B210" s="390" t="s">
        <v>2315</v>
      </c>
      <c r="C210" s="1225" t="e">
        <f>B193/B200</f>
        <v>#REF!</v>
      </c>
      <c r="D210" s="1221"/>
      <c r="E210" s="1221"/>
      <c r="F210" s="1221"/>
    </row>
    <row r="211" spans="1:6" x14ac:dyDescent="0.25">
      <c r="A211" s="1221"/>
      <c r="B211" s="390" t="s">
        <v>2316</v>
      </c>
      <c r="C211" s="1221" t="e">
        <f>SQRT(C210)</f>
        <v>#REF!</v>
      </c>
      <c r="D211" s="421" t="s">
        <v>11</v>
      </c>
      <c r="E211" s="1221"/>
      <c r="F211" s="1221"/>
    </row>
    <row r="212" spans="1:6" x14ac:dyDescent="0.25">
      <c r="A212" s="1221"/>
      <c r="B212" s="421" t="s">
        <v>2317</v>
      </c>
      <c r="C212" s="1221"/>
      <c r="D212" s="1221"/>
      <c r="E212" s="1221"/>
      <c r="F212" s="1221"/>
    </row>
    <row r="213" spans="1:6" x14ac:dyDescent="0.25">
      <c r="A213" s="1221"/>
      <c r="B213" s="421" t="s">
        <v>2318</v>
      </c>
      <c r="C213" s="1221"/>
      <c r="D213" s="1221"/>
      <c r="E213" s="1221"/>
      <c r="F213" s="1221"/>
    </row>
    <row r="214" spans="1:6" x14ac:dyDescent="0.25">
      <c r="A214" s="1221"/>
      <c r="B214" s="1242" t="e">
        <f>B200*C211</f>
        <v>#REF!</v>
      </c>
      <c r="C214" s="421" t="s">
        <v>11</v>
      </c>
      <c r="D214" s="1221"/>
      <c r="E214" s="1221"/>
      <c r="F214" s="1221"/>
    </row>
    <row r="215" spans="1:6" x14ac:dyDescent="0.25">
      <c r="A215" s="1221"/>
      <c r="B215" s="421" t="s">
        <v>2319</v>
      </c>
      <c r="C215" s="1221"/>
      <c r="D215" s="1221"/>
      <c r="E215" s="1221"/>
      <c r="F215" s="1221"/>
    </row>
    <row r="216" spans="1:6" x14ac:dyDescent="0.25">
      <c r="A216" s="1221"/>
      <c r="B216" s="1242" t="e">
        <f>B197/B214</f>
        <v>#REF!</v>
      </c>
      <c r="C216" s="421" t="s">
        <v>11</v>
      </c>
      <c r="D216" s="1221"/>
      <c r="E216" s="1221"/>
      <c r="F216" s="1221"/>
    </row>
    <row r="217" spans="1:6" x14ac:dyDescent="0.25">
      <c r="A217" s="1221"/>
      <c r="B217" s="1221"/>
      <c r="C217" s="1221"/>
      <c r="D217" s="1221"/>
      <c r="E217" s="1221"/>
      <c r="F217" s="1221"/>
    </row>
    <row r="218" spans="1:6" x14ac:dyDescent="0.25">
      <c r="A218" s="1221"/>
      <c r="B218" s="1221"/>
      <c r="C218" s="1221"/>
      <c r="D218" s="1221"/>
      <c r="E218" s="1221"/>
      <c r="F218" s="1221"/>
    </row>
    <row r="219" spans="1:6" x14ac:dyDescent="0.25">
      <c r="A219" s="1221"/>
      <c r="B219" s="1221"/>
      <c r="C219" s="1221"/>
      <c r="D219" s="1221"/>
      <c r="E219" s="1221"/>
      <c r="F219" s="1221"/>
    </row>
    <row r="220" spans="1:6" x14ac:dyDescent="0.25">
      <c r="A220" s="1221"/>
      <c r="B220" s="1221"/>
      <c r="C220" s="1221"/>
      <c r="D220" s="1221"/>
      <c r="E220" s="1221"/>
      <c r="F220" s="1221"/>
    </row>
    <row r="221" spans="1:6" x14ac:dyDescent="0.25">
      <c r="A221" s="421" t="s">
        <v>2320</v>
      </c>
      <c r="B221" s="1221"/>
      <c r="C221" s="1221"/>
      <c r="D221" s="1221"/>
      <c r="E221" s="1221"/>
      <c r="F221" s="1221"/>
    </row>
    <row r="222" spans="1:6" x14ac:dyDescent="0.25">
      <c r="A222" s="421" t="s">
        <v>2321</v>
      </c>
      <c r="B222" s="1221"/>
      <c r="C222" s="1221"/>
      <c r="D222" s="1221"/>
      <c r="E222" s="1221"/>
      <c r="F222" s="1221"/>
    </row>
    <row r="223" spans="1:6" x14ac:dyDescent="0.25">
      <c r="A223" s="1236" t="s">
        <v>2202</v>
      </c>
      <c r="B223" s="495" t="s">
        <v>2322</v>
      </c>
      <c r="C223" s="1221"/>
      <c r="D223" s="1221"/>
      <c r="E223" s="1221"/>
      <c r="F223" s="1221"/>
    </row>
    <row r="224" spans="1:6" x14ac:dyDescent="0.25">
      <c r="A224" s="1221"/>
      <c r="B224" s="421" t="s">
        <v>2323</v>
      </c>
      <c r="C224" s="1221"/>
      <c r="D224" s="1221"/>
      <c r="E224" s="1221"/>
      <c r="F224" s="1221"/>
    </row>
    <row r="225" spans="1:6" x14ac:dyDescent="0.25">
      <c r="A225" s="1221"/>
      <c r="B225" s="421" t="s">
        <v>676</v>
      </c>
      <c r="C225" s="1221"/>
      <c r="D225" s="1221"/>
      <c r="E225" s="1221"/>
      <c r="F225" s="1221"/>
    </row>
    <row r="226" spans="1:6" x14ac:dyDescent="0.25">
      <c r="A226" s="1221"/>
      <c r="B226" s="421" t="s">
        <v>2324</v>
      </c>
      <c r="C226" s="1221"/>
      <c r="D226" s="1221"/>
      <c r="E226" s="1221"/>
      <c r="F226" s="1221"/>
    </row>
    <row r="227" spans="1:6" x14ac:dyDescent="0.25">
      <c r="A227" s="1221"/>
      <c r="B227" s="421" t="s">
        <v>2325</v>
      </c>
      <c r="C227" s="1221"/>
      <c r="D227" s="1221"/>
      <c r="E227" s="1221"/>
      <c r="F227" s="1221"/>
    </row>
    <row r="228" spans="1:6" x14ac:dyDescent="0.25">
      <c r="A228" s="1221"/>
      <c r="B228" s="421" t="s">
        <v>2326</v>
      </c>
      <c r="C228" s="1221">
        <v>0.57399999999999995</v>
      </c>
      <c r="D228" s="1221"/>
      <c r="E228" s="1221"/>
      <c r="F228" s="1221"/>
    </row>
    <row r="229" spans="1:6" x14ac:dyDescent="0.25">
      <c r="A229" s="1221"/>
      <c r="B229" s="1221"/>
      <c r="C229" s="1221"/>
      <c r="D229" s="1221"/>
      <c r="E229" s="1221"/>
      <c r="F229" s="1221"/>
    </row>
    <row r="230" spans="1:6" x14ac:dyDescent="0.25">
      <c r="A230" s="1221"/>
      <c r="B230" s="421" t="s">
        <v>2323</v>
      </c>
      <c r="C230" s="1221"/>
      <c r="D230" s="1221"/>
      <c r="E230" s="1221"/>
      <c r="F230" s="1221"/>
    </row>
    <row r="231" spans="1:6" x14ac:dyDescent="0.25">
      <c r="A231" s="1221"/>
      <c r="B231" s="1240" t="e">
        <f>1.56*B193*(D10^2)*C228</f>
        <v>#REF!</v>
      </c>
      <c r="C231" s="1221"/>
      <c r="D231" s="1221"/>
      <c r="E231" s="1221"/>
      <c r="F231" s="1221"/>
    </row>
    <row r="232" spans="1:6" x14ac:dyDescent="0.25">
      <c r="A232" s="1221"/>
      <c r="B232" s="1221"/>
      <c r="C232" s="1221"/>
      <c r="D232" s="1221"/>
      <c r="E232" s="1221"/>
      <c r="F232" s="1221"/>
    </row>
    <row r="233" spans="1:6" x14ac:dyDescent="0.25">
      <c r="A233" s="1236" t="s">
        <v>2207</v>
      </c>
      <c r="B233" s="495" t="s">
        <v>2327</v>
      </c>
      <c r="C233" s="1221"/>
      <c r="D233" s="1221"/>
      <c r="E233" s="1221"/>
      <c r="F233" s="1221"/>
    </row>
    <row r="234" spans="1:6" x14ac:dyDescent="0.25">
      <c r="A234" s="1221"/>
      <c r="B234" s="421" t="s">
        <v>2328</v>
      </c>
      <c r="C234" s="1221"/>
      <c r="D234" s="1221"/>
      <c r="E234" s="1221"/>
      <c r="F234" s="1221"/>
    </row>
    <row r="235" spans="1:6" x14ac:dyDescent="0.25">
      <c r="A235" s="1221"/>
      <c r="B235" s="421" t="s">
        <v>676</v>
      </c>
      <c r="C235" s="1221"/>
      <c r="D235" s="1221"/>
      <c r="E235" s="1221"/>
      <c r="F235" s="1221"/>
    </row>
    <row r="236" spans="1:6" x14ac:dyDescent="0.25">
      <c r="A236" s="1221"/>
      <c r="B236" s="421" t="s">
        <v>2329</v>
      </c>
      <c r="C236" s="1221"/>
      <c r="D236" s="1221">
        <v>0.80200000000000005</v>
      </c>
      <c r="E236" s="421" t="s">
        <v>11</v>
      </c>
      <c r="F236" s="1221"/>
    </row>
    <row r="237" spans="1:6" x14ac:dyDescent="0.25">
      <c r="A237" s="1221"/>
      <c r="B237" s="421" t="s">
        <v>2330</v>
      </c>
      <c r="C237" s="1221"/>
      <c r="D237" s="1221">
        <v>0.5</v>
      </c>
      <c r="E237" s="421" t="s">
        <v>11</v>
      </c>
      <c r="F237" s="1221"/>
    </row>
    <row r="238" spans="1:6" x14ac:dyDescent="0.25">
      <c r="A238" s="1221"/>
      <c r="B238" s="421" t="s">
        <v>2310</v>
      </c>
      <c r="C238" s="1221"/>
      <c r="D238" s="1221">
        <v>1.1579999999999999</v>
      </c>
      <c r="E238" s="421" t="s">
        <v>11</v>
      </c>
      <c r="F238" s="1221"/>
    </row>
    <row r="239" spans="1:6" x14ac:dyDescent="0.25">
      <c r="A239" s="1221"/>
      <c r="B239" s="1221"/>
      <c r="C239" s="1221"/>
      <c r="D239" s="1221"/>
      <c r="E239" s="1221"/>
      <c r="F239" s="1221"/>
    </row>
    <row r="240" spans="1:6" x14ac:dyDescent="0.25">
      <c r="A240" s="1221"/>
      <c r="B240" s="421" t="s">
        <v>2328</v>
      </c>
      <c r="C240" s="1221"/>
      <c r="D240" s="1221"/>
      <c r="E240" s="1221"/>
      <c r="F240" s="1221"/>
    </row>
    <row r="241" spans="1:6" x14ac:dyDescent="0.25">
      <c r="A241" s="1221"/>
      <c r="B241" s="1242" t="e">
        <f>B231*(D236-D237)</f>
        <v>#REF!</v>
      </c>
      <c r="C241" s="421" t="s">
        <v>2243</v>
      </c>
      <c r="D241" s="1221"/>
      <c r="E241" s="1221"/>
      <c r="F241" s="1221"/>
    </row>
    <row r="242" spans="1:6" x14ac:dyDescent="0.25">
      <c r="A242" s="1221"/>
      <c r="B242" s="1221"/>
      <c r="C242" s="1221"/>
      <c r="D242" s="1221"/>
      <c r="E242" s="1221"/>
      <c r="F242" s="1221"/>
    </row>
    <row r="243" spans="1:6" x14ac:dyDescent="0.25">
      <c r="A243" s="1236" t="s">
        <v>2214</v>
      </c>
      <c r="B243" s="495" t="s">
        <v>2331</v>
      </c>
      <c r="C243" s="1221"/>
      <c r="D243" s="1221"/>
      <c r="E243" s="1221"/>
      <c r="F243" s="1221"/>
    </row>
    <row r="244" spans="1:6" x14ac:dyDescent="0.25">
      <c r="A244" s="1221"/>
      <c r="B244" s="421" t="s">
        <v>2332</v>
      </c>
      <c r="C244" s="1221"/>
      <c r="D244" s="1221"/>
      <c r="E244" s="1221"/>
      <c r="F244" s="1221"/>
    </row>
    <row r="245" spans="1:6" x14ac:dyDescent="0.25">
      <c r="A245" s="1221"/>
      <c r="B245" s="421" t="s">
        <v>676</v>
      </c>
      <c r="C245" s="1221"/>
      <c r="D245" s="1221"/>
      <c r="E245" s="1221"/>
      <c r="F245" s="1221"/>
    </row>
    <row r="246" spans="1:6" x14ac:dyDescent="0.25">
      <c r="A246" s="1221"/>
      <c r="B246" s="421" t="s">
        <v>2333</v>
      </c>
      <c r="C246" s="1221"/>
      <c r="D246" s="1221"/>
      <c r="E246" s="1221"/>
      <c r="F246" s="1221"/>
    </row>
    <row r="247" spans="1:6" x14ac:dyDescent="0.25">
      <c r="A247" s="1221"/>
      <c r="B247" s="1242">
        <f>(1/3)*(35/30)</f>
        <v>0.3888888888888889</v>
      </c>
      <c r="C247" s="1221"/>
      <c r="D247" s="1221"/>
      <c r="E247" s="1221"/>
      <c r="F247" s="1221"/>
    </row>
    <row r="248" spans="1:6" x14ac:dyDescent="0.25">
      <c r="A248" s="1221"/>
      <c r="B248" s="421" t="s">
        <v>2334</v>
      </c>
      <c r="C248" s="1221"/>
      <c r="D248" s="1221"/>
      <c r="E248" s="1221"/>
      <c r="F248" s="1221"/>
    </row>
    <row r="249" spans="1:6" x14ac:dyDescent="0.25">
      <c r="A249" s="1221"/>
      <c r="B249" s="390" t="s">
        <v>2335</v>
      </c>
      <c r="C249" s="1221">
        <v>0.3</v>
      </c>
      <c r="D249" s="1221"/>
      <c r="E249" s="1221"/>
      <c r="F249" s="1221"/>
    </row>
    <row r="250" spans="1:6" x14ac:dyDescent="0.25">
      <c r="A250" s="1221"/>
      <c r="B250" s="1221"/>
      <c r="C250" s="1221"/>
      <c r="D250" s="1221"/>
      <c r="E250" s="1221"/>
      <c r="F250" s="1221"/>
    </row>
    <row r="251" spans="1:6" x14ac:dyDescent="0.25">
      <c r="A251" s="1221"/>
      <c r="B251" s="421" t="s">
        <v>2336</v>
      </c>
      <c r="C251" s="1221"/>
      <c r="D251" s="1221"/>
      <c r="E251" s="1221"/>
      <c r="F251" s="1221"/>
    </row>
    <row r="252" spans="1:6" x14ac:dyDescent="0.25">
      <c r="A252" s="1221"/>
      <c r="B252" s="1244" t="e">
        <f>(1.4*B241*B247)/(1000*C249)</f>
        <v>#REF!</v>
      </c>
      <c r="C252" s="1245" t="s">
        <v>262</v>
      </c>
      <c r="D252" s="1221"/>
      <c r="E252" s="1221"/>
      <c r="F252" s="1221"/>
    </row>
    <row r="253" spans="1:6" x14ac:dyDescent="0.25">
      <c r="A253" s="1221"/>
      <c r="B253" s="1221"/>
      <c r="C253" s="1221"/>
      <c r="D253" s="1221"/>
      <c r="E253" s="1221"/>
      <c r="F253" s="1221"/>
    </row>
    <row r="254" spans="1:6" x14ac:dyDescent="0.25">
      <c r="A254" s="1236" t="s">
        <v>2218</v>
      </c>
      <c r="B254" s="495" t="s">
        <v>2337</v>
      </c>
      <c r="C254" s="1221"/>
      <c r="D254" s="1221"/>
      <c r="E254" s="1221"/>
      <c r="F254" s="1221"/>
    </row>
    <row r="255" spans="1:6" x14ac:dyDescent="0.25">
      <c r="A255" s="1221"/>
      <c r="B255" s="421" t="s">
        <v>2338</v>
      </c>
      <c r="C255" s="1221"/>
      <c r="D255" s="1221"/>
      <c r="E255" s="1221"/>
      <c r="F255" s="1221"/>
    </row>
    <row r="256" spans="1:6" x14ac:dyDescent="0.25">
      <c r="A256" s="1221"/>
      <c r="B256" s="421" t="s">
        <v>2339</v>
      </c>
      <c r="C256" s="1221"/>
      <c r="D256" s="1221"/>
      <c r="E256" s="1221"/>
      <c r="F256" s="1221"/>
    </row>
    <row r="257" spans="1:6" x14ac:dyDescent="0.25">
      <c r="A257" s="1221"/>
      <c r="B257" s="1244" t="e">
        <f>9*(B241^(1/3))</f>
        <v>#REF!</v>
      </c>
      <c r="C257" s="1245" t="s">
        <v>28</v>
      </c>
      <c r="D257" s="1221"/>
      <c r="E257" s="1221"/>
      <c r="F257" s="1221"/>
    </row>
    <row r="260" spans="1:6" x14ac:dyDescent="0.25">
      <c r="B260" s="549" t="s">
        <v>780</v>
      </c>
      <c r="C260" s="549">
        <v>64</v>
      </c>
      <c r="D260" s="549" t="s">
        <v>28</v>
      </c>
    </row>
    <row r="261" spans="1:6" x14ac:dyDescent="0.25">
      <c r="C261" s="549">
        <v>57.6</v>
      </c>
      <c r="D261" s="549" t="s">
        <v>28</v>
      </c>
    </row>
    <row r="262" spans="1:6" x14ac:dyDescent="0.25">
      <c r="C262" s="549">
        <f>C260/C261</f>
        <v>1.1111111111111112</v>
      </c>
    </row>
    <row r="264" spans="1:6" x14ac:dyDescent="0.25">
      <c r="C264" s="549">
        <f>3-2.2712</f>
        <v>0.72880000000000011</v>
      </c>
    </row>
  </sheetData>
  <mergeCells count="24">
    <mergeCell ref="A15:C15"/>
    <mergeCell ref="D15:E15"/>
    <mergeCell ref="A11:C11"/>
    <mergeCell ref="D11:E11"/>
    <mergeCell ref="D12:E12"/>
    <mergeCell ref="D13:E13"/>
    <mergeCell ref="D14:E14"/>
    <mergeCell ref="A8:C8"/>
    <mergeCell ref="D8:E8"/>
    <mergeCell ref="D9:E9"/>
    <mergeCell ref="A10:C10"/>
    <mergeCell ref="D10:E10"/>
    <mergeCell ref="A5:C5"/>
    <mergeCell ref="D5:E5"/>
    <mergeCell ref="A6:C6"/>
    <mergeCell ref="D6:E6"/>
    <mergeCell ref="A7:C7"/>
    <mergeCell ref="D7:E7"/>
    <mergeCell ref="A2:C2"/>
    <mergeCell ref="D2:E2"/>
    <mergeCell ref="A3:C3"/>
    <mergeCell ref="D3:E3"/>
    <mergeCell ref="A4:C4"/>
    <mergeCell ref="D4:E4"/>
  </mergeCells>
  <pageMargins left="0.7" right="0.7" top="0.75" bottom="0.75" header="0.511811023622047" footer="0.511811023622047"/>
  <pageSetup fitToHeight="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JARAK</vt:lpstr>
      <vt:lpstr>HARVARLD</vt:lpstr>
      <vt:lpstr>HOLTROP</vt:lpstr>
      <vt:lpstr>EN &amp; GEAR</vt:lpstr>
      <vt:lpstr>PROPELL (0.969)</vt:lpstr>
      <vt:lpstr>EN &amp; GEAR (2)</vt:lpstr>
      <vt:lpstr>EPM</vt:lpstr>
      <vt:lpstr>Poros Prop</vt:lpstr>
      <vt:lpstr>Propeller Gambar</vt:lpstr>
      <vt:lpstr>VRM</vt:lpstr>
      <vt:lpstr>SIMPSON</vt:lpstr>
      <vt:lpstr>BALLAST</vt:lpstr>
      <vt:lpstr>ABK</vt:lpstr>
      <vt:lpstr>PIPA</vt:lpstr>
      <vt:lpstr>OILY BILGE</vt:lpstr>
      <vt:lpstr>HAHAHU</vt:lpstr>
      <vt:lpstr>STORAGE</vt:lpstr>
      <vt:lpstr>Sheet2</vt:lpstr>
      <vt:lpstr>JEJANGKARAN</vt:lpstr>
      <vt:lpstr>HARVARLD!Print_Area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ACER</dc:creator>
  <dc:description/>
  <cp:lastModifiedBy>salsa billah</cp:lastModifiedBy>
  <cp:revision>0</cp:revision>
  <cp:lastPrinted>2023-07-10T04:44:33Z</cp:lastPrinted>
  <dcterms:created xsi:type="dcterms:W3CDTF">2023-02-23T22:25:51Z</dcterms:created>
  <dcterms:modified xsi:type="dcterms:W3CDTF">2026-06-04T22:45:59Z</dcterms:modified>
  <dc:language>id-ID</dc:language>
</cp:coreProperties>
</file>