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9.xml" ContentType="application/vnd.openxmlformats-officedocument.spreadsheetml.worksheet+xml"/>
  <Override PartName="/xl/worksheets/sheet44.xml" ContentType="application/vnd.openxmlformats-officedocument.spreadsheetml.worksheet+xml"/>
  <Override PartName="/xl/worksheets/sheet18.xml" ContentType="application/vnd.openxmlformats-officedocument.spreadsheetml.worksheet+xml"/>
  <Override PartName="/xl/worksheets/sheet45.xml" ContentType="application/vnd.openxmlformats-officedocument.spreadsheetml.worksheet+xml"/>
  <Override PartName="/xl/worksheets/sheet1.xml" ContentType="application/vnd.openxmlformats-officedocument.spreadsheetml.worksheet+xml"/>
  <Override PartName="/xl/worksheets/sheet46.xml" ContentType="application/vnd.openxmlformats-officedocument.spreadsheetml.worksheet+xml"/>
  <Override PartName="/xl/worksheets/sheet2.xml" ContentType="application/vnd.openxmlformats-officedocument.spreadsheetml.worksheet+xml"/>
  <Override PartName="/xl/worksheets/sheet4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5.xml" ContentType="application/vnd.openxmlformats-officedocument.spreadsheetml.worksheet+xml"/>
  <Override PartName="/xl/worksheets/sheet48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49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54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SUMMARY" sheetId="1" state="visible" r:id="rId3"/>
    <sheet name="MAIN DK" sheetId="2" state="visible" r:id="rId4"/>
    <sheet name="POOP DK" sheetId="3" state="visible" r:id="rId5"/>
    <sheet name="A DK" sheetId="4" state="visible" r:id="rId6"/>
    <sheet name="B DK" sheetId="5" state="visible" r:id="rId7"/>
    <sheet name="C DK" sheetId="6" state="visible" r:id="rId8"/>
    <sheet name="BRIDGE DK" sheetId="7" state="visible" r:id="rId9"/>
    <sheet name="VEGETABLE STORE" sheetId="8" state="visible" r:id="rId10"/>
    <sheet name="MEET FISH STORE" sheetId="9" state="visible" r:id="rId11"/>
    <sheet name="DRY PROVISION STORE" sheetId="10" state="visible" r:id="rId12"/>
    <sheet name="ENGINE CONTROL ROOM" sheetId="11" state="visible" r:id="rId13"/>
    <sheet name="GALLEY" sheetId="12" state="visible" r:id="rId14"/>
    <sheet name="CREW MESS" sheetId="13" state="visible" r:id="rId15"/>
    <sheet name="OFFICE MESS" sheetId="14" state="visible" r:id="rId16"/>
    <sheet name="SHIP OFFICE" sheetId="15" state="visible" r:id="rId17"/>
    <sheet name="CARGO CONTROL ROOM" sheetId="16" state="visible" r:id="rId18"/>
    <sheet name="DECK CHANGE ROOM" sheetId="17" state="visible" r:id="rId19"/>
    <sheet name="STORE" sheetId="18" state="visible" r:id="rId20"/>
    <sheet name="MOTORMAN 2 CABIN" sheetId="19" state="visible" r:id="rId21"/>
    <sheet name="MOTORMAN 1 CABIN" sheetId="20" state="visible" r:id="rId22"/>
    <sheet name="OS CABIN" sheetId="21" state="visible" r:id="rId23"/>
    <sheet name="AB 2 CABIN" sheetId="22" state="visible" r:id="rId24"/>
    <sheet name="AB 1 CABIN" sheetId="23" state="visible" r:id="rId25"/>
    <sheet name="FITTER CABIN" sheetId="24" state="visible" r:id="rId26"/>
    <sheet name="MESSMAN CABIN" sheetId="25" state="visible" r:id="rId27"/>
    <sheet name="SUEZ CREW" sheetId="26" state="visible" r:id="rId28"/>
    <sheet name="HOSPITAL" sheetId="27" state="visible" r:id="rId29"/>
    <sheet name="HOSPITAL TOILET" sheetId="28" state="visible" r:id="rId30"/>
    <sheet name="GYM ROOM" sheetId="29" state="visible" r:id="rId31"/>
    <sheet name="BOSUN CABIN" sheetId="30" state="visible" r:id="rId32"/>
    <sheet name="ELECTRICIANMAN CABIN" sheetId="31" state="visible" r:id="rId33"/>
    <sheet name="3RD ENGINEER CABIN" sheetId="32" state="visible" r:id="rId34"/>
    <sheet name="2ND ENGINEER CABIN" sheetId="33" state="visible" r:id="rId35"/>
    <sheet name="OWNER CABIN" sheetId="34" state="visible" r:id="rId36"/>
    <sheet name="BONDED STATION" sheetId="35" state="visible" r:id="rId37"/>
    <sheet name="STORE B DECK" sheetId="36" state="visible" r:id="rId38"/>
    <sheet name="2ND OFFICER CABIN" sheetId="37" state="visible" r:id="rId39"/>
    <sheet name="3RD OFFICER CABIN" sheetId="38" state="visible" r:id="rId40"/>
    <sheet name="PUMPMAN CABIN" sheetId="39" state="visible" r:id="rId41"/>
    <sheet name="COOKMAN CABIN" sheetId="40" state="visible" r:id="rId42"/>
    <sheet name="PILOT CABIN" sheetId="41" state="visible" r:id="rId43"/>
    <sheet name="CHIEF OFFICER CABIN" sheetId="42" state="visible" r:id="rId44"/>
    <sheet name="CHIEF OFFICER BEDROOM" sheetId="43" state="visible" r:id="rId45"/>
    <sheet name="MASTER CABIN" sheetId="44" state="visible" r:id="rId46"/>
    <sheet name="MASTER BEDROOM" sheetId="45" state="visible" r:id="rId47"/>
    <sheet name="OFFICE" sheetId="46" state="visible" r:id="rId48"/>
    <sheet name="INSTRUMENTATION ROOM" sheetId="47" state="visible" r:id="rId49"/>
    <sheet name="1ST ENGINEER CABIN" sheetId="48" state="visible" r:id="rId50"/>
    <sheet name="1ST ENGINEER BEDROOM" sheetId="49" state="visible" r:id="rId51"/>
    <sheet name="CHIEF ENGINEER CABIN" sheetId="50" state="visible" r:id="rId52"/>
    <sheet name="CHIEF ENGINEER BEDROOM" sheetId="51" state="visible" r:id="rId53"/>
    <sheet name="WHEEL HOUSE" sheetId="52" state="visible" r:id="rId54"/>
    <sheet name="DUCTING" sheetId="53" state="visible" r:id="rId55"/>
    <sheet name="STATIC REGAIN" sheetId="54" state="visible" r:id="rId56"/>
  </sheets>
  <definedNames>
    <definedName function="false" hidden="false" localSheetId="48" name="_xlnm.Print_Area" vbProcedure="false">'1ST ENGINEER BEDROOM'!$A$1:$T$56</definedName>
    <definedName function="false" hidden="false" localSheetId="47" name="_xlnm.Print_Area" vbProcedure="false">'1ST ENGINEER CABIN'!$A$1:$T$56</definedName>
    <definedName function="false" hidden="false" localSheetId="32" name="_xlnm.Print_Area" vbProcedure="false">'2ND ENGINEER CABIN'!$A$1:$T$56</definedName>
    <definedName function="false" hidden="false" localSheetId="36" name="_xlnm.Print_Area" vbProcedure="false">'2ND OFFICER CABIN'!$A$1:$T$56</definedName>
    <definedName function="false" hidden="false" localSheetId="31" name="_xlnm.Print_Area" vbProcedure="false">'3RD ENGINEER CABIN'!$A$1:$T$56</definedName>
    <definedName function="false" hidden="false" localSheetId="37" name="_xlnm.Print_Area" vbProcedure="false">'3RD OFFICER CABIN'!$A$1:$T$56</definedName>
    <definedName function="false" hidden="false" localSheetId="22" name="_xlnm.Print_Area" vbProcedure="false">'AB 1 CABIN'!$A$1:$T$56</definedName>
    <definedName function="false" hidden="false" localSheetId="21" name="_xlnm.Print_Area" vbProcedure="false">'AB 2 CABIN'!$A$1:$T$56</definedName>
    <definedName function="false" hidden="false" localSheetId="34" name="_xlnm.Print_Area" vbProcedure="false">'BONDED STATION'!$A$1:$T$56</definedName>
    <definedName function="false" hidden="false" localSheetId="29" name="_xlnm.Print_Area" vbProcedure="false">'BOSUN CABIN'!$A$1:$T$56</definedName>
    <definedName function="false" hidden="false" localSheetId="15" name="_xlnm.Print_Area" vbProcedure="false">'CARGO CONTROL ROOM'!$A$1:$T$56</definedName>
    <definedName function="false" hidden="false" localSheetId="50" name="_xlnm.Print_Area" vbProcedure="false">'CHIEF ENGINEER BEDROOM'!$A$1:$T$56</definedName>
    <definedName function="false" hidden="false" localSheetId="49" name="_xlnm.Print_Area" vbProcedure="false">'CHIEF ENGINEER CABIN'!$A$1:$T$56</definedName>
    <definedName function="false" hidden="false" localSheetId="42" name="_xlnm.Print_Area" vbProcedure="false">'CHIEF OFFICER BEDROOM'!$A$1:$T$56</definedName>
    <definedName function="false" hidden="false" localSheetId="41" name="_xlnm.Print_Area" vbProcedure="false">'CHIEF OFFICER CABIN'!$A$1:$T$56</definedName>
    <definedName function="false" hidden="false" localSheetId="39" name="_xlnm.Print_Area" vbProcedure="false">'COOKMAN CABIN'!$A$1:$T$56</definedName>
    <definedName function="false" hidden="false" localSheetId="12" name="_xlnm.Print_Area" vbProcedure="false">'CREW MESS'!$A$1:$T$56</definedName>
    <definedName function="false" hidden="false" localSheetId="9" name="_xlnm.Print_Area" vbProcedure="false">'DRY PROVISION STORE'!$A$1:$T$56</definedName>
    <definedName function="false" hidden="false" localSheetId="30" name="_xlnm.Print_Area" vbProcedure="false">'ELECTRICIANMAN CABIN'!$A$1:$T$56</definedName>
    <definedName function="false" hidden="false" localSheetId="10" name="_xlnm.Print_Area" vbProcedure="false">'ENGINE CONTROL ROOM'!$A$1:$T$56</definedName>
    <definedName function="false" hidden="false" localSheetId="23" name="_xlnm.Print_Area" vbProcedure="false">'FITTER CABIN'!$A$1:$T$56</definedName>
    <definedName function="false" hidden="false" localSheetId="11" name="_xlnm.Print_Area" vbProcedure="false">GALLEY!$A$1:$T$56</definedName>
    <definedName function="false" hidden="false" localSheetId="28" name="_xlnm.Print_Area" vbProcedure="false">'GYM ROOM'!$A$1:$T$56</definedName>
    <definedName function="false" hidden="false" localSheetId="26" name="_xlnm.Print_Area" vbProcedure="false">HOSPITAL!$A$1:$T$56</definedName>
    <definedName function="false" hidden="false" localSheetId="27" name="_xlnm.Print_Area" vbProcedure="false">'HOSPITAL TOILET'!$A$1:$T$56</definedName>
    <definedName function="false" hidden="false" localSheetId="46" name="_xlnm.Print_Area" vbProcedure="false">'INSTRUMENTATION ROOM'!$A$1:$T$54</definedName>
    <definedName function="false" hidden="false" localSheetId="44" name="_xlnm.Print_Area" vbProcedure="false">'MASTER BEDROOM'!$A$1:$T$56</definedName>
    <definedName function="false" hidden="false" localSheetId="43" name="_xlnm.Print_Area" vbProcedure="false">'MASTER CABIN'!$A$1:$T$56</definedName>
    <definedName function="false" hidden="false" localSheetId="8" name="_xlnm.Print_Area" vbProcedure="false">'MEET FISH STORE'!$A$1:$T$56</definedName>
    <definedName function="false" hidden="false" localSheetId="24" name="_xlnm.Print_Area" vbProcedure="false">'MESSMAN CABIN'!$A$1:$T$56</definedName>
    <definedName function="false" hidden="false" localSheetId="19" name="_xlnm.Print_Area" vbProcedure="false">'MOTORMAN 1 CABIN'!$A$1:$T$56</definedName>
    <definedName function="false" hidden="false" localSheetId="18" name="_xlnm.Print_Area" vbProcedure="false">'MOTORMAN 2 CABIN'!$A$1:$T$56</definedName>
    <definedName function="false" hidden="false" localSheetId="45" name="_xlnm.Print_Area" vbProcedure="false">OFFICE!$A$1:$T$56</definedName>
    <definedName function="false" hidden="false" localSheetId="13" name="_xlnm.Print_Area" vbProcedure="false">'OFFICE MESS'!$A$1:$T$56</definedName>
    <definedName function="false" hidden="false" localSheetId="20" name="_xlnm.Print_Area" vbProcedure="false">'OS CABIN'!$A$1:$T$56</definedName>
    <definedName function="false" hidden="false" localSheetId="33" name="_xlnm.Print_Area" vbProcedure="false">'OWNER CABIN'!$A$1:$T$56</definedName>
    <definedName function="false" hidden="false" localSheetId="40" name="_xlnm.Print_Area" vbProcedure="false">'PILOT CABIN'!$A$1:$T$56</definedName>
    <definedName function="false" hidden="false" localSheetId="38" name="_xlnm.Print_Area" vbProcedure="false">'PUMPMAN CABIN'!$A$1:$T$56</definedName>
    <definedName function="false" hidden="false" localSheetId="14" name="_xlnm.Print_Area" vbProcedure="false">'SHIP OFFICE'!$A$1:$T$56</definedName>
    <definedName function="false" hidden="false" localSheetId="17" name="_xlnm.Print_Area" vbProcedure="false">STORE!$A$1:$T$56</definedName>
    <definedName function="false" hidden="false" localSheetId="35" name="_xlnm.Print_Area" vbProcedure="false">'STORE B DECK'!$A$1:$T$56</definedName>
    <definedName function="false" hidden="false" localSheetId="25" name="_xlnm.Print_Area" vbProcedure="false">'SUEZ CREW'!$A$1:$T$56</definedName>
    <definedName function="false" hidden="false" localSheetId="7" name="_xlnm.Print_Area" vbProcedure="false">'VEGETABLE STORE'!$A$1:$T$56</definedName>
    <definedName function="false" hidden="false" localSheetId="51" name="_xlnm.Print_Area" vbProcedure="false">'WHEEL HOUSE'!$A$1:$T$56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<sst xmlns="http://schemas.openxmlformats.org/spreadsheetml/2006/main" count="7017" uniqueCount="741">
  <si>
    <t xml:space="preserve">TOTAL JUMLAH RUANGAN yg DIKONDISIKAN</t>
  </si>
  <si>
    <t xml:space="preserve">Nama Kapal :</t>
  </si>
  <si>
    <t xml:space="preserve">MTM Antwerp</t>
  </si>
  <si>
    <t xml:space="preserve">Jenis Kapal :</t>
  </si>
  <si>
    <t xml:space="preserve">Product Oil Tanker</t>
  </si>
  <si>
    <t xml:space="preserve">Nama Mahasiswa :</t>
  </si>
  <si>
    <t xml:space="preserve">Daffa Gabillah Maulana Gapur</t>
  </si>
  <si>
    <t xml:space="preserve">NRP :</t>
  </si>
  <si>
    <t xml:space="preserve">0322040051</t>
  </si>
  <si>
    <t xml:space="preserve">No</t>
  </si>
  <si>
    <t xml:space="preserve">Room Name</t>
  </si>
  <si>
    <t xml:space="preserve">Jumlah Ruangan</t>
  </si>
  <si>
    <t xml:space="preserve">Main Deck</t>
  </si>
  <si>
    <t xml:space="preserve">Poop Deck</t>
  </si>
  <si>
    <t xml:space="preserve">A Deck</t>
  </si>
  <si>
    <t xml:space="preserve">B Deck</t>
  </si>
  <si>
    <t xml:space="preserve">C Deck</t>
  </si>
  <si>
    <t xml:space="preserve">Bridge Deck</t>
  </si>
  <si>
    <t xml:space="preserve">List Ruangan yg Perlu Dikondisikan dengan Sistem Air Handling Unit (AHU)</t>
  </si>
  <si>
    <t xml:space="preserve">Dimension in Meter</t>
  </si>
  <si>
    <r>
      <rPr>
        <b val="true"/>
        <sz val="12"/>
        <color theme="1"/>
        <rFont val="Calibri"/>
        <family val="2"/>
        <charset val="1"/>
      </rPr>
      <t xml:space="preserve">Area [ft</t>
    </r>
    <r>
      <rPr>
        <b val="true"/>
        <vertAlign val="superscript"/>
        <sz val="12"/>
        <color theme="1"/>
        <rFont val="Calibri"/>
        <family val="2"/>
        <charset val="1"/>
      </rPr>
      <t xml:space="preserve">2</t>
    </r>
    <r>
      <rPr>
        <b val="true"/>
        <sz val="12"/>
        <color theme="1"/>
        <rFont val="Calibri"/>
        <family val="2"/>
        <charset val="1"/>
      </rPr>
      <t xml:space="preserve">]</t>
    </r>
  </si>
  <si>
    <r>
      <rPr>
        <b val="true"/>
        <sz val="12"/>
        <color theme="1"/>
        <rFont val="Calibri"/>
        <family val="2"/>
        <charset val="1"/>
      </rPr>
      <t xml:space="preserve">Volume [ft</t>
    </r>
    <r>
      <rPr>
        <b val="true"/>
        <vertAlign val="superscript"/>
        <sz val="12"/>
        <color theme="1"/>
        <rFont val="Calibri"/>
        <family val="2"/>
        <charset val="1"/>
      </rPr>
      <t xml:space="preserve">3</t>
    </r>
    <r>
      <rPr>
        <b val="true"/>
        <sz val="12"/>
        <color theme="1"/>
        <rFont val="Calibri"/>
        <family val="2"/>
        <charset val="1"/>
      </rPr>
      <t xml:space="preserve">]</t>
    </r>
  </si>
  <si>
    <t xml:space="preserve">Cooling Capacity [Btu/hr]</t>
  </si>
  <si>
    <t xml:space="preserve">Length</t>
  </si>
  <si>
    <t xml:space="preserve">Width</t>
  </si>
  <si>
    <t xml:space="preserve">Height </t>
  </si>
  <si>
    <t xml:space="preserve">Vegetable Store</t>
  </si>
  <si>
    <t xml:space="preserve">Meat/Fish Store</t>
  </si>
  <si>
    <t xml:space="preserve">Engine Control Room</t>
  </si>
  <si>
    <t xml:space="preserve">Dry Provision Store</t>
  </si>
  <si>
    <t xml:space="preserve">Total Jumlah Ruangan</t>
  </si>
  <si>
    <t xml:space="preserve">Cargo Control Room</t>
  </si>
  <si>
    <t xml:space="preserve">Ship Office</t>
  </si>
  <si>
    <t xml:space="preserve">Deck Change Room</t>
  </si>
  <si>
    <t xml:space="preserve">Store</t>
  </si>
  <si>
    <t xml:space="preserve">Galley</t>
  </si>
  <si>
    <t xml:space="preserve">Pantry</t>
  </si>
  <si>
    <t xml:space="preserve">Crew Mess</t>
  </si>
  <si>
    <t xml:space="preserve">Office Mess</t>
  </si>
  <si>
    <t xml:space="preserve">Cooling Capacity</t>
  </si>
  <si>
    <t xml:space="preserve">Motorman 2 Cabin</t>
  </si>
  <si>
    <t xml:space="preserve">Motorman 1 Cabin</t>
  </si>
  <si>
    <t xml:space="preserve">AB 2 Cabin</t>
  </si>
  <si>
    <t xml:space="preserve">AB 1 Cabin</t>
  </si>
  <si>
    <t xml:space="preserve">Hospital</t>
  </si>
  <si>
    <t xml:space="preserve">OS Cabin</t>
  </si>
  <si>
    <t xml:space="preserve">Messman Cabin</t>
  </si>
  <si>
    <t xml:space="preserve">Fitter Cabin</t>
  </si>
  <si>
    <t xml:space="preserve">Suez Crew Room</t>
  </si>
  <si>
    <t xml:space="preserve">Hospital Bath Room</t>
  </si>
  <si>
    <t xml:space="preserve">2nd Engineer Cabin</t>
  </si>
  <si>
    <t xml:space="preserve">3rd Engineer Cabin</t>
  </si>
  <si>
    <t xml:space="preserve">Electrician Crew Cabin</t>
  </si>
  <si>
    <t xml:space="preserve">Bosun Crew Cabin</t>
  </si>
  <si>
    <t xml:space="preserve">Owner Cabin</t>
  </si>
  <si>
    <t xml:space="preserve">Gym Room</t>
  </si>
  <si>
    <t xml:space="preserve">2nd Officer Cabin</t>
  </si>
  <si>
    <t xml:space="preserve">3rd Officer Cabin</t>
  </si>
  <si>
    <t xml:space="preserve">Pumpman Cabin</t>
  </si>
  <si>
    <t xml:space="preserve">Cook Crew Cabin</t>
  </si>
  <si>
    <t xml:space="preserve">Captain Cabin</t>
  </si>
  <si>
    <t xml:space="preserve">Captain Bedroom</t>
  </si>
  <si>
    <t xml:space="preserve">Chief Officer Cabin</t>
  </si>
  <si>
    <t xml:space="preserve">Chief Officer Bedroom</t>
  </si>
  <si>
    <t xml:space="preserve">Pilot Cabin</t>
  </si>
  <si>
    <t xml:space="preserve">Office Room</t>
  </si>
  <si>
    <t xml:space="preserve">Instrumentation Room</t>
  </si>
  <si>
    <t xml:space="preserve">1st Engineer Cabin</t>
  </si>
  <si>
    <t xml:space="preserve">1st Engineer Bedroom</t>
  </si>
  <si>
    <t xml:space="preserve">Chief Engineer Cabin</t>
  </si>
  <si>
    <t xml:space="preserve">Chief Engineer Bedroom</t>
  </si>
  <si>
    <t xml:space="preserve">Wheel House</t>
  </si>
  <si>
    <t xml:space="preserve">SPACE</t>
  </si>
  <si>
    <t xml:space="preserve">SPACE NO.</t>
  </si>
  <si>
    <t xml:space="preserve">DECK</t>
  </si>
  <si>
    <t xml:space="preserve">FRAMES</t>
  </si>
  <si>
    <t xml:space="preserve">SPACE TEMP COOLING 78 °F</t>
  </si>
  <si>
    <t xml:space="preserve">SPACE TEMP HEATING 70 °F</t>
  </si>
  <si>
    <t xml:space="preserve">VEGETABLE STORE</t>
  </si>
  <si>
    <t xml:space="preserve">MAIN DECK</t>
  </si>
  <si>
    <t xml:space="preserve">-8 - 2</t>
  </si>
  <si>
    <t xml:space="preserve">ADJOINING SPACE</t>
  </si>
  <si>
    <t xml:space="preserve">LOAD KEY</t>
  </si>
  <si>
    <t xml:space="preserve">INSUL TYPE</t>
  </si>
  <si>
    <t xml:space="preserve">U KEY</t>
  </si>
  <si>
    <t xml:space="preserve">DIMENSION</t>
  </si>
  <si>
    <t xml:space="preserve">AREA [ft2]</t>
  </si>
  <si>
    <t xml:space="preserve">T</t>
  </si>
  <si>
    <t xml:space="preserve">T0</t>
  </si>
  <si>
    <t xml:space="preserve">ΔT</t>
  </si>
  <si>
    <t xml:space="preserve">U</t>
  </si>
  <si>
    <t xml:space="preserve">QS</t>
  </si>
  <si>
    <t xml:space="preserve">QL</t>
  </si>
  <si>
    <t xml:space="preserve">QT</t>
  </si>
  <si>
    <t xml:space="preserve">QW</t>
  </si>
  <si>
    <t xml:space="preserve">COEFF</t>
  </si>
  <si>
    <t xml:space="preserve">DIR</t>
  </si>
  <si>
    <t xml:space="preserve">ELECTRICIAN WORKSHOP</t>
  </si>
  <si>
    <t xml:space="preserve">0"-0</t>
  </si>
  <si>
    <t xml:space="preserve">H</t>
  </si>
  <si>
    <t xml:space="preserve">5.4812 m x 3 m</t>
  </si>
  <si>
    <t xml:space="preserve">MEAT/FISH STORE</t>
  </si>
  <si>
    <t xml:space="preserve">2.8 m x 3 m</t>
  </si>
  <si>
    <t xml:space="preserve">DRY PROVISION STORE</t>
  </si>
  <si>
    <t xml:space="preserve">0"-6</t>
  </si>
  <si>
    <t xml:space="preserve">TECH. FW TK</t>
  </si>
  <si>
    <t xml:space="preserve">D</t>
  </si>
  <si>
    <t xml:space="preserve">5.4812 m x 2.8 m</t>
  </si>
  <si>
    <t xml:space="preserve">OUTDOOR SPACE</t>
  </si>
  <si>
    <t xml:space="preserve">TRANSMISSION SUBTOTAL</t>
  </si>
  <si>
    <t xml:space="preserve">WINDOW</t>
  </si>
  <si>
    <t xml:space="preserve">LIGHTS</t>
  </si>
  <si>
    <t xml:space="preserve">EQUIPMENT</t>
  </si>
  <si>
    <t xml:space="preserve">FOOD</t>
  </si>
  <si>
    <t xml:space="preserve">PERSONNEL</t>
  </si>
  <si>
    <t xml:space="preserve">TOTAL HEAT</t>
  </si>
  <si>
    <r>
      <rPr>
        <sz val="11"/>
        <color theme="1"/>
        <rFont val="Times New Roman"/>
        <family val="1"/>
        <charset val="1"/>
      </rPr>
      <t xml:space="preserve">Δ</t>
    </r>
    <r>
      <rPr>
        <sz val="9.35"/>
        <color theme="1"/>
        <rFont val="Times New Roman"/>
        <family val="1"/>
        <charset val="1"/>
      </rPr>
      <t xml:space="preserve">T =</t>
    </r>
  </si>
  <si>
    <t xml:space="preserve">°F</t>
  </si>
  <si>
    <t xml:space="preserve">OCCUPANCY</t>
  </si>
  <si>
    <t xml:space="preserve">Sq. ft.</t>
  </si>
  <si>
    <t xml:space="preserve">sq. ft</t>
  </si>
  <si>
    <t xml:space="preserve">HEIGHT</t>
  </si>
  <si>
    <t xml:space="preserve">ft</t>
  </si>
  <si>
    <t xml:space="preserve">VOLUME</t>
  </si>
  <si>
    <t xml:space="preserve">cb. ft</t>
  </si>
  <si>
    <t xml:space="preserve">R of C</t>
  </si>
  <si>
    <t xml:space="preserve">CFM</t>
  </si>
  <si>
    <t xml:space="preserve">qS TOTAL</t>
  </si>
  <si>
    <t xml:space="preserve">Btu/hr</t>
  </si>
  <si>
    <t xml:space="preserve">qL TOTAL</t>
  </si>
  <si>
    <t xml:space="preserve">qT TOTAL</t>
  </si>
  <si>
    <t xml:space="preserve">qW TOTAL</t>
  </si>
  <si>
    <t xml:space="preserve">Q</t>
  </si>
  <si>
    <t xml:space="preserve">Q (kW)</t>
  </si>
  <si>
    <t xml:space="preserve">kW</t>
  </si>
  <si>
    <t xml:space="preserve">SHF</t>
  </si>
  <si>
    <t xml:space="preserve">SYMBOLS</t>
  </si>
  <si>
    <t xml:space="preserve">KEY</t>
  </si>
  <si>
    <t xml:space="preserve">HEATING AND COOLING LOAD CALCULATION</t>
  </si>
  <si>
    <t xml:space="preserve">A = Boundary Area</t>
  </si>
  <si>
    <t xml:space="preserve">[ft2]</t>
  </si>
  <si>
    <t xml:space="preserve">U = Heat Transfer Coefficient</t>
  </si>
  <si>
    <t xml:space="preserve">[Btu/ft2/hr/°F]</t>
  </si>
  <si>
    <t xml:space="preserve">1 = Deck Over</t>
  </si>
  <si>
    <t xml:space="preserve">6 = Inboard Bulkhead</t>
  </si>
  <si>
    <t xml:space="preserve">qS = Heat Load, Sensible</t>
  </si>
  <si>
    <t xml:space="preserve">[Btu/hr]</t>
  </si>
  <si>
    <t xml:space="preserve">T = Space Design Temp.</t>
  </si>
  <si>
    <t xml:space="preserve">[°F]</t>
  </si>
  <si>
    <t xml:space="preserve">2 = Deck Under</t>
  </si>
  <si>
    <t xml:space="preserve">7 = Lights</t>
  </si>
  <si>
    <t xml:space="preserve">qL = Heat Load, Latent</t>
  </si>
  <si>
    <t xml:space="preserve">TO = Temperature of</t>
  </si>
  <si>
    <t xml:space="preserve">3 = Outboard Bulkhead / Shell</t>
  </si>
  <si>
    <t xml:space="preserve">8 = Equipment</t>
  </si>
  <si>
    <t xml:space="preserve">qT = Heat Load, Total</t>
  </si>
  <si>
    <t xml:space="preserve">Adjacent Space / Outside</t>
  </si>
  <si>
    <t xml:space="preserve">4 = Forward Bulkhead</t>
  </si>
  <si>
    <t xml:space="preserve">9 = Personnel</t>
  </si>
  <si>
    <t xml:space="preserve">qW = Heat Load, Winter</t>
  </si>
  <si>
    <t xml:space="preserve">ΔT = Temperature Difference</t>
  </si>
  <si>
    <t xml:space="preserve">5 = After Bulkhead</t>
  </si>
  <si>
    <t xml:space="preserve">Q = Volumetric Flow Rate</t>
  </si>
  <si>
    <t xml:space="preserve">[CFM]</t>
  </si>
  <si>
    <t xml:space="preserve">R/C = Rate of Air Change</t>
  </si>
  <si>
    <t xml:space="preserve">CALCULATED BY:</t>
  </si>
  <si>
    <t xml:space="preserve">CHECKED BY:</t>
  </si>
  <si>
    <t xml:space="preserve">HULL OR JOB NO.:</t>
  </si>
  <si>
    <t xml:space="preserve">REV.</t>
  </si>
  <si>
    <t xml:space="preserve">SHEET NO.</t>
  </si>
  <si>
    <t xml:space="preserve">OF</t>
  </si>
  <si>
    <t xml:space="preserve">SPACE TEMP COOLING 40 F</t>
  </si>
  <si>
    <t xml:space="preserve">SPACE TEMP HEATING 40 F</t>
  </si>
  <si>
    <t xml:space="preserve">6"-150</t>
  </si>
  <si>
    <t xml:space="preserve">VENTILATION DUCT SPACE</t>
  </si>
  <si>
    <t xml:space="preserve">3"-94</t>
  </si>
  <si>
    <t xml:space="preserve">0.7 m x 3 m + 1.8 m x 3 m</t>
  </si>
  <si>
    <t xml:space="preserve">3.6 m x 3 m</t>
  </si>
  <si>
    <t xml:space="preserve">ENGINE ROOM</t>
  </si>
  <si>
    <t xml:space="preserve">2.4 m x 3 m</t>
  </si>
  <si>
    <t xml:space="preserve">WC</t>
  </si>
  <si>
    <t xml:space="preserve">2.1 m x 3 m</t>
  </si>
  <si>
    <t xml:space="preserve">NO. 3 HFO STORE TANK</t>
  </si>
  <si>
    <t xml:space="preserve">2.4 m x 0.7 m + 4.2 m x 2.1 m</t>
  </si>
  <si>
    <t xml:space="preserve">1.4 m x 4.2 m</t>
  </si>
  <si>
    <t xml:space="preserve">SAFETY EQUIPMENT STATION</t>
  </si>
  <si>
    <t xml:space="preserve">VENTILATION SPACE</t>
  </si>
  <si>
    <t xml:space="preserve">1.8 m x 0.7 m</t>
  </si>
  <si>
    <t xml:space="preserve">DRY PROVIISION STORE</t>
  </si>
  <si>
    <t xml:space="preserve">-9 ~ 13</t>
  </si>
  <si>
    <t xml:space="preserve">PASSAGEWAY</t>
  </si>
  <si>
    <t xml:space="preserve">1.1 m x 3 m</t>
  </si>
  <si>
    <t xml:space="preserve">LINEN ROOM</t>
  </si>
  <si>
    <t xml:space="preserve">2.3776 m x 3 m</t>
  </si>
  <si>
    <t xml:space="preserve">ENGINE CHANGE ROOM</t>
  </si>
  <si>
    <t xml:space="preserve">1.6 m x 3 m</t>
  </si>
  <si>
    <t xml:space="preserve">3.8 m x 3 m</t>
  </si>
  <si>
    <t xml:space="preserve">(3.052 m + 14.5 m)  x 3 m</t>
  </si>
  <si>
    <t xml:space="preserve">VOID COFFERDAM</t>
  </si>
  <si>
    <t xml:space="preserve">NO. 3 HFO STORAGE TANK (S)</t>
  </si>
  <si>
    <t xml:space="preserve">TECHNICAL FW TANK</t>
  </si>
  <si>
    <t xml:space="preserve">INFILTRATION</t>
  </si>
  <si>
    <t xml:space="preserve">ENGINE CONTROL ROOM</t>
  </si>
  <si>
    <t xml:space="preserve">20 ~ 23</t>
  </si>
  <si>
    <t xml:space="preserve">COFFERDAM</t>
  </si>
  <si>
    <t xml:space="preserve">4"-129</t>
  </si>
  <si>
    <t xml:space="preserve">11.1 m x 3 m</t>
  </si>
  <si>
    <t xml:space="preserve">VALVE CONTROL UNIT ROOM</t>
  </si>
  <si>
    <t xml:space="preserve">5.9 m x 3 m</t>
  </si>
  <si>
    <t xml:space="preserve">(4.9 m + 3.1 m) x 3 m</t>
  </si>
  <si>
    <t xml:space="preserve">STAIRWAY</t>
  </si>
  <si>
    <t xml:space="preserve">SERVICE DUCT TRUNK</t>
  </si>
  <si>
    <t xml:space="preserve">1 m x 3 m</t>
  </si>
  <si>
    <t xml:space="preserve">FIRE/FOAM STATION</t>
  </si>
  <si>
    <t xml:space="preserve">PASSAGE WAY</t>
  </si>
  <si>
    <t xml:space="preserve">(1.3 m x 1 m) + (2.2 m * 1 m)</t>
  </si>
  <si>
    <t xml:space="preserve">5.9 m x 6.45 m</t>
  </si>
  <si>
    <t xml:space="preserve">HYDRAULIC AGREGATES ROOM</t>
  </si>
  <si>
    <t xml:space="preserve">5.9 m x 4.65 m</t>
  </si>
  <si>
    <t xml:space="preserve">G/E LO STORAGE TANK</t>
  </si>
  <si>
    <t xml:space="preserve">2.4 m x 2.3 m</t>
  </si>
  <si>
    <t xml:space="preserve">MGO SERVICE TANK</t>
  </si>
  <si>
    <t xml:space="preserve">2.1 m x 3.2 m</t>
  </si>
  <si>
    <t xml:space="preserve">MGO SETTLING TANK</t>
  </si>
  <si>
    <t xml:space="preserve">1.45 m x 3.2 m</t>
  </si>
  <si>
    <t xml:space="preserve">EQUIPMENT: Control Panels</t>
  </si>
  <si>
    <t xml:space="preserve">EQUIPMENT: Computer Consoles</t>
  </si>
  <si>
    <t xml:space="preserve">EQUIPMENT: UCS System</t>
  </si>
  <si>
    <t xml:space="preserve">EQUIPMENT: Communication Equipment</t>
  </si>
  <si>
    <t xml:space="preserve">GALLEY</t>
  </si>
  <si>
    <t xml:space="preserve">POOP DECK</t>
  </si>
  <si>
    <t xml:space="preserve">16 ~ 24</t>
  </si>
  <si>
    <t xml:space="preserve">3 m x 2.7 m + 4.2 m x 2.7 m</t>
  </si>
  <si>
    <t xml:space="preserve">STORE</t>
  </si>
  <si>
    <t xml:space="preserve">1.2 m x 2.7 m + 0.8 m x 2.7 m</t>
  </si>
  <si>
    <t xml:space="preserve">DECK CHANGE ROOM</t>
  </si>
  <si>
    <t xml:space="preserve">2.6 m x 2.7 m</t>
  </si>
  <si>
    <t xml:space="preserve">PANTRY</t>
  </si>
  <si>
    <t xml:space="preserve">5 m x 2.7 m</t>
  </si>
  <si>
    <t xml:space="preserve">ESCAPE TRUNK</t>
  </si>
  <si>
    <t xml:space="preserve">0.8 m x 2.7 m</t>
  </si>
  <si>
    <t xml:space="preserve">1.2 m x 2.7 m + 1.2 m x 2.7 m</t>
  </si>
  <si>
    <t xml:space="preserve">VENTILATION TRUNK</t>
  </si>
  <si>
    <t xml:space="preserve">3 m x 1.2 m</t>
  </si>
  <si>
    <t xml:space="preserve">CO2 ROOM</t>
  </si>
  <si>
    <t xml:space="preserve">HOSPITAL</t>
  </si>
  <si>
    <t xml:space="preserve">1 m x 2.7 m</t>
  </si>
  <si>
    <t xml:space="preserve">0.6 m x 1 m</t>
  </si>
  <si>
    <t xml:space="preserve">EQUIPMENT: Convection Oven, Electric</t>
  </si>
  <si>
    <t xml:space="preserve">EQUIPMENT: Griddle, Electric</t>
  </si>
  <si>
    <t xml:space="preserve">EQUIPMENT: Mixer, Electric</t>
  </si>
  <si>
    <t xml:space="preserve">EQUIPMENT: Refrigerator (up to 20 cu.ft.)</t>
  </si>
  <si>
    <t xml:space="preserve">(5.8 m + 6 m) x 2.7 m</t>
  </si>
  <si>
    <t xml:space="preserve">4 m x 2.7 m</t>
  </si>
  <si>
    <t xml:space="preserve">(3 m + 3.5 m + 1.3 m) x 2.7 m</t>
  </si>
  <si>
    <t xml:space="preserve">1"-22</t>
  </si>
  <si>
    <t xml:space="preserve">ENGINE WORKSHOP ROOM</t>
  </si>
  <si>
    <t xml:space="preserve">5.8 m x 1.7 m</t>
  </si>
  <si>
    <t xml:space="preserve">AIR CONDITION ROOM</t>
  </si>
  <si>
    <t xml:space="preserve">AB 1 CABIN</t>
  </si>
  <si>
    <t xml:space="preserve">AB 1 TOILET</t>
  </si>
  <si>
    <t xml:space="preserve">OFFICE MESS</t>
  </si>
  <si>
    <t xml:space="preserve">27 ~ 35</t>
  </si>
  <si>
    <t xml:space="preserve">(5.9 m + 6.4 m) x 2.7 m</t>
  </si>
  <si>
    <t xml:space="preserve">(5.1 m + 1 m + 1.3 m) x 2.7 m</t>
  </si>
  <si>
    <t xml:space="preserve">SHIP OFFICE</t>
  </si>
  <si>
    <t xml:space="preserve">4.9 m x 2.7 m</t>
  </si>
  <si>
    <t xml:space="preserve">1"-25</t>
  </si>
  <si>
    <t xml:space="preserve">FITTER CABIN</t>
  </si>
  <si>
    <t xml:space="preserve">MESSMAN CABIN</t>
  </si>
  <si>
    <t xml:space="preserve">FITTER TOILET</t>
  </si>
  <si>
    <t xml:space="preserve">1.6 m x 1.7 m</t>
  </si>
  <si>
    <t xml:space="preserve">MESMAN TOILET</t>
  </si>
  <si>
    <t xml:space="preserve">28 ~ 35</t>
  </si>
  <si>
    <t xml:space="preserve">5.2 m x 2.7 m</t>
  </si>
  <si>
    <t xml:space="preserve">(1 m + 1.1 m + 1 m) x 2.7 m</t>
  </si>
  <si>
    <t xml:space="preserve">3.1 m x 2.7 m</t>
  </si>
  <si>
    <t xml:space="preserve">CARGO CONTROL ROOM</t>
  </si>
  <si>
    <t xml:space="preserve">MOTORMAN 1 CABIN</t>
  </si>
  <si>
    <t xml:space="preserve">MOTORMAN 1 TOILET</t>
  </si>
  <si>
    <t xml:space="preserve">0.6 m x 1.7 m</t>
  </si>
  <si>
    <t xml:space="preserve">OS CABIN</t>
  </si>
  <si>
    <t xml:space="preserve">OS TOILET</t>
  </si>
  <si>
    <t xml:space="preserve">1.7 m x 1.6 m</t>
  </si>
  <si>
    <t xml:space="preserve">EQUIPMENT: Computer</t>
  </si>
  <si>
    <t xml:space="preserve">EQUIPMENT: Monitor LCD</t>
  </si>
  <si>
    <t xml:space="preserve">EQUIPMENT: Printer</t>
  </si>
  <si>
    <t xml:space="preserve">EQUIPMENT: Telephone</t>
  </si>
  <si>
    <t xml:space="preserve">EQUIPMENT: Chart </t>
  </si>
  <si>
    <t xml:space="preserve">(4.2 m + 5.9 m) x 2.7 m</t>
  </si>
  <si>
    <t xml:space="preserve">(3.1 m + 1 m + 1.1 m) x 2.7 m</t>
  </si>
  <si>
    <t xml:space="preserve">FIRE FOAM STATION</t>
  </si>
  <si>
    <t xml:space="preserve">1.4 m x 5.9 m</t>
  </si>
  <si>
    <t xml:space="preserve">MOTORMAN 2 CABIN</t>
  </si>
  <si>
    <t xml:space="preserve">MOTORMAN 2 TOILET</t>
  </si>
  <si>
    <t xml:space="preserve">3.2 m x 1 m</t>
  </si>
  <si>
    <t xml:space="preserve">1.7 m x 1 m</t>
  </si>
  <si>
    <t xml:space="preserve">MOTORMAN 2 TOILET VOID</t>
  </si>
  <si>
    <t xml:space="preserve">SOLAR</t>
  </si>
  <si>
    <t xml:space="preserve">EQUIPMENT: Cargo control console</t>
  </si>
  <si>
    <t xml:space="preserve">EQUIPMENT: Cargo pump control console</t>
  </si>
  <si>
    <t xml:space="preserve">EQUIPMENT: Electrical cabinet</t>
  </si>
  <si>
    <t xml:space="preserve">23 ~ 26</t>
  </si>
  <si>
    <t xml:space="preserve">2.4 m x 2.7 m</t>
  </si>
  <si>
    <t xml:space="preserve">2.6 m x 2.4 m</t>
  </si>
  <si>
    <t xml:space="preserve">AB 2 CABIN</t>
  </si>
  <si>
    <t xml:space="preserve">AB 2 TOILET</t>
  </si>
  <si>
    <t xml:space="preserve">AB 2 TOILET VOID</t>
  </si>
  <si>
    <t xml:space="preserve">HYDRAULIC OIL STORAGE TANK</t>
  </si>
  <si>
    <t xml:space="preserve">(1.2 m + 1.7 m) x 2.7 m</t>
  </si>
  <si>
    <t xml:space="preserve">2.4 m x 1.2 m</t>
  </si>
  <si>
    <t xml:space="preserve">A DECK</t>
  </si>
  <si>
    <t xml:space="preserve">(1.6 m + 0.9 m) x 2.7 m</t>
  </si>
  <si>
    <t xml:space="preserve">1.6 m x 2.7 m</t>
  </si>
  <si>
    <t xml:space="preserve">1.7 m x 2.7 m</t>
  </si>
  <si>
    <t xml:space="preserve">(3 m + 2.7 m) x 2.7 m</t>
  </si>
  <si>
    <t xml:space="preserve">SH</t>
  </si>
  <si>
    <t xml:space="preserve">(1.6 m + 1.7 m) x 2.7 m</t>
  </si>
  <si>
    <t xml:space="preserve">SD</t>
  </si>
  <si>
    <t xml:space="preserve">1.5 m x 2.7 m</t>
  </si>
  <si>
    <t xml:space="preserve">2ND ENGINEER TOILET</t>
  </si>
  <si>
    <t xml:space="preserve">SU</t>
  </si>
  <si>
    <t xml:space="preserve">1.5 m x 2.1 m</t>
  </si>
  <si>
    <t xml:space="preserve">3.2 m x 2.7 m</t>
  </si>
  <si>
    <t xml:space="preserve">0.3 m x 1.5 m</t>
  </si>
  <si>
    <t xml:space="preserve">OWNER ROOM CABIN</t>
  </si>
  <si>
    <t xml:space="preserve">23 ~ 37</t>
  </si>
  <si>
    <t xml:space="preserve">0.1 m x 1.3 m</t>
  </si>
  <si>
    <t xml:space="preserve">3RD ENGINEER CABIN</t>
  </si>
  <si>
    <t xml:space="preserve">ELECTRICIAN CREW CABIN</t>
  </si>
  <si>
    <t xml:space="preserve">3RD ENGINEER TOILET</t>
  </si>
  <si>
    <t xml:space="preserve">ELECTRICIAN CREW TOILET</t>
  </si>
  <si>
    <t xml:space="preserve">(5 m + 1.4 m) x 2.7 m</t>
  </si>
  <si>
    <t xml:space="preserve">AIR COND ROOM</t>
  </si>
  <si>
    <t xml:space="preserve">3.5 m x 2.7 m</t>
  </si>
  <si>
    <t xml:space="preserve">(1.5 m + 2.1) x 2.7 m</t>
  </si>
  <si>
    <t xml:space="preserve">3RD OFFICER CABIN</t>
  </si>
  <si>
    <t xml:space="preserve">3RD OFFICER TOILET</t>
  </si>
  <si>
    <t xml:space="preserve">PUMPMAN CABIN</t>
  </si>
  <si>
    <t xml:space="preserve">CREW MESS</t>
  </si>
  <si>
    <t xml:space="preserve">VOID</t>
  </si>
  <si>
    <t xml:space="preserve">MESSMAN TOILET</t>
  </si>
  <si>
    <t xml:space="preserve">2ND OFFICER CABIN</t>
  </si>
  <si>
    <t xml:space="preserve">(3.2 m + 3.3 m) x 2.7 m</t>
  </si>
  <si>
    <t xml:space="preserve">2ND OFFICER TOILET</t>
  </si>
  <si>
    <t xml:space="preserve">OWNER CABIN</t>
  </si>
  <si>
    <t xml:space="preserve">OWNER TOILET</t>
  </si>
  <si>
    <t xml:space="preserve">(0.2 m + 0.3 m) x 2.7 m</t>
  </si>
  <si>
    <t xml:space="preserve">SUEZ CREW</t>
  </si>
  <si>
    <t xml:space="preserve">16 ~ 23</t>
  </si>
  <si>
    <t xml:space="preserve">5.6 m x 2.7 m</t>
  </si>
  <si>
    <t xml:space="preserve">(1.6 m + 2.4 m) x 2.7 m</t>
  </si>
  <si>
    <t xml:space="preserve">2.1 m x 2.7 m</t>
  </si>
  <si>
    <t xml:space="preserve">HOSPITAL ROOM</t>
  </si>
  <si>
    <t xml:space="preserve">HOSPITAL TOILET</t>
  </si>
  <si>
    <t xml:space="preserve">STORE (B DECK)</t>
  </si>
  <si>
    <t xml:space="preserve">BONDED STORE</t>
  </si>
  <si>
    <t xml:space="preserve">FAN ROOM</t>
  </si>
  <si>
    <t xml:space="preserve">19 ~ 23</t>
  </si>
  <si>
    <t xml:space="preserve">1.1 m x 2.7 m</t>
  </si>
  <si>
    <t xml:space="preserve">3.9 m x 2.7 m</t>
  </si>
  <si>
    <t xml:space="preserve">0.1 m x 2.7 m</t>
  </si>
  <si>
    <t xml:space="preserve">BOSUN CABIN</t>
  </si>
  <si>
    <t xml:space="preserve">ELECTRICIANMAN CABIN</t>
  </si>
  <si>
    <t xml:space="preserve">ELECTRICIANMAN TOILET</t>
  </si>
  <si>
    <t xml:space="preserve">3.3 m x 2.7 m</t>
  </si>
  <si>
    <t xml:space="preserve">SUEZ CREW ROOM</t>
  </si>
  <si>
    <t xml:space="preserve">PASAGEWAY</t>
  </si>
  <si>
    <t xml:space="preserve">GYM</t>
  </si>
  <si>
    <t xml:space="preserve">B DECK</t>
  </si>
  <si>
    <t xml:space="preserve">2.8 m x 2.7 m</t>
  </si>
  <si>
    <t xml:space="preserve">0.4 m x 2.7 m</t>
  </si>
  <si>
    <t xml:space="preserve">2.4 m x 3.2 m</t>
  </si>
  <si>
    <t xml:space="preserve">OUTDOOR SAPCE</t>
  </si>
  <si>
    <t xml:space="preserve">1.9 m x 2.7 m</t>
  </si>
  <si>
    <t xml:space="preserve">3.6 m x 2.7 m</t>
  </si>
  <si>
    <t xml:space="preserve">5.1 m x 2.7 m</t>
  </si>
  <si>
    <t xml:space="preserve">BOSUN TOILET</t>
  </si>
  <si>
    <t xml:space="preserve">PILOT CABIN</t>
  </si>
  <si>
    <t xml:space="preserve">PILOT TOILET</t>
  </si>
  <si>
    <t xml:space="preserve">CHIEF OFFICER BEDROOM</t>
  </si>
  <si>
    <t xml:space="preserve">CHIEF OFFICER TOILET</t>
  </si>
  <si>
    <t xml:space="preserve">1.8 m x 2.7 m</t>
  </si>
  <si>
    <t xml:space="preserve">25 ~ 30</t>
  </si>
  <si>
    <t xml:space="preserve">(1.7 + 1.6) m x 2.7 m</t>
  </si>
  <si>
    <t xml:space="preserve">MASTER TOILET</t>
  </si>
  <si>
    <t xml:space="preserve">MASTER TOILET VOID</t>
  </si>
  <si>
    <t xml:space="preserve">1.2 m x 5.1 m</t>
  </si>
  <si>
    <t xml:space="preserve">MOTORMAN 1 TOILET VOID</t>
  </si>
  <si>
    <t xml:space="preserve">2ND ENGINEER CABIN</t>
  </si>
  <si>
    <t xml:space="preserve">(1.5 m + 2.1 m) x 2.7 m</t>
  </si>
  <si>
    <t xml:space="preserve">0.2 m x 1.1 m</t>
  </si>
  <si>
    <t xml:space="preserve">(3.8 m x 4.6 m) x 2.7 m</t>
  </si>
  <si>
    <t xml:space="preserve">1.4 m x 2.7 m</t>
  </si>
  <si>
    <t xml:space="preserve">3 m x 2.7 m</t>
  </si>
  <si>
    <t xml:space="preserve">5.4 m x 2.7 m</t>
  </si>
  <si>
    <t xml:space="preserve">OWNER TOIILET</t>
  </si>
  <si>
    <t xml:space="preserve">(0.9 m + 1.5 m + 2.1 m) x 2.7 m</t>
  </si>
  <si>
    <t xml:space="preserve">2ND OFFICER TOILET VOID</t>
  </si>
  <si>
    <t xml:space="preserve">1.3 m x 2.7 m</t>
  </si>
  <si>
    <t xml:space="preserve">2ND ENGINEER TOILET VOID</t>
  </si>
  <si>
    <t xml:space="preserve">OS TOILET VOID</t>
  </si>
  <si>
    <t xml:space="preserve">18 ~ 22</t>
  </si>
  <si>
    <t xml:space="preserve">BATTERY ROOM</t>
  </si>
  <si>
    <t xml:space="preserve">1.2 m x 1.2 m</t>
  </si>
  <si>
    <t xml:space="preserve">0.4 m x 1.6 m</t>
  </si>
  <si>
    <t xml:space="preserve">21 ~ 23</t>
  </si>
  <si>
    <t xml:space="preserve">VOID TRUNK</t>
  </si>
  <si>
    <t xml:space="preserve">(1.2 m + 0.3 m) x 2.7 m</t>
  </si>
  <si>
    <t xml:space="preserve">1.2 m x 2.7 m</t>
  </si>
  <si>
    <t xml:space="preserve">29 ~ 35</t>
  </si>
  <si>
    <t xml:space="preserve">(2.1 m + 1.5 m) x 2.7 m</t>
  </si>
  <si>
    <t xml:space="preserve">OWNER ROOM TOILET VOID TRUNK</t>
  </si>
  <si>
    <t xml:space="preserve">(0.8 m + 0.6 m) x 2.7 m</t>
  </si>
  <si>
    <t xml:space="preserve">OWNER ROOM TOILET</t>
  </si>
  <si>
    <t xml:space="preserve">(0.5 m + 0.6 m) x 2.7 m</t>
  </si>
  <si>
    <t xml:space="preserve">FITTER TOILET VOID TRUNK</t>
  </si>
  <si>
    <t xml:space="preserve">MESSMAN TOILET VOID TRUNK</t>
  </si>
  <si>
    <t xml:space="preserve">25 ~ 29</t>
  </si>
  <si>
    <t xml:space="preserve">CHIEF ENGINEER TOILET</t>
  </si>
  <si>
    <t xml:space="preserve">CHIEF ENGINEER TOILET VOID TRUNK</t>
  </si>
  <si>
    <t xml:space="preserve">AIR CONDITIONAIR ROOM</t>
  </si>
  <si>
    <t xml:space="preserve">1ST ENGINEER TOILET</t>
  </si>
  <si>
    <t xml:space="preserve">1ST ENGINEER TOILET VOID TRUNK</t>
  </si>
  <si>
    <t xml:space="preserve">COOKMAN CABIN</t>
  </si>
  <si>
    <t xml:space="preserve">COOKMAN TOILET TOILET</t>
  </si>
  <si>
    <t xml:space="preserve">(3.5 m + 3.6 m) x 2.7 m</t>
  </si>
  <si>
    <t xml:space="preserve">C DECK</t>
  </si>
  <si>
    <t xml:space="preserve">16 ~ 20</t>
  </si>
  <si>
    <t xml:space="preserve">(3.2 m + 3.8 m) x 2.7 m</t>
  </si>
  <si>
    <t xml:space="preserve">CHIEF OFFICER TOILET VOID TRUNK</t>
  </si>
  <si>
    <t xml:space="preserve">CHIEF OFFICER CABIN</t>
  </si>
  <si>
    <t xml:space="preserve">2.7 m x 2.7 m</t>
  </si>
  <si>
    <t xml:space="preserve">3.8 m x 2.7 m</t>
  </si>
  <si>
    <t xml:space="preserve">MASTER TOILET VOID TRUNK</t>
  </si>
  <si>
    <t xml:space="preserve">(1.4 m + 0.1 m) x 2.7 m</t>
  </si>
  <si>
    <t xml:space="preserve">WHEEL HOUSE</t>
  </si>
  <si>
    <t xml:space="preserve">ELECTRICIANMAN TOILET VOID TRUNK</t>
  </si>
  <si>
    <t xml:space="preserve">3RD ENGINEER TOILET VOID TRUNK</t>
  </si>
  <si>
    <t xml:space="preserve">2.2 m x 2.7 m</t>
  </si>
  <si>
    <t xml:space="preserve">MASTER CABIN</t>
  </si>
  <si>
    <t xml:space="preserve">(3.8 m + 4.25 m) x 2.7 m</t>
  </si>
  <si>
    <t xml:space="preserve">MASTER BEDROOM</t>
  </si>
  <si>
    <t xml:space="preserve">27 ~ 30</t>
  </si>
  <si>
    <t xml:space="preserve">OFFICE</t>
  </si>
  <si>
    <t xml:space="preserve">7.3 m x 2.7 m</t>
  </si>
  <si>
    <t xml:space="preserve">(1 m + 1.9 m + 1.1 m) x 2.7 m</t>
  </si>
  <si>
    <t xml:space="preserve">INTRUMENTATION ROOM</t>
  </si>
  <si>
    <t xml:space="preserve">18 ~ 23</t>
  </si>
  <si>
    <t xml:space="preserve">STORE B DECK</t>
  </si>
  <si>
    <t xml:space="preserve">0.343 m x 1 m</t>
  </si>
  <si>
    <t xml:space="preserve">1ST ENGINEER CABIN</t>
  </si>
  <si>
    <t xml:space="preserve">PUMPMAN TOILET</t>
  </si>
  <si>
    <t xml:space="preserve">1ST ENGINEER BEDROOM</t>
  </si>
  <si>
    <t xml:space="preserve">(3.8 m + 2.2 m) x 2.7 m</t>
  </si>
  <si>
    <t xml:space="preserve">3.8 m x 2.2 m</t>
  </si>
  <si>
    <t xml:space="preserve">CHIEF ENGINEER CABIN</t>
  </si>
  <si>
    <t xml:space="preserve">Td</t>
  </si>
  <si>
    <t xml:space="preserve">qS</t>
  </si>
  <si>
    <t xml:space="preserve">qL</t>
  </si>
  <si>
    <t xml:space="preserve">qT</t>
  </si>
  <si>
    <t xml:space="preserve">qW</t>
  </si>
  <si>
    <t xml:space="preserve">(1.2 m + 1 m) x 2.7 m</t>
  </si>
  <si>
    <t xml:space="preserve">Td = Temperature Difference</t>
  </si>
  <si>
    <t xml:space="preserve">CHIEF ENGINEER BEDROOM</t>
  </si>
  <si>
    <t xml:space="preserve">TOTAL</t>
  </si>
  <si>
    <t xml:space="preserve">BRIDGE DECK</t>
  </si>
  <si>
    <t xml:space="preserve">(2.8 m + 7.6 m + 8.0718/2 m + 7.8/2 m + 4.8 m + 5 m) x 2.9 m</t>
  </si>
  <si>
    <t xml:space="preserve">OUTDOOR SPACE PORTSIDE</t>
  </si>
  <si>
    <t xml:space="preserve">OUTDOOR SPACE STARBOARD SIDE</t>
  </si>
  <si>
    <t xml:space="preserve">TRUNK</t>
  </si>
  <si>
    <t xml:space="preserve">1 m x 1.9 m</t>
  </si>
  <si>
    <t xml:space="preserve">2.2 m x 1.4 m</t>
  </si>
  <si>
    <t xml:space="preserve">R/C</t>
  </si>
  <si>
    <t xml:space="preserve">SPACE NO</t>
  </si>
  <si>
    <t xml:space="preserve">SIDE</t>
  </si>
  <si>
    <t xml:space="preserve">BTU/HR</t>
  </si>
  <si>
    <t xml:space="preserve">OUTSIDE AIR BASED</t>
  </si>
  <si>
    <t xml:space="preserve">R/C TOTAL AIR</t>
  </si>
  <si>
    <t xml:space="preserve">AIR QUANTITY (L/s)</t>
  </si>
  <si>
    <t xml:space="preserve">FRICTION LOSS (Pa/mm)</t>
  </si>
  <si>
    <t xml:space="preserve">DUCT DIAMETER (mm)</t>
  </si>
  <si>
    <t xml:space="preserve">RECT. DUCT SIZE (mm)</t>
  </si>
  <si>
    <t xml:space="preserve">Ukuran Diffuser</t>
  </si>
  <si>
    <t xml:space="preserve">l/s</t>
  </si>
  <si>
    <t xml:space="preserve">JUMLAH DIFFUSER</t>
  </si>
  <si>
    <t xml:space="preserve">SENS.</t>
  </si>
  <si>
    <t xml:space="preserve">LATENT</t>
  </si>
  <si>
    <t xml:space="preserve">PERS.</t>
  </si>
  <si>
    <t xml:space="preserve">EXH.</t>
  </si>
  <si>
    <t xml:space="preserve">L x W</t>
  </si>
  <si>
    <t xml:space="preserve">GYM ROOM</t>
  </si>
  <si>
    <t xml:space="preserve">SECTION A</t>
  </si>
  <si>
    <t xml:space="preserve">SECTION A (A DECK tanpa Suez Crew Room)</t>
  </si>
  <si>
    <t xml:space="preserve">Ducting B</t>
  </si>
  <si>
    <t xml:space="preserve">Ducting C</t>
  </si>
  <si>
    <t xml:space="preserve">Ducting C (seluruh ruangan C Deck)</t>
  </si>
  <si>
    <t xml:space="preserve">Ducting D</t>
  </si>
  <si>
    <t xml:space="preserve">Ducting E</t>
  </si>
  <si>
    <t xml:space="preserve">Ducting F</t>
  </si>
  <si>
    <t xml:space="preserve">Ducting G</t>
  </si>
  <si>
    <t xml:space="preserve">Min.</t>
  </si>
  <si>
    <t xml:space="preserve">at least max</t>
  </si>
  <si>
    <t xml:space="preserve">Total Air Quantity =</t>
  </si>
  <si>
    <t xml:space="preserve">L/s</t>
  </si>
  <si>
    <t xml:space="preserve">m3/h</t>
  </si>
  <si>
    <t xml:space="preserve">m3/s</t>
  </si>
  <si>
    <t xml:space="preserve">Ukuran ruang AHU</t>
  </si>
  <si>
    <t xml:space="preserve">Height :</t>
  </si>
  <si>
    <t xml:space="preserve">m</t>
  </si>
  <si>
    <t xml:space="preserve">Width :</t>
  </si>
  <si>
    <t xml:space="preserve">Length :</t>
  </si>
  <si>
    <t xml:space="preserve">Pilihan 1</t>
  </si>
  <si>
    <t xml:space="preserve">Merk AHU :</t>
  </si>
  <si>
    <t xml:space="preserve">TRANE</t>
  </si>
  <si>
    <t xml:space="preserve">Tipe :</t>
  </si>
  <si>
    <t xml:space="preserve">Unit Size 40</t>
  </si>
  <si>
    <t xml:space="preserve">Link :</t>
  </si>
  <si>
    <t xml:space="preserve">https://www.trane.com/content/dam/Trane/Commercial/lar/es/product-systems/Sistemas-de-agua-helada/Performance-climate-changer/CSAA/Catalogo/CLCH-PRC022-EN_092013_Performance%20Air%20Handler%20Catalog.pdf</t>
  </si>
  <si>
    <t xml:space="preserve">Speed :</t>
  </si>
  <si>
    <t xml:space="preserve">fpm</t>
  </si>
  <si>
    <t xml:space="preserve">Airflow :</t>
  </si>
  <si>
    <t xml:space="preserve">at 625 fpm</t>
  </si>
  <si>
    <t xml:space="preserve">in</t>
  </si>
  <si>
    <t xml:space="preserve">Pilihan 2</t>
  </si>
  <si>
    <t xml:space="preserve">CLCP 035</t>
  </si>
  <si>
    <t xml:space="preserve">https://www.tranehk.com/files/Products/CLCH-PRC010B-EN_0619(English).pdf</t>
  </si>
  <si>
    <t xml:space="preserve">m/s</t>
  </si>
  <si>
    <t xml:space="preserve">Mixing box/intake section</t>
  </si>
  <si>
    <t xml:space="preserve">mm</t>
  </si>
  <si>
    <t xml:space="preserve">Per-filter section</t>
  </si>
  <si>
    <t xml:space="preserve">Secondary filter section</t>
  </si>
  <si>
    <t xml:space="preserve">Flat + Bag Filter section</t>
  </si>
  <si>
    <t xml:space="preserve">Cooling Coil section</t>
  </si>
  <si>
    <t xml:space="preserve">Hot water coil section</t>
  </si>
  <si>
    <t xml:space="preserve">Steam coil section</t>
  </si>
  <si>
    <t xml:space="preserve">Electric heater section</t>
  </si>
  <si>
    <t xml:space="preserve">Steam humidifier section</t>
  </si>
  <si>
    <t xml:space="preserve">Film humidifier section</t>
  </si>
  <si>
    <t xml:space="preserve">High-pressure atomizing humidifier section (include drop eliminator)</t>
  </si>
  <si>
    <t xml:space="preserve">Fan section</t>
  </si>
  <si>
    <t xml:space="preserve">Sound Attenuator section</t>
  </si>
  <si>
    <t xml:space="preserve">Hi-capacity filter section</t>
  </si>
  <si>
    <t xml:space="preserve">Access section</t>
  </si>
  <si>
    <t xml:space="preserve">Supply airflow section</t>
  </si>
  <si>
    <t xml:space="preserve">Heat wheel section</t>
  </si>
  <si>
    <t xml:space="preserve">Horizontal Unit: Fan Outlet Position &amp; Unit Dimension</t>
  </si>
  <si>
    <t xml:space="preserve">Position 1</t>
  </si>
  <si>
    <t xml:space="preserve">A + B :</t>
  </si>
  <si>
    <t xml:space="preserve">Pilihan 3</t>
  </si>
  <si>
    <t xml:space="preserve">Weight :</t>
  </si>
  <si>
    <t xml:space="preserve">kg</t>
  </si>
  <si>
    <t xml:space="preserve">Pilihan 4</t>
  </si>
  <si>
    <t xml:space="preserve">DAIKIN</t>
  </si>
  <si>
    <t xml:space="preserve">PROFESSIONAL 13</t>
  </si>
  <si>
    <t xml:space="preserve">https://industri.daikin.no/wp-content/uploads/2020/06/2020_04_Produktkatalog_Air_Handling_Ventilation.pdf?utm_source=chatgpt.com</t>
  </si>
  <si>
    <t xml:space="preserve">Pilihan 5</t>
  </si>
  <si>
    <t xml:space="preserve">62M</t>
  </si>
  <si>
    <t xml:space="preserve">https://www.daikin.com.sg/resources/ck/files/catalogue/Air%20Handling%20Unit%20%28AH%20Models%29.pdf?utm_source=chatgpt.com</t>
  </si>
  <si>
    <t xml:space="preserve">Pilihan 6</t>
  </si>
  <si>
    <t xml:space="preserve">Teknotherm</t>
  </si>
  <si>
    <t xml:space="preserve">CECE280</t>
  </si>
  <si>
    <t xml:space="preserve">2500 Pa</t>
  </si>
  <si>
    <t xml:space="preserve">https://www.teknotherm.no/wp-content/uploads/2015/11/73-11_air_handling_unit_2013.pdf</t>
  </si>
  <si>
    <t xml:space="preserve">Pilihan 7</t>
  </si>
  <si>
    <t xml:space="preserve">AERON</t>
  </si>
  <si>
    <t xml:space="preserve">2500Oa</t>
  </si>
  <si>
    <t xml:space="preserve">DUCTING A</t>
  </si>
  <si>
    <t xml:space="preserve">AB 1</t>
  </si>
  <si>
    <t xml:space="preserve">Fitter</t>
  </si>
  <si>
    <t xml:space="preserve">Messman</t>
  </si>
  <si>
    <t xml:space="preserve">OS</t>
  </si>
  <si>
    <t xml:space="preserve">Motorman 1</t>
  </si>
  <si>
    <t xml:space="preserve">Motorman 2</t>
  </si>
  <si>
    <t xml:space="preserve">AB 2</t>
  </si>
  <si>
    <t xml:space="preserve">RUANG</t>
  </si>
  <si>
    <t xml:space="preserve">BRANCH SECT. NO.</t>
  </si>
  <si>
    <t xml:space="preserve">AIR QUANTITY Q (cfm)</t>
  </si>
  <si>
    <t xml:space="preserve">EQUIV. DUCT LENGTH L (ft)</t>
  </si>
  <si>
    <t xml:space="preserve">PRESSURE READING (in. wg)</t>
  </si>
  <si>
    <t xml:space="preserve">TAKE-OFF TO TAKE-OFF S.P. CHANCE (in.wg)</t>
  </si>
  <si>
    <t xml:space="preserve">S.P. AHEAD OF TAKE-OFF (in. wg)</t>
  </si>
  <si>
    <t xml:space="preserve">AIR TERMINAL PRESS (in. wg)</t>
  </si>
  <si>
    <t xml:space="preserve">DUCT DIAMETR SIZE (in)</t>
  </si>
  <si>
    <t xml:space="preserve">DUCT SIZE (mm)</t>
  </si>
  <si>
    <t xml:space="preserve">VELOCITY V (fpm)</t>
  </si>
  <si>
    <t xml:space="preserve">VELOCITY V (fps)</t>
  </si>
  <si>
    <t xml:space="preserve">Panjang Line (m)</t>
  </si>
  <si>
    <t xml:space="preserve">Panjang Line (ft)</t>
  </si>
  <si>
    <t xml:space="preserve">f</t>
  </si>
  <si>
    <t xml:space="preserve">Le = (K*D)/f [in]</t>
  </si>
  <si>
    <t xml:space="preserve">Le = (K*D)/f [ft]</t>
  </si>
  <si>
    <t xml:space="preserve">Le Tee 8 in</t>
  </si>
  <si>
    <t xml:space="preserve">Friction Loss (in.wg)</t>
  </si>
  <si>
    <t xml:space="preserve">Pressure Loss (in.wg)</t>
  </si>
  <si>
    <t xml:space="preserve">Jarak antar Tee (6*D)</t>
  </si>
  <si>
    <t xml:space="preserve">Initial</t>
  </si>
  <si>
    <t xml:space="preserve">Selected</t>
  </si>
  <si>
    <t xml:space="preserve">DUCTING 1-01-02</t>
  </si>
  <si>
    <t xml:space="preserve">AD 02-0201</t>
  </si>
  <si>
    <t xml:space="preserve">AD 0201-020101</t>
  </si>
  <si>
    <t xml:space="preserve">AD 0201-020102</t>
  </si>
  <si>
    <t xml:space="preserve">AD 02-03</t>
  </si>
  <si>
    <t xml:space="preserve">AD 03-0301</t>
  </si>
  <si>
    <t xml:space="preserve">AD 03-04</t>
  </si>
  <si>
    <t xml:space="preserve">AD 04-0401</t>
  </si>
  <si>
    <t xml:space="preserve">AD 04-05</t>
  </si>
  <si>
    <t xml:space="preserve">AD 05-06</t>
  </si>
  <si>
    <t xml:space="preserve">AD 06-0601</t>
  </si>
  <si>
    <t xml:space="preserve">AD 06-07</t>
  </si>
  <si>
    <t xml:space="preserve">AD 07-0701</t>
  </si>
  <si>
    <t xml:space="preserve">AD 07-08</t>
  </si>
  <si>
    <t xml:space="preserve">AD 08-0801</t>
  </si>
  <si>
    <t xml:space="preserve">AD 08-0802</t>
  </si>
  <si>
    <t xml:space="preserve">AD 05-09</t>
  </si>
  <si>
    <t xml:space="preserve">A DECK-MAIN DECK</t>
  </si>
  <si>
    <t xml:space="preserve">AD 09-MD 09</t>
  </si>
  <si>
    <t xml:space="preserve">MD 09-10</t>
  </si>
  <si>
    <t xml:space="preserve">MD 10-1001</t>
  </si>
  <si>
    <t xml:space="preserve">MD 1001-100101</t>
  </si>
  <si>
    <t xml:space="preserve">MD 1001-100102</t>
  </si>
  <si>
    <t xml:space="preserve">MD 10-1002</t>
  </si>
  <si>
    <t xml:space="preserve">MD 1002-100201</t>
  </si>
  <si>
    <t xml:space="preserve">MD 1002-102002</t>
  </si>
  <si>
    <t xml:space="preserve">MD 10-11</t>
  </si>
  <si>
    <t xml:space="preserve">MD 11-12</t>
  </si>
  <si>
    <t xml:space="preserve">MD 12-1201</t>
  </si>
  <si>
    <t xml:space="preserve">MD 12-1202</t>
  </si>
  <si>
    <t xml:space="preserve">MD 11-1101</t>
  </si>
  <si>
    <t xml:space="preserve">MD 1101-110101</t>
  </si>
  <si>
    <t xml:space="preserve">MD 1101-110102</t>
  </si>
  <si>
    <t xml:space="preserve">DUCTING B</t>
  </si>
  <si>
    <t xml:space="preserve">DUCT SIZE (in)</t>
  </si>
  <si>
    <t xml:space="preserve">DUCTING 02-01</t>
  </si>
  <si>
    <t xml:space="preserve">AD 01-02</t>
  </si>
  <si>
    <t xml:space="preserve">A DECK-B DECK</t>
  </si>
  <si>
    <t xml:space="preserve">AD 02-BD 02</t>
  </si>
  <si>
    <t xml:space="preserve">BD 02-03</t>
  </si>
  <si>
    <t xml:space="preserve">BD 03-031</t>
  </si>
  <si>
    <t xml:space="preserve">BD 031-0312</t>
  </si>
  <si>
    <t xml:space="preserve">BD 0312-03121</t>
  </si>
  <si>
    <t xml:space="preserve">BD 0312-03122</t>
  </si>
  <si>
    <t xml:space="preserve">BD 031-0311</t>
  </si>
  <si>
    <t xml:space="preserve">BD 0311-03111</t>
  </si>
  <si>
    <t xml:space="preserve">BD 0311-03112</t>
  </si>
  <si>
    <t xml:space="preserve">BD 03-04</t>
  </si>
  <si>
    <t xml:space="preserve">BD 04-041</t>
  </si>
  <si>
    <t xml:space="preserve">BD 04-05</t>
  </si>
  <si>
    <t xml:space="preserve">BD 05-051</t>
  </si>
  <si>
    <t xml:space="preserve">BD 05-06</t>
  </si>
  <si>
    <t xml:space="preserve">BD 06-061</t>
  </si>
  <si>
    <t xml:space="preserve">BD 06-07</t>
  </si>
  <si>
    <t xml:space="preserve">BD 07-071</t>
  </si>
  <si>
    <t xml:space="preserve">BD 07-08</t>
  </si>
  <si>
    <t xml:space="preserve">BD 08-081</t>
  </si>
  <si>
    <t xml:space="preserve">BD 08-09</t>
  </si>
  <si>
    <t xml:space="preserve">Ducting C (C Deck)</t>
  </si>
  <si>
    <t xml:space="preserve">Master Bedroom</t>
  </si>
  <si>
    <t xml:space="preserve">Master Cabin</t>
  </si>
  <si>
    <t xml:space="preserve">Office</t>
  </si>
  <si>
    <t xml:space="preserve">1st engineer bedroom</t>
  </si>
  <si>
    <t xml:space="preserve">1st engineer cabin</t>
  </si>
  <si>
    <t xml:space="preserve">Chief engineer bedroom</t>
  </si>
  <si>
    <t xml:space="preserve">Posisi diffusser</t>
  </si>
  <si>
    <t xml:space="preserve">DUCT SIZE diameter (mm)</t>
  </si>
  <si>
    <t xml:space="preserve">DUCT SIZE radius (m)</t>
  </si>
  <si>
    <t xml:space="preserve">Pipe Flow Expert</t>
  </si>
  <si>
    <t xml:space="preserve">DUCT SIZE diameter (in)</t>
  </si>
  <si>
    <t xml:space="preserve">DUCT SIZE diameter (in) %</t>
  </si>
  <si>
    <t xml:space="preserve">CFM Error %</t>
  </si>
  <si>
    <t xml:space="preserve">VELOCITY (fps) Error %</t>
  </si>
  <si>
    <t xml:space="preserve">A DECK-C DECK</t>
  </si>
  <si>
    <t xml:space="preserve">DUCTING C-AD 01 - C-CD 09</t>
  </si>
  <si>
    <t xml:space="preserve">C-CD 09-09103</t>
  </si>
  <si>
    <t xml:space="preserve">C-CD 09103-091031</t>
  </si>
  <si>
    <t xml:space="preserve">C-CD 091031-0910311</t>
  </si>
  <si>
    <t xml:space="preserve">C-CD 091031-0910312</t>
  </si>
  <si>
    <t xml:space="preserve">C-CD 09103-09104</t>
  </si>
  <si>
    <t xml:space="preserve">C-CD 09104-091041</t>
  </si>
  <si>
    <t xml:space="preserve">C-CD 09104-09105</t>
  </si>
  <si>
    <t xml:space="preserve">C-CD 09105-091051</t>
  </si>
  <si>
    <t xml:space="preserve">C-CD 09105-09106</t>
  </si>
  <si>
    <t xml:space="preserve">C-CD 09106-091061</t>
  </si>
  <si>
    <t xml:space="preserve">C-CD 09106-091071</t>
  </si>
  <si>
    <t xml:space="preserve">C-CD 09-09201</t>
  </si>
  <si>
    <t xml:space="preserve">C-CD 09201-092011</t>
  </si>
  <si>
    <t xml:space="preserve">C-CD 09201-09202</t>
  </si>
  <si>
    <t xml:space="preserve">C-CD 09202-092021</t>
  </si>
  <si>
    <t xml:space="preserve">C-CD 09202-092031</t>
  </si>
  <si>
    <t xml:space="preserve">C-CD 09201-09204</t>
  </si>
  <si>
    <t xml:space="preserve">C-CD 09204-092041</t>
  </si>
  <si>
    <t xml:space="preserve">C-CD 09204-092051</t>
  </si>
  <si>
    <t xml:space="preserve">Ruangan</t>
  </si>
  <si>
    <t xml:space="preserve">Total =</t>
  </si>
  <si>
    <t xml:space="preserve">Diffuser Lindab</t>
  </si>
  <si>
    <t xml:space="preserve">Grafik Carrier</t>
  </si>
  <si>
    <t xml:space="preserve">Perhitungan Manual</t>
  </si>
  <si>
    <t xml:space="preserve">Air Flow (m3/h)</t>
  </si>
  <si>
    <t xml:space="preserve">Curve Loss 1 (m3/h)</t>
  </si>
  <si>
    <t xml:space="preserve">Curve Loss 1 (kPa)</t>
  </si>
  <si>
    <t xml:space="preserve">Curve Loss 2 (m3/h)</t>
  </si>
  <si>
    <t xml:space="preserve">Curve Loss 2 (kPa)</t>
  </si>
  <si>
    <t xml:space="preserve">db(A)</t>
  </si>
  <si>
    <t xml:space="preserve">DUCT SIZE diameter/2 (m)</t>
  </si>
  <si>
    <t xml:space="preserve">DUCTING  A-AD 01-03</t>
  </si>
  <si>
    <t xml:space="preserve">DUCTING A-AD 01-03</t>
  </si>
  <si>
    <t xml:space="preserve">A-AD 03-031</t>
  </si>
  <si>
    <t xml:space="preserve">DUCTING A-AD 03-031</t>
  </si>
  <si>
    <t xml:space="preserve">DUCTING  A-AD 03-031</t>
  </si>
  <si>
    <t xml:space="preserve">A-AD 03-04</t>
  </si>
  <si>
    <t xml:space="preserve">DUCTING A-AD 03-04</t>
  </si>
  <si>
    <t xml:space="preserve">DUCTING  A-AD 03-04</t>
  </si>
  <si>
    <t xml:space="preserve">A-AD 04-041</t>
  </si>
  <si>
    <t xml:space="preserve">DUCTING A-AD 04-041</t>
  </si>
  <si>
    <t xml:space="preserve">DUCTING  A-AD 04-041</t>
  </si>
  <si>
    <t xml:space="preserve">A-AD 04-05</t>
  </si>
  <si>
    <t xml:space="preserve">DUCTING A-AD 04-05</t>
  </si>
  <si>
    <t xml:space="preserve">DUCTING  A-AD 04-05</t>
  </si>
  <si>
    <t xml:space="preserve">A-AD 05-051</t>
  </si>
  <si>
    <t xml:space="preserve">DUCTING A-AD 05-051</t>
  </si>
  <si>
    <t xml:space="preserve">DUCTING  A-AD 05-051</t>
  </si>
  <si>
    <t xml:space="preserve">A-AD 05-06</t>
  </si>
  <si>
    <t xml:space="preserve">DUCTING  A-AD 05-06</t>
  </si>
  <si>
    <t xml:space="preserve">A-AD 06-061</t>
  </si>
  <si>
    <t xml:space="preserve">DUCTING  A-AD 06-061</t>
  </si>
  <si>
    <t xml:space="preserve">A-AD 06-07</t>
  </si>
  <si>
    <t xml:space="preserve">DUCTING  A-AD 06-07</t>
  </si>
  <si>
    <t xml:space="preserve">A-AD 07-071</t>
  </si>
  <si>
    <t xml:space="preserve">DUCTING  A-AD 07-071</t>
  </si>
  <si>
    <t xml:space="preserve">A-AD 07-08</t>
  </si>
  <si>
    <t xml:space="preserve">DUCTING  A-AD 07-08</t>
  </si>
  <si>
    <t xml:space="preserve">A-AD 08-081</t>
  </si>
  <si>
    <t xml:space="preserve">DUCTING  A-AD 08-081</t>
  </si>
  <si>
    <t xml:space="preserve">A-AD 08-09</t>
  </si>
  <si>
    <t xml:space="preserve">DUCTING  A-AD 08-09</t>
  </si>
  <si>
    <t xml:space="preserve">A-AD 09-091</t>
  </si>
  <si>
    <t xml:space="preserve">DUCTING A-AD 09-091</t>
  </si>
  <si>
    <t xml:space="preserve">DUCTING  A-AD 09-091</t>
  </si>
  <si>
    <t xml:space="preserve">A-AD 09-092</t>
  </si>
  <si>
    <t xml:space="preserve">DUCTING  A-AD 09-092</t>
  </si>
  <si>
    <t xml:space="preserve">Rata-rata error laju aliran volumetrik tiap ruangan =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</si>
</sst>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@"/>
    <numFmt numFmtId="168" formatCode="0"/>
    <numFmt numFmtId="169" formatCode="#,##0.0000"/>
    <numFmt numFmtId="170" formatCode="0.0"/>
    <numFmt numFmtId="171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vertAlign val="superscript"/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sz val="9.35"/>
      <color theme="1"/>
      <name val="Times New Roman"/>
      <family val="1"/>
      <charset val="1"/>
    </font>
  </fonts>
  <fills count="14">
    <fill>
      <patternFill patternType="none"/>
    </fill>
    <fill>
      <patternFill patternType="gray125"/>
    </fill>
    <fill>
      <patternFill patternType="solid">
        <fgColor theme="5" tint="0.7998"/>
        <bgColor rgb="FFFFE699"/>
      </patternFill>
    </fill>
    <fill>
      <patternFill patternType="solid">
        <fgColor theme="7" tint="0.5998"/>
        <bgColor rgb="FFFBE5D6"/>
      </patternFill>
    </fill>
    <fill>
      <patternFill patternType="solid">
        <fgColor theme="5" tint="0.3998"/>
        <bgColor rgb="FFFF99CC"/>
      </patternFill>
    </fill>
    <fill>
      <patternFill patternType="solid">
        <fgColor rgb="FFFFCCFF"/>
        <bgColor rgb="FFFBE5D6"/>
      </patternFill>
    </fill>
    <fill>
      <patternFill patternType="solid">
        <fgColor rgb="FF99FF99"/>
        <bgColor rgb="FF92D050"/>
      </patternFill>
    </fill>
    <fill>
      <patternFill patternType="solid">
        <fgColor rgb="FF00B0F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66FFFF"/>
        <bgColor rgb="FF99FF99"/>
      </patternFill>
    </fill>
    <fill>
      <patternFill patternType="solid">
        <fgColor rgb="FFFFFF00"/>
        <bgColor rgb="FFFFFF00"/>
      </patternFill>
    </fill>
    <fill>
      <patternFill patternType="solid">
        <fgColor rgb="FF00FFCC"/>
        <bgColor rgb="FF00FFFF"/>
      </patternFill>
    </fill>
    <fill>
      <patternFill patternType="solid">
        <fgColor rgb="FF0070C0"/>
        <bgColor rgb="FF008080"/>
      </patternFill>
    </fill>
    <fill>
      <patternFill patternType="solid">
        <fgColor rgb="FF92D050"/>
        <bgColor rgb="FF99FF99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7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1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70C0"/>
      <rgbColor rgb="FFFF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99FF99"/>
      <rgbColor rgb="FFFFE699"/>
      <rgbColor rgb="FF66FFFF"/>
      <rgbColor rgb="FFFF99CC"/>
      <rgbColor rgb="FFCC99FF"/>
      <rgbColor rgb="FFF4B183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28</xdr:col>
      <xdr:colOff>358200</xdr:colOff>
      <xdr:row>6</xdr:row>
      <xdr:rowOff>112320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14321160" y="0"/>
          <a:ext cx="5367240" cy="1159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7</xdr:row>
      <xdr:rowOff>0</xdr:rowOff>
    </xdr:from>
    <xdr:to>
      <xdr:col>28</xdr:col>
      <xdr:colOff>399240</xdr:colOff>
      <xdr:row>15</xdr:row>
      <xdr:rowOff>146880</xdr:rowOff>
    </xdr:to>
    <xdr:pic>
      <xdr:nvPicPr>
        <xdr:cNvPr id="2" name="Picture 2"/>
        <xdr:cNvPicPr/>
      </xdr:nvPicPr>
      <xdr:blipFill>
        <a:blip r:embed="rId2"/>
        <a:stretch/>
      </xdr:blipFill>
      <xdr:spPr>
        <a:xfrm>
          <a:off x="14321160" y="1222920"/>
          <a:ext cx="5408280" cy="1549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442800</xdr:colOff>
      <xdr:row>22</xdr:row>
      <xdr:rowOff>175320</xdr:rowOff>
    </xdr:to>
    <xdr:pic>
      <xdr:nvPicPr>
        <xdr:cNvPr id="3" name="Picture 3"/>
        <xdr:cNvPicPr/>
      </xdr:nvPicPr>
      <xdr:blipFill>
        <a:blip r:embed="rId3"/>
        <a:stretch/>
      </xdr:blipFill>
      <xdr:spPr>
        <a:xfrm>
          <a:off x="14321160" y="2800440"/>
          <a:ext cx="5451840" cy="1226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28</xdr:col>
      <xdr:colOff>358200</xdr:colOff>
      <xdr:row>6</xdr:row>
      <xdr:rowOff>153720</xdr:rowOff>
    </xdr:to>
    <xdr:pic>
      <xdr:nvPicPr>
        <xdr:cNvPr id="4" name="Picture 1"/>
        <xdr:cNvPicPr/>
      </xdr:nvPicPr>
      <xdr:blipFill>
        <a:blip r:embed="rId1"/>
        <a:stretch/>
      </xdr:blipFill>
      <xdr:spPr>
        <a:xfrm>
          <a:off x="14564520" y="0"/>
          <a:ext cx="5184000" cy="1239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7</xdr:row>
      <xdr:rowOff>0</xdr:rowOff>
    </xdr:from>
    <xdr:to>
      <xdr:col>28</xdr:col>
      <xdr:colOff>399240</xdr:colOff>
      <xdr:row>16</xdr:row>
      <xdr:rowOff>40320</xdr:rowOff>
    </xdr:to>
    <xdr:pic>
      <xdr:nvPicPr>
        <xdr:cNvPr id="5" name="Picture 2"/>
        <xdr:cNvPicPr/>
      </xdr:nvPicPr>
      <xdr:blipFill>
        <a:blip r:embed="rId2"/>
        <a:stretch/>
      </xdr:blipFill>
      <xdr:spPr>
        <a:xfrm>
          <a:off x="14564520" y="1266840"/>
          <a:ext cx="5225040" cy="166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442800</xdr:colOff>
      <xdr:row>23</xdr:row>
      <xdr:rowOff>53280</xdr:rowOff>
    </xdr:to>
    <xdr:pic>
      <xdr:nvPicPr>
        <xdr:cNvPr id="6" name="Picture 3"/>
        <xdr:cNvPicPr/>
      </xdr:nvPicPr>
      <xdr:blipFill>
        <a:blip r:embed="rId3"/>
        <a:stretch/>
      </xdr:blipFill>
      <xdr:spPr>
        <a:xfrm>
          <a:off x="14564520" y="2895480"/>
          <a:ext cx="5268600" cy="1320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28</xdr:col>
      <xdr:colOff>358200</xdr:colOff>
      <xdr:row>6</xdr:row>
      <xdr:rowOff>112320</xdr:rowOff>
    </xdr:to>
    <xdr:pic>
      <xdr:nvPicPr>
        <xdr:cNvPr id="7" name="Picture 1"/>
        <xdr:cNvPicPr/>
      </xdr:nvPicPr>
      <xdr:blipFill>
        <a:blip r:embed="rId1"/>
        <a:stretch/>
      </xdr:blipFill>
      <xdr:spPr>
        <a:xfrm>
          <a:off x="14651280" y="0"/>
          <a:ext cx="5367240" cy="1159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26</xdr:col>
      <xdr:colOff>490680</xdr:colOff>
      <xdr:row>6</xdr:row>
      <xdr:rowOff>112320</xdr:rowOff>
    </xdr:to>
    <xdr:pic>
      <xdr:nvPicPr>
        <xdr:cNvPr id="8" name="Picture 1"/>
        <xdr:cNvPicPr/>
      </xdr:nvPicPr>
      <xdr:blipFill>
        <a:blip r:embed="rId1"/>
        <a:stretch/>
      </xdr:blipFill>
      <xdr:spPr>
        <a:xfrm>
          <a:off x="14803200" y="0"/>
          <a:ext cx="5367240" cy="1159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7</xdr:row>
      <xdr:rowOff>0</xdr:rowOff>
    </xdr:from>
    <xdr:to>
      <xdr:col>26</xdr:col>
      <xdr:colOff>531720</xdr:colOff>
      <xdr:row>15</xdr:row>
      <xdr:rowOff>146880</xdr:rowOff>
    </xdr:to>
    <xdr:pic>
      <xdr:nvPicPr>
        <xdr:cNvPr id="9" name="Picture 2"/>
        <xdr:cNvPicPr/>
      </xdr:nvPicPr>
      <xdr:blipFill>
        <a:blip r:embed="rId2"/>
        <a:stretch/>
      </xdr:blipFill>
      <xdr:spPr>
        <a:xfrm>
          <a:off x="14803200" y="1222920"/>
          <a:ext cx="5408280" cy="1549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16</xdr:row>
      <xdr:rowOff>0</xdr:rowOff>
    </xdr:from>
    <xdr:to>
      <xdr:col>26</xdr:col>
      <xdr:colOff>575280</xdr:colOff>
      <xdr:row>22</xdr:row>
      <xdr:rowOff>175320</xdr:rowOff>
    </xdr:to>
    <xdr:pic>
      <xdr:nvPicPr>
        <xdr:cNvPr id="10" name="Picture 3"/>
        <xdr:cNvPicPr/>
      </xdr:nvPicPr>
      <xdr:blipFill>
        <a:blip r:embed="rId3"/>
        <a:stretch/>
      </xdr:blipFill>
      <xdr:spPr>
        <a:xfrm>
          <a:off x="14803200" y="2800440"/>
          <a:ext cx="5451840" cy="1226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28</xdr:col>
      <xdr:colOff>358200</xdr:colOff>
      <xdr:row>6</xdr:row>
      <xdr:rowOff>112320</xdr:rowOff>
    </xdr:to>
    <xdr:pic>
      <xdr:nvPicPr>
        <xdr:cNvPr id="11" name="Picture 1"/>
        <xdr:cNvPicPr/>
      </xdr:nvPicPr>
      <xdr:blipFill>
        <a:blip r:embed="rId1"/>
        <a:stretch/>
      </xdr:blipFill>
      <xdr:spPr>
        <a:xfrm>
          <a:off x="14651280" y="0"/>
          <a:ext cx="5367240" cy="1159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7</xdr:row>
      <xdr:rowOff>0</xdr:rowOff>
    </xdr:from>
    <xdr:to>
      <xdr:col>28</xdr:col>
      <xdr:colOff>399240</xdr:colOff>
      <xdr:row>15</xdr:row>
      <xdr:rowOff>146880</xdr:rowOff>
    </xdr:to>
    <xdr:pic>
      <xdr:nvPicPr>
        <xdr:cNvPr id="12" name="Picture 2"/>
        <xdr:cNvPicPr/>
      </xdr:nvPicPr>
      <xdr:blipFill>
        <a:blip r:embed="rId2"/>
        <a:stretch/>
      </xdr:blipFill>
      <xdr:spPr>
        <a:xfrm>
          <a:off x="14651280" y="1222920"/>
          <a:ext cx="5408280" cy="1549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442800</xdr:colOff>
      <xdr:row>22</xdr:row>
      <xdr:rowOff>175320</xdr:rowOff>
    </xdr:to>
    <xdr:pic>
      <xdr:nvPicPr>
        <xdr:cNvPr id="13" name="Picture 3"/>
        <xdr:cNvPicPr/>
      </xdr:nvPicPr>
      <xdr:blipFill>
        <a:blip r:embed="rId3"/>
        <a:stretch/>
      </xdr:blipFill>
      <xdr:spPr>
        <a:xfrm>
          <a:off x="14651280" y="2800440"/>
          <a:ext cx="5451840" cy="1226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484200</xdr:colOff>
      <xdr:row>30</xdr:row>
      <xdr:rowOff>74160</xdr:rowOff>
    </xdr:to>
    <xdr:pic>
      <xdr:nvPicPr>
        <xdr:cNvPr id="14" name="Picture 4"/>
        <xdr:cNvPicPr/>
      </xdr:nvPicPr>
      <xdr:blipFill>
        <a:blip r:embed="rId4"/>
        <a:stretch/>
      </xdr:blipFill>
      <xdr:spPr>
        <a:xfrm>
          <a:off x="14651280" y="4027320"/>
          <a:ext cx="5493240" cy="1300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28</xdr:col>
      <xdr:colOff>358200</xdr:colOff>
      <xdr:row>6</xdr:row>
      <xdr:rowOff>81360</xdr:rowOff>
    </xdr:to>
    <xdr:pic>
      <xdr:nvPicPr>
        <xdr:cNvPr id="15" name="Picture 1"/>
        <xdr:cNvPicPr/>
      </xdr:nvPicPr>
      <xdr:blipFill>
        <a:blip r:embed="rId1"/>
        <a:stretch/>
      </xdr:blipFill>
      <xdr:spPr>
        <a:xfrm>
          <a:off x="14651280" y="0"/>
          <a:ext cx="5367240" cy="1128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6</xdr:row>
      <xdr:rowOff>143280</xdr:rowOff>
    </xdr:from>
    <xdr:to>
      <xdr:col>28</xdr:col>
      <xdr:colOff>399240</xdr:colOff>
      <xdr:row>15</xdr:row>
      <xdr:rowOff>68400</xdr:rowOff>
    </xdr:to>
    <xdr:pic>
      <xdr:nvPicPr>
        <xdr:cNvPr id="16" name="Picture 2"/>
        <xdr:cNvPicPr/>
      </xdr:nvPicPr>
      <xdr:blipFill>
        <a:blip r:embed="rId2"/>
        <a:stretch/>
      </xdr:blipFill>
      <xdr:spPr>
        <a:xfrm>
          <a:off x="14651280" y="1190880"/>
          <a:ext cx="5408280" cy="1502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15</xdr:row>
      <xdr:rowOff>97200</xdr:rowOff>
    </xdr:from>
    <xdr:to>
      <xdr:col>28</xdr:col>
      <xdr:colOff>442800</xdr:colOff>
      <xdr:row>22</xdr:row>
      <xdr:rowOff>61920</xdr:rowOff>
    </xdr:to>
    <xdr:pic>
      <xdr:nvPicPr>
        <xdr:cNvPr id="17" name="Picture 3"/>
        <xdr:cNvPicPr/>
      </xdr:nvPicPr>
      <xdr:blipFill>
        <a:blip r:embed="rId3"/>
        <a:stretch/>
      </xdr:blipFill>
      <xdr:spPr>
        <a:xfrm>
          <a:off x="14651280" y="2722320"/>
          <a:ext cx="5451840" cy="1191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22</xdr:row>
      <xdr:rowOff>61560</xdr:rowOff>
    </xdr:from>
    <xdr:to>
      <xdr:col>28</xdr:col>
      <xdr:colOff>484200</xdr:colOff>
      <xdr:row>29</xdr:row>
      <xdr:rowOff>98640</xdr:rowOff>
    </xdr:to>
    <xdr:pic>
      <xdr:nvPicPr>
        <xdr:cNvPr id="18" name="Picture 4"/>
        <xdr:cNvPicPr/>
      </xdr:nvPicPr>
      <xdr:blipFill>
        <a:blip r:embed="rId4"/>
        <a:stretch/>
      </xdr:blipFill>
      <xdr:spPr>
        <a:xfrm>
          <a:off x="14651280" y="3913560"/>
          <a:ext cx="5493240" cy="1263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0</xdr:row>
      <xdr:rowOff>0</xdr:rowOff>
    </xdr:from>
    <xdr:to>
      <xdr:col>28</xdr:col>
      <xdr:colOff>358200</xdr:colOff>
      <xdr:row>6</xdr:row>
      <xdr:rowOff>50760</xdr:rowOff>
    </xdr:to>
    <xdr:pic>
      <xdr:nvPicPr>
        <xdr:cNvPr id="19" name="Picture 1"/>
        <xdr:cNvPicPr/>
      </xdr:nvPicPr>
      <xdr:blipFill>
        <a:blip r:embed="rId1"/>
        <a:stretch/>
      </xdr:blipFill>
      <xdr:spPr>
        <a:xfrm>
          <a:off x="14580720" y="0"/>
          <a:ext cx="5367240" cy="1098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6</xdr:row>
      <xdr:rowOff>112680</xdr:rowOff>
    </xdr:from>
    <xdr:to>
      <xdr:col>28</xdr:col>
      <xdr:colOff>399240</xdr:colOff>
      <xdr:row>14</xdr:row>
      <xdr:rowOff>167040</xdr:rowOff>
    </xdr:to>
    <xdr:pic>
      <xdr:nvPicPr>
        <xdr:cNvPr id="20" name="Picture 2"/>
        <xdr:cNvPicPr/>
      </xdr:nvPicPr>
      <xdr:blipFill>
        <a:blip r:embed="rId2"/>
        <a:stretch/>
      </xdr:blipFill>
      <xdr:spPr>
        <a:xfrm>
          <a:off x="14580720" y="1160280"/>
          <a:ext cx="5408280" cy="1456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15</xdr:row>
      <xdr:rowOff>20520</xdr:rowOff>
    </xdr:from>
    <xdr:to>
      <xdr:col>28</xdr:col>
      <xdr:colOff>442800</xdr:colOff>
      <xdr:row>21</xdr:row>
      <xdr:rowOff>127800</xdr:rowOff>
    </xdr:to>
    <xdr:pic>
      <xdr:nvPicPr>
        <xdr:cNvPr id="21" name="Picture 3"/>
        <xdr:cNvPicPr/>
      </xdr:nvPicPr>
      <xdr:blipFill>
        <a:blip r:embed="rId3"/>
        <a:stretch/>
      </xdr:blipFill>
      <xdr:spPr>
        <a:xfrm>
          <a:off x="14580720" y="2645640"/>
          <a:ext cx="5451840" cy="1158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20</xdr:col>
      <xdr:colOff>0</xdr:colOff>
      <xdr:row>21</xdr:row>
      <xdr:rowOff>128160</xdr:rowOff>
    </xdr:from>
    <xdr:to>
      <xdr:col>28</xdr:col>
      <xdr:colOff>484200</xdr:colOff>
      <xdr:row>28</xdr:row>
      <xdr:rowOff>122400</xdr:rowOff>
    </xdr:to>
    <xdr:pic>
      <xdr:nvPicPr>
        <xdr:cNvPr id="22" name="Picture 4"/>
        <xdr:cNvPicPr/>
      </xdr:nvPicPr>
      <xdr:blipFill>
        <a:blip r:embed="rId4"/>
        <a:stretch/>
      </xdr:blipFill>
      <xdr:spPr>
        <a:xfrm>
          <a:off x="14580720" y="3804840"/>
          <a:ext cx="5493240" cy="1221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0</xdr:colOff>
      <xdr:row>0</xdr:row>
      <xdr:rowOff>0</xdr:rowOff>
    </xdr:from>
    <xdr:to>
      <xdr:col>29</xdr:col>
      <xdr:colOff>358200</xdr:colOff>
      <xdr:row>6</xdr:row>
      <xdr:rowOff>140040</xdr:rowOff>
    </xdr:to>
    <xdr:pic>
      <xdr:nvPicPr>
        <xdr:cNvPr id="23" name="Picture 1"/>
        <xdr:cNvPicPr/>
      </xdr:nvPicPr>
      <xdr:blipFill>
        <a:blip r:embed="rId1"/>
        <a:stretch/>
      </xdr:blipFill>
      <xdr:spPr>
        <a:xfrm>
          <a:off x="15207120" y="0"/>
          <a:ext cx="5366880" cy="1187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7" activeCellId="0" sqref="C17"/>
    </sheetView>
  </sheetViews>
  <sheetFormatPr defaultColWidth="8.5625" defaultRowHeight="14.25" customHeight="false" zeroHeight="false" outlineLevelRow="0" outlineLevelCol="0"/>
  <cols>
    <col collapsed="false" customWidth="true" hidden="false" outlineLevel="0" max="2" min="2" style="1" width="18.88"/>
    <col collapsed="false" customWidth="true" hidden="false" outlineLevel="0" max="3" min="3" style="0" width="35"/>
    <col collapsed="false" customWidth="true" hidden="false" outlineLevel="0" max="4" min="4" style="0" width="32.22"/>
    <col collapsed="false" customWidth="true" hidden="false" outlineLevel="0" max="5" min="5" style="0" width="12"/>
    <col collapsed="false" customWidth="true" hidden="false" outlineLevel="0" max="6" min="6" style="0" width="11.89"/>
  </cols>
  <sheetData>
    <row r="2" customFormat="false" ht="15" hidden="false" customHeight="false" outlineLevel="0" collapsed="false">
      <c r="B2" s="2" t="s">
        <v>0</v>
      </c>
      <c r="C2" s="2"/>
      <c r="D2" s="2"/>
      <c r="E2" s="3"/>
      <c r="F2" s="3"/>
    </row>
    <row r="3" customFormat="false" ht="15" hidden="false" customHeight="false" outlineLevel="0" collapsed="false">
      <c r="B3" s="3"/>
      <c r="C3" s="3"/>
      <c r="D3" s="3"/>
      <c r="E3" s="3"/>
      <c r="F3" s="3"/>
    </row>
    <row r="4" customFormat="false" ht="15" hidden="false" customHeight="false" outlineLevel="0" collapsed="false">
      <c r="B4" s="4" t="s">
        <v>1</v>
      </c>
      <c r="C4" s="5" t="s">
        <v>2</v>
      </c>
      <c r="D4" s="3"/>
      <c r="E4" s="3"/>
      <c r="F4" s="3"/>
    </row>
    <row r="5" customFormat="false" ht="15" hidden="false" customHeight="false" outlineLevel="0" collapsed="false">
      <c r="B5" s="4" t="s">
        <v>3</v>
      </c>
      <c r="C5" s="6" t="s">
        <v>4</v>
      </c>
      <c r="D5" s="3"/>
      <c r="E5" s="3"/>
      <c r="F5" s="3"/>
    </row>
    <row r="6" customFormat="false" ht="15" hidden="false" customHeight="false" outlineLevel="0" collapsed="false">
      <c r="B6" s="4" t="s">
        <v>5</v>
      </c>
      <c r="C6" s="6" t="s">
        <v>6</v>
      </c>
      <c r="D6" s="3"/>
      <c r="E6" s="3"/>
      <c r="F6" s="3"/>
    </row>
    <row r="7" customFormat="false" ht="15" hidden="false" customHeight="false" outlineLevel="0" collapsed="false">
      <c r="B7" s="4" t="s">
        <v>7</v>
      </c>
      <c r="C7" s="7" t="s">
        <v>8</v>
      </c>
    </row>
    <row r="8" customFormat="false" ht="14.25" hidden="false" customHeight="false" outlineLevel="0" collapsed="false">
      <c r="B8" s="8"/>
      <c r="C8" s="9"/>
    </row>
    <row r="9" customFormat="false" ht="15" hidden="false" customHeight="false" outlineLevel="0" collapsed="false">
      <c r="B9" s="10" t="s">
        <v>9</v>
      </c>
      <c r="C9" s="10" t="s">
        <v>10</v>
      </c>
      <c r="D9" s="10" t="s">
        <v>11</v>
      </c>
      <c r="E9" s="1"/>
      <c r="F9" s="1"/>
    </row>
    <row r="10" customFormat="false" ht="15" hidden="false" customHeight="false" outlineLevel="0" collapsed="false">
      <c r="B10" s="11" t="n">
        <v>1</v>
      </c>
      <c r="C10" s="12" t="s">
        <v>12</v>
      </c>
      <c r="D10" s="13" t="n">
        <f aca="false">'MAIN DK'!B24</f>
        <v>4</v>
      </c>
    </row>
    <row r="11" customFormat="false" ht="15" hidden="false" customHeight="false" outlineLevel="0" collapsed="false">
      <c r="B11" s="11" t="n">
        <v>2</v>
      </c>
      <c r="C11" s="12" t="s">
        <v>13</v>
      </c>
      <c r="D11" s="13" t="n">
        <f aca="false">'POOP DK'!B24</f>
        <v>8</v>
      </c>
    </row>
    <row r="12" customFormat="false" ht="15" hidden="false" customHeight="false" outlineLevel="0" collapsed="false">
      <c r="B12" s="11" t="n">
        <v>3</v>
      </c>
      <c r="C12" s="12" t="s">
        <v>14</v>
      </c>
      <c r="D12" s="13" t="n">
        <f aca="false">'A DK'!B24</f>
        <v>10</v>
      </c>
    </row>
    <row r="13" customFormat="false" ht="15" hidden="false" customHeight="false" outlineLevel="0" collapsed="false">
      <c r="B13" s="11" t="n">
        <v>4</v>
      </c>
      <c r="C13" s="12" t="s">
        <v>15</v>
      </c>
      <c r="D13" s="13" t="n">
        <f aca="false">'B DK'!B24</f>
        <v>10</v>
      </c>
    </row>
    <row r="14" customFormat="false" ht="15" hidden="false" customHeight="false" outlineLevel="0" collapsed="false">
      <c r="B14" s="11" t="n">
        <v>5</v>
      </c>
      <c r="C14" s="12" t="s">
        <v>16</v>
      </c>
      <c r="D14" s="13" t="n">
        <f aca="false">'C DK'!B24</f>
        <v>11</v>
      </c>
    </row>
    <row r="15" customFormat="false" ht="15" hidden="false" customHeight="false" outlineLevel="0" collapsed="false">
      <c r="B15" s="11" t="n">
        <v>6</v>
      </c>
      <c r="C15" s="12" t="s">
        <v>17</v>
      </c>
      <c r="D15" s="13" t="n">
        <f aca="false">'BRIDGE DK'!B24</f>
        <v>1</v>
      </c>
    </row>
    <row r="16" customFormat="false" ht="15" hidden="false" customHeight="false" outlineLevel="0" collapsed="false">
      <c r="B16" s="11"/>
      <c r="C16" s="12"/>
      <c r="D16" s="13"/>
    </row>
    <row r="17" customFormat="false" ht="15" hidden="false" customHeight="false" outlineLevel="0" collapsed="false">
      <c r="B17" s="11"/>
      <c r="C17" s="12"/>
      <c r="D17" s="13"/>
    </row>
    <row r="18" customFormat="false" ht="15" hidden="false" customHeight="false" outlineLevel="0" collapsed="false">
      <c r="B18" s="11"/>
      <c r="C18" s="12"/>
      <c r="D18" s="13"/>
    </row>
    <row r="19" customFormat="false" ht="15" hidden="false" customHeight="false" outlineLevel="0" collapsed="false">
      <c r="B19" s="11"/>
      <c r="C19" s="12"/>
      <c r="D19" s="13"/>
    </row>
    <row r="20" customFormat="false" ht="15" hidden="false" customHeight="false" outlineLevel="0" collapsed="false">
      <c r="B20" s="11"/>
      <c r="C20" s="12"/>
      <c r="D20" s="13"/>
    </row>
    <row r="21" customFormat="false" ht="15" hidden="false" customHeight="false" outlineLevel="0" collapsed="false">
      <c r="B21" s="11"/>
      <c r="C21" s="12"/>
      <c r="D21" s="13"/>
    </row>
    <row r="22" customFormat="false" ht="15" hidden="false" customHeight="false" outlineLevel="0" collapsed="false">
      <c r="B22" s="11"/>
      <c r="C22" s="12"/>
      <c r="D22" s="13"/>
    </row>
    <row r="23" customFormat="false" ht="15" hidden="false" customHeight="false" outlineLevel="0" collapsed="false">
      <c r="B23" s="11"/>
      <c r="C23" s="12"/>
      <c r="D23" s="13"/>
    </row>
    <row r="24" customFormat="false" ht="15" hidden="false" customHeight="false" outlineLevel="0" collapsed="false">
      <c r="B24" s="11"/>
      <c r="C24" s="12"/>
      <c r="D24" s="13"/>
    </row>
    <row r="25" customFormat="false" ht="15" hidden="false" customHeight="false" outlineLevel="0" collapsed="false">
      <c r="B25" s="11"/>
      <c r="C25" s="12"/>
      <c r="D25" s="13"/>
    </row>
    <row r="26" customFormat="false" ht="15" hidden="false" customHeight="false" outlineLevel="0" collapsed="false">
      <c r="B26" s="11"/>
      <c r="C26" s="12"/>
      <c r="D26" s="13"/>
    </row>
    <row r="28" customFormat="false" ht="14.25" hidden="false" customHeight="false" outlineLevel="0" collapsed="false">
      <c r="C28" s="14"/>
    </row>
  </sheetData>
  <mergeCells count="1">
    <mergeCell ref="B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6" activeCellId="0" sqref="I6"/>
    </sheetView>
  </sheetViews>
  <sheetFormatPr defaultColWidth="8.88671875" defaultRowHeight="15" customHeight="false" zeroHeight="false" outlineLevelRow="0" outlineLevelCol="0"/>
  <cols>
    <col collapsed="false" customWidth="false" hidden="false" outlineLevel="0" max="1" min="1" style="15" width="8.88"/>
    <col collapsed="false" customWidth="false" hidden="false" outlineLevel="0" max="2" min="2" style="16" width="8.88"/>
    <col collapsed="false" customWidth="true" hidden="false" outlineLevel="0" max="3" min="3" style="15" width="22"/>
    <col collapsed="false" customWidth="true" hidden="false" outlineLevel="0" max="4" min="4" style="15" width="7.22"/>
    <col collapsed="false" customWidth="true" hidden="false" outlineLevel="0" max="5" min="5" style="15" width="6.77"/>
    <col collapsed="false" customWidth="true" hidden="false" outlineLevel="0" max="6" min="6" style="15" width="7.67"/>
    <col collapsed="false" customWidth="true" hidden="false" outlineLevel="0" max="7" min="7" style="15" width="11.22"/>
    <col collapsed="false" customWidth="true" hidden="false" outlineLevel="0" max="8" min="8" style="15" width="12.67"/>
    <col collapsed="false" customWidth="true" hidden="false" outlineLevel="0" max="9" min="9" style="16" width="18.34"/>
    <col collapsed="false" customWidth="false" hidden="false" outlineLevel="0" max="16384" min="10" style="15" width="8.88"/>
  </cols>
  <sheetData>
    <row r="2" customFormat="false" ht="15" hidden="false" customHeight="false" outlineLevel="0" collapsed="false">
      <c r="B2" s="17" t="s">
        <v>18</v>
      </c>
      <c r="C2" s="17"/>
      <c r="D2" s="17"/>
      <c r="E2" s="17"/>
      <c r="F2" s="17"/>
    </row>
    <row r="4" customFormat="false" ht="15" hidden="false" customHeight="true" outlineLevel="0" collapsed="false">
      <c r="B4" s="18" t="s">
        <v>9</v>
      </c>
      <c r="C4" s="18" t="s">
        <v>10</v>
      </c>
      <c r="D4" s="18" t="s">
        <v>19</v>
      </c>
      <c r="E4" s="18"/>
      <c r="F4" s="18"/>
      <c r="G4" s="19" t="s">
        <v>20</v>
      </c>
      <c r="H4" s="20" t="s">
        <v>21</v>
      </c>
      <c r="I4" s="21" t="s">
        <v>22</v>
      </c>
    </row>
    <row r="5" customFormat="false" ht="15" hidden="false" customHeight="false" outlineLevel="0" collapsed="false">
      <c r="B5" s="18"/>
      <c r="C5" s="18"/>
      <c r="D5" s="18" t="s">
        <v>23</v>
      </c>
      <c r="E5" s="18" t="s">
        <v>24</v>
      </c>
      <c r="F5" s="18" t="s">
        <v>25</v>
      </c>
      <c r="G5" s="19"/>
      <c r="H5" s="20"/>
      <c r="I5" s="21"/>
    </row>
    <row r="6" customFormat="false" ht="15" hidden="false" customHeight="false" outlineLevel="0" collapsed="false">
      <c r="B6" s="22" t="n">
        <v>1</v>
      </c>
      <c r="C6" s="23" t="s">
        <v>26</v>
      </c>
      <c r="D6" s="24" t="n">
        <f aca="false">9*0.6 + 0.2</f>
        <v>5.6</v>
      </c>
      <c r="E6" s="24" t="n">
        <v>2.8</v>
      </c>
      <c r="F6" s="24" t="n">
        <v>3</v>
      </c>
      <c r="G6" s="24" t="n">
        <f aca="false">'VEGETABLE STORE'!F35</f>
        <v>165.197448304</v>
      </c>
      <c r="H6" s="24" t="n">
        <f aca="false">'VEGETABLE STORE'!F37</f>
        <v>1463.36326999298</v>
      </c>
      <c r="I6" s="25" t="n">
        <f aca="false">'VEGETABLE STORE'!F43</f>
        <v>637.925019106854</v>
      </c>
    </row>
    <row r="7" customFormat="false" ht="15" hidden="false" customHeight="false" outlineLevel="0" collapsed="false">
      <c r="B7" s="22" t="n">
        <v>2</v>
      </c>
      <c r="C7" s="23" t="s">
        <v>27</v>
      </c>
      <c r="D7" s="24" t="n">
        <v>4.2</v>
      </c>
      <c r="E7" s="24" t="n">
        <v>2.8</v>
      </c>
      <c r="F7" s="24" t="n">
        <v>3</v>
      </c>
      <c r="G7" s="24" t="n">
        <f aca="false">'MEET FISH STORE'!F35</f>
        <v>113.02095</v>
      </c>
      <c r="H7" s="24" t="n">
        <f aca="false">'MEET FISH STORE'!F37</f>
        <v>1001.1698647146</v>
      </c>
    </row>
    <row r="8" customFormat="false" ht="15" hidden="false" customHeight="false" outlineLevel="0" collapsed="false">
      <c r="B8" s="22" t="n">
        <v>3</v>
      </c>
      <c r="C8" s="23" t="s">
        <v>28</v>
      </c>
      <c r="D8" s="24" t="n">
        <v>5</v>
      </c>
      <c r="E8" s="24" t="n">
        <v>10.7</v>
      </c>
      <c r="F8" s="24" t="n">
        <v>3</v>
      </c>
      <c r="G8" s="24" t="n">
        <f aca="false">'ENGINE CONTROL ROOM'!F35</f>
        <v>704.927811</v>
      </c>
      <c r="H8" s="24" t="n">
        <f aca="false">'ENGINE CONTROL ROOM'!F37</f>
        <v>6244.43947049135</v>
      </c>
    </row>
    <row r="9" customFormat="false" ht="15" hidden="false" customHeight="false" outlineLevel="0" collapsed="false">
      <c r="B9" s="22" t="n">
        <v>4</v>
      </c>
      <c r="C9" s="23" t="s">
        <v>29</v>
      </c>
      <c r="D9" s="24" t="n">
        <v>10.9</v>
      </c>
      <c r="E9" s="24" t="n">
        <v>3.55</v>
      </c>
      <c r="F9" s="24" t="n">
        <v>3</v>
      </c>
      <c r="G9" s="24" t="n">
        <f aca="false">'DRY PROVISION STORE'!F35</f>
        <v>519.66817532</v>
      </c>
      <c r="H9" s="24" t="n">
        <f aca="false">'DRY PROVISION STORE'!F37</f>
        <v>4603.35996805555</v>
      </c>
    </row>
    <row r="10" customFormat="false" ht="15" hidden="false" customHeight="false" outlineLevel="0" collapsed="false">
      <c r="B10" s="22"/>
      <c r="C10" s="23"/>
      <c r="D10" s="26"/>
      <c r="E10" s="26"/>
      <c r="F10" s="26"/>
      <c r="G10" s="22"/>
      <c r="H10" s="22"/>
    </row>
    <row r="11" customFormat="false" ht="15" hidden="false" customHeight="false" outlineLevel="0" collapsed="false">
      <c r="B11" s="22"/>
      <c r="C11" s="23"/>
      <c r="D11" s="26"/>
      <c r="E11" s="26"/>
      <c r="F11" s="26"/>
      <c r="G11" s="22"/>
      <c r="H11" s="22"/>
    </row>
    <row r="12" customFormat="false" ht="15" hidden="false" customHeight="false" outlineLevel="0" collapsed="false">
      <c r="B12" s="22"/>
      <c r="C12" s="23"/>
      <c r="D12" s="26"/>
      <c r="E12" s="26"/>
      <c r="F12" s="26"/>
      <c r="G12" s="22"/>
      <c r="H12" s="22"/>
    </row>
    <row r="13" customFormat="false" ht="15" hidden="false" customHeight="false" outlineLevel="0" collapsed="false">
      <c r="B13" s="22"/>
      <c r="C13" s="23"/>
      <c r="D13" s="26"/>
      <c r="E13" s="26"/>
      <c r="F13" s="26"/>
      <c r="G13" s="22"/>
      <c r="H13" s="22"/>
    </row>
    <row r="14" customFormat="false" ht="15" hidden="false" customHeight="false" outlineLevel="0" collapsed="false">
      <c r="B14" s="22"/>
      <c r="C14" s="23"/>
      <c r="D14" s="26"/>
      <c r="E14" s="26"/>
      <c r="F14" s="26"/>
      <c r="G14" s="22"/>
      <c r="H14" s="22"/>
    </row>
    <row r="15" customFormat="false" ht="15" hidden="false" customHeight="false" outlineLevel="0" collapsed="false">
      <c r="B15" s="22"/>
      <c r="C15" s="23"/>
      <c r="D15" s="26"/>
      <c r="E15" s="26"/>
      <c r="F15" s="26"/>
      <c r="G15" s="22"/>
      <c r="H15" s="22"/>
    </row>
    <row r="16" customFormat="false" ht="15" hidden="false" customHeight="false" outlineLevel="0" collapsed="false">
      <c r="B16" s="22"/>
      <c r="C16" s="23"/>
      <c r="D16" s="26"/>
      <c r="E16" s="26"/>
      <c r="F16" s="26"/>
      <c r="G16" s="22"/>
      <c r="H16" s="22"/>
    </row>
    <row r="17" customFormat="false" ht="15" hidden="false" customHeight="false" outlineLevel="0" collapsed="false">
      <c r="B17" s="22"/>
      <c r="C17" s="23"/>
      <c r="D17" s="26"/>
      <c r="E17" s="26"/>
      <c r="F17" s="26"/>
      <c r="G17" s="22"/>
      <c r="H17" s="22"/>
    </row>
    <row r="18" customFormat="false" ht="15" hidden="false" customHeight="false" outlineLevel="0" collapsed="false">
      <c r="B18" s="22"/>
      <c r="C18" s="23"/>
      <c r="D18" s="26"/>
      <c r="E18" s="26"/>
      <c r="F18" s="26"/>
      <c r="G18" s="22"/>
      <c r="H18" s="22"/>
    </row>
    <row r="19" customFormat="false" ht="15" hidden="false" customHeight="false" outlineLevel="0" collapsed="false">
      <c r="B19" s="22"/>
      <c r="C19" s="23"/>
      <c r="D19" s="26"/>
      <c r="E19" s="26"/>
      <c r="F19" s="26"/>
      <c r="G19" s="22"/>
      <c r="H19" s="22"/>
    </row>
    <row r="20" customFormat="false" ht="15" hidden="false" customHeight="false" outlineLevel="0" collapsed="false">
      <c r="B20" s="22"/>
      <c r="C20" s="23"/>
      <c r="D20" s="26"/>
      <c r="E20" s="26"/>
      <c r="F20" s="26"/>
      <c r="G20" s="22"/>
      <c r="H20" s="22"/>
    </row>
    <row r="21" customFormat="false" ht="15" hidden="false" customHeight="false" outlineLevel="0" collapsed="false">
      <c r="B21" s="22"/>
      <c r="C21" s="23"/>
      <c r="D21" s="26"/>
      <c r="E21" s="26"/>
      <c r="F21" s="26"/>
      <c r="G21" s="22"/>
      <c r="H21" s="22"/>
    </row>
    <row r="22" customFormat="false" ht="15" hidden="false" customHeight="false" outlineLevel="0" collapsed="false">
      <c r="B22" s="22"/>
      <c r="C22" s="23"/>
      <c r="D22" s="26"/>
      <c r="E22" s="26"/>
      <c r="F22" s="26"/>
      <c r="G22" s="22"/>
      <c r="H22" s="22"/>
    </row>
    <row r="24" customFormat="false" ht="15" hidden="false" customHeight="false" outlineLevel="0" collapsed="false">
      <c r="B24" s="16" t="n">
        <f aca="false">COUNTA(C6:C22)</f>
        <v>4</v>
      </c>
      <c r="C24" s="17" t="s">
        <v>30</v>
      </c>
    </row>
  </sheetData>
  <mergeCells count="6">
    <mergeCell ref="B4:B5"/>
    <mergeCell ref="C4:C5"/>
    <mergeCell ref="D4:F4"/>
    <mergeCell ref="G4:G5"/>
    <mergeCell ref="H4:H5"/>
    <mergeCell ref="I4:I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4"/>
  <sheetViews>
    <sheetView showFormulas="false" showGridLines="true" showRowColHeaders="true" showZeros="true" rightToLeft="false" tabSelected="false" showOutlineSymbols="true" defaultGridColor="true" view="normal" topLeftCell="A2" colorId="64" zoomScale="95" zoomScaleNormal="95" zoomScalePageLayoutView="100" workbookViewId="0">
      <selection pane="topLeft" activeCell="C15" activeCellId="0" sqref="C15"/>
    </sheetView>
  </sheetViews>
  <sheetFormatPr defaultColWidth="8.88671875" defaultRowHeight="15" customHeight="false" zeroHeight="false" outlineLevelRow="0" outlineLevelCol="0"/>
  <cols>
    <col collapsed="false" customWidth="false" hidden="false" outlineLevel="0" max="1" min="1" style="15" width="8.88"/>
    <col collapsed="false" customWidth="false" hidden="false" outlineLevel="0" max="2" min="2" style="16" width="8.88"/>
    <col collapsed="false" customWidth="true" hidden="false" outlineLevel="0" max="3" min="3" style="15" width="22"/>
    <col collapsed="false" customWidth="true" hidden="false" outlineLevel="0" max="4" min="4" style="15" width="7.33"/>
    <col collapsed="false" customWidth="true" hidden="false" outlineLevel="0" max="5" min="5" style="15" width="6.77"/>
    <col collapsed="false" customWidth="true" hidden="false" outlineLevel="0" max="6" min="6" style="15" width="7.67"/>
    <col collapsed="false" customWidth="true" hidden="false" outlineLevel="0" max="7" min="7" style="15" width="11.33"/>
    <col collapsed="false" customWidth="true" hidden="false" outlineLevel="0" max="8" min="8" style="15" width="12.56"/>
    <col collapsed="false" customWidth="true" hidden="false" outlineLevel="0" max="9" min="9" style="15" width="16.56"/>
    <col collapsed="false" customWidth="false" hidden="false" outlineLevel="0" max="16384" min="10" style="15" width="8.88"/>
  </cols>
  <sheetData>
    <row r="2" customFormat="false" ht="15" hidden="false" customHeight="false" outlineLevel="0" collapsed="false">
      <c r="B2" s="17" t="s">
        <v>18</v>
      </c>
      <c r="C2" s="17"/>
      <c r="D2" s="17"/>
      <c r="E2" s="17"/>
      <c r="F2" s="17"/>
    </row>
    <row r="4" customFormat="false" ht="15" hidden="false" customHeight="true" outlineLevel="0" collapsed="false">
      <c r="B4" s="18" t="s">
        <v>9</v>
      </c>
      <c r="C4" s="18" t="s">
        <v>10</v>
      </c>
      <c r="D4" s="18" t="s">
        <v>19</v>
      </c>
      <c r="E4" s="18"/>
      <c r="F4" s="18"/>
      <c r="G4" s="19" t="s">
        <v>20</v>
      </c>
      <c r="H4" s="20" t="s">
        <v>21</v>
      </c>
      <c r="I4" s="21" t="s">
        <v>22</v>
      </c>
    </row>
    <row r="5" customFormat="false" ht="15" hidden="false" customHeight="false" outlineLevel="0" collapsed="false">
      <c r="B5" s="18"/>
      <c r="C5" s="18"/>
      <c r="D5" s="18" t="s">
        <v>23</v>
      </c>
      <c r="E5" s="18" t="s">
        <v>24</v>
      </c>
      <c r="F5" s="18" t="s">
        <v>25</v>
      </c>
      <c r="G5" s="19"/>
      <c r="H5" s="20"/>
      <c r="I5" s="21"/>
    </row>
    <row r="6" customFormat="false" ht="15" hidden="false" customHeight="false" outlineLevel="0" collapsed="false">
      <c r="B6" s="22" t="n">
        <v>1</v>
      </c>
      <c r="C6" s="27" t="s">
        <v>31</v>
      </c>
      <c r="D6" s="24" t="n">
        <v>5.55</v>
      </c>
      <c r="E6" s="24" t="n">
        <v>3.9</v>
      </c>
      <c r="F6" s="24" t="n">
        <v>2.7</v>
      </c>
      <c r="G6" s="24" t="n">
        <f aca="false">'CARGO CONTROL ROOM'!F35</f>
        <v>254.889152</v>
      </c>
      <c r="H6" s="24" t="n">
        <f aca="false">'CARGO CONTROL ROOM'!F37</f>
        <v>2257.87641870874</v>
      </c>
      <c r="I6" s="28" t="n">
        <f aca="false">'CARGO CONTROL ROOM'!F43</f>
        <v>214.87686606063</v>
      </c>
    </row>
    <row r="7" customFormat="false" ht="15" hidden="false" customHeight="false" outlineLevel="0" collapsed="false">
      <c r="B7" s="22" t="n">
        <v>2</v>
      </c>
      <c r="C7" s="27" t="s">
        <v>32</v>
      </c>
      <c r="D7" s="24" t="n">
        <v>5.5</v>
      </c>
      <c r="E7" s="24" t="n">
        <v>4.95</v>
      </c>
      <c r="F7" s="24" t="n">
        <v>2.7</v>
      </c>
      <c r="G7" s="24" t="n">
        <f aca="false">'SHIP OFFICE'!F35</f>
        <v>318.396162</v>
      </c>
      <c r="H7" s="24" t="n">
        <f aca="false">'SHIP OFFICE'!F37</f>
        <v>2820.43853316742</v>
      </c>
    </row>
    <row r="8" customFormat="false" ht="15" hidden="false" customHeight="false" outlineLevel="0" collapsed="false">
      <c r="B8" s="22" t="n">
        <v>3</v>
      </c>
      <c r="C8" s="27" t="s">
        <v>33</v>
      </c>
      <c r="D8" s="24" t="n">
        <v>2.2</v>
      </c>
      <c r="E8" s="24" t="n">
        <v>2.6</v>
      </c>
      <c r="F8" s="24" t="n">
        <v>2.7</v>
      </c>
      <c r="G8" s="24" t="n">
        <f aca="false">'DECK CHANGE ROOM'!F35</f>
        <v>67.166736</v>
      </c>
      <c r="H8" s="24" t="n">
        <f aca="false">'DECK CHANGE ROOM'!F37</f>
        <v>594.980948173248</v>
      </c>
    </row>
    <row r="9" customFormat="false" ht="15" hidden="false" customHeight="false" outlineLevel="0" collapsed="false">
      <c r="B9" s="22" t="n">
        <v>4</v>
      </c>
      <c r="C9" s="27" t="s">
        <v>34</v>
      </c>
      <c r="D9" s="24" t="n">
        <v>2.2</v>
      </c>
      <c r="E9" s="24" t="n">
        <v>0.95</v>
      </c>
      <c r="F9" s="24" t="n">
        <v>2.7</v>
      </c>
      <c r="G9" s="24" t="n">
        <f aca="false">STORE!F35</f>
        <v>31.000032</v>
      </c>
      <c r="H9" s="24" t="n">
        <f aca="false">STORE!F37</f>
        <v>274.606591464576</v>
      </c>
    </row>
    <row r="10" customFormat="false" ht="15" hidden="false" customHeight="false" outlineLevel="0" collapsed="false">
      <c r="B10" s="22" t="n">
        <v>5</v>
      </c>
      <c r="C10" s="27" t="s">
        <v>35</v>
      </c>
      <c r="D10" s="24" t="n">
        <v>6.1</v>
      </c>
      <c r="E10" s="24" t="n">
        <v>6</v>
      </c>
      <c r="F10" s="24" t="n">
        <v>2.7</v>
      </c>
      <c r="G10" s="24" t="n">
        <f aca="false">GALLEY!F35</f>
        <v>300.528088</v>
      </c>
      <c r="H10" s="24" t="n">
        <f aca="false">GALLEY!F37</f>
        <v>2662.15834503158</v>
      </c>
    </row>
    <row r="11" customFormat="false" ht="15" hidden="false" customHeight="false" outlineLevel="0" collapsed="false">
      <c r="B11" s="22" t="n">
        <v>6</v>
      </c>
      <c r="C11" s="27" t="s">
        <v>36</v>
      </c>
      <c r="D11" s="24" t="n">
        <v>5.3</v>
      </c>
      <c r="E11" s="24" t="n">
        <v>2.8</v>
      </c>
      <c r="F11" s="24" t="n">
        <v>2.7</v>
      </c>
      <c r="G11" s="24" t="n">
        <f aca="false">D11*E11</f>
        <v>14.84</v>
      </c>
      <c r="H11" s="24" t="n">
        <f aca="false">D11*E11*F11</f>
        <v>40.068</v>
      </c>
    </row>
    <row r="12" customFormat="false" ht="15" hidden="false" customHeight="false" outlineLevel="0" collapsed="false">
      <c r="B12" s="22" t="n">
        <v>7</v>
      </c>
      <c r="C12" s="27" t="s">
        <v>37</v>
      </c>
      <c r="D12" s="24" t="n">
        <v>7.6</v>
      </c>
      <c r="E12" s="24" t="n">
        <v>6</v>
      </c>
      <c r="F12" s="24" t="n">
        <v>2.7</v>
      </c>
      <c r="G12" s="24" t="n">
        <f aca="false">'CREW MESS'!F35</f>
        <v>404.292084</v>
      </c>
      <c r="H12" s="24" t="n">
        <f aca="false">'CREW MESS'!F37</f>
        <v>3581.32763035051</v>
      </c>
    </row>
    <row r="13" customFormat="false" ht="15" hidden="false" customHeight="false" outlineLevel="0" collapsed="false">
      <c r="B13" s="22" t="n">
        <v>8</v>
      </c>
      <c r="C13" s="27" t="s">
        <v>38</v>
      </c>
      <c r="D13" s="24" t="n">
        <v>5.5</v>
      </c>
      <c r="E13" s="24" t="n">
        <v>6.2</v>
      </c>
      <c r="F13" s="24" t="n">
        <v>2.7</v>
      </c>
      <c r="G13" s="24" t="n">
        <f aca="false">'OFFICE MESS'!F35</f>
        <v>392.451794</v>
      </c>
      <c r="H13" s="24" t="n">
        <f aca="false">'OFFICE MESS'!F37</f>
        <v>3476.44316833279</v>
      </c>
    </row>
    <row r="14" customFormat="false" ht="15" hidden="false" customHeight="false" outlineLevel="0" collapsed="false">
      <c r="B14" s="22"/>
      <c r="D14" s="26"/>
      <c r="E14" s="26"/>
      <c r="F14" s="26"/>
      <c r="G14" s="22"/>
      <c r="H14" s="22"/>
    </row>
    <row r="15" customFormat="false" ht="15" hidden="false" customHeight="false" outlineLevel="0" collapsed="false">
      <c r="B15" s="22"/>
      <c r="C15" s="27"/>
      <c r="D15" s="26"/>
      <c r="E15" s="26"/>
      <c r="F15" s="26"/>
      <c r="G15" s="22"/>
      <c r="H15" s="22"/>
    </row>
    <row r="16" customFormat="false" ht="15" hidden="false" customHeight="false" outlineLevel="0" collapsed="false">
      <c r="B16" s="22"/>
      <c r="C16" s="27"/>
      <c r="D16" s="26"/>
      <c r="E16" s="26"/>
      <c r="F16" s="26"/>
      <c r="G16" s="22"/>
      <c r="H16" s="22"/>
    </row>
    <row r="17" customFormat="false" ht="15" hidden="false" customHeight="false" outlineLevel="0" collapsed="false">
      <c r="B17" s="22"/>
      <c r="C17" s="27"/>
      <c r="D17" s="26"/>
      <c r="E17" s="26"/>
      <c r="F17" s="26"/>
      <c r="G17" s="22"/>
      <c r="H17" s="22"/>
    </row>
    <row r="18" customFormat="false" ht="15" hidden="false" customHeight="false" outlineLevel="0" collapsed="false">
      <c r="B18" s="22"/>
      <c r="C18" s="27"/>
      <c r="D18" s="26"/>
      <c r="E18" s="26"/>
      <c r="F18" s="26"/>
      <c r="G18" s="22"/>
      <c r="H18" s="22"/>
    </row>
    <row r="19" customFormat="false" ht="15" hidden="false" customHeight="false" outlineLevel="0" collapsed="false">
      <c r="B19" s="22"/>
      <c r="C19" s="27"/>
      <c r="D19" s="26"/>
      <c r="E19" s="26"/>
      <c r="F19" s="26"/>
      <c r="G19" s="22"/>
      <c r="H19" s="22"/>
    </row>
    <row r="20" customFormat="false" ht="15" hidden="false" customHeight="false" outlineLevel="0" collapsed="false">
      <c r="B20" s="22"/>
      <c r="C20" s="27"/>
      <c r="D20" s="26"/>
      <c r="E20" s="26"/>
      <c r="F20" s="26"/>
      <c r="G20" s="22"/>
      <c r="H20" s="22"/>
    </row>
    <row r="21" customFormat="false" ht="15" hidden="false" customHeight="false" outlineLevel="0" collapsed="false">
      <c r="B21" s="22"/>
      <c r="C21" s="27"/>
      <c r="D21" s="26"/>
      <c r="E21" s="26"/>
      <c r="F21" s="26"/>
      <c r="G21" s="22"/>
      <c r="H21" s="22"/>
    </row>
    <row r="22" customFormat="false" ht="15" hidden="false" customHeight="false" outlineLevel="0" collapsed="false">
      <c r="B22" s="22"/>
      <c r="C22" s="27"/>
      <c r="D22" s="26"/>
      <c r="E22" s="26"/>
      <c r="F22" s="26"/>
      <c r="G22" s="22"/>
      <c r="H22" s="22"/>
    </row>
    <row r="24" customFormat="false" ht="15" hidden="false" customHeight="false" outlineLevel="0" collapsed="false">
      <c r="B24" s="16" t="n">
        <f aca="false">COUNTA(C6:C22)</f>
        <v>8</v>
      </c>
      <c r="C24" s="17" t="s">
        <v>30</v>
      </c>
    </row>
  </sheetData>
  <mergeCells count="6">
    <mergeCell ref="B4:B5"/>
    <mergeCell ref="C4:C5"/>
    <mergeCell ref="D4:F4"/>
    <mergeCell ref="G4:G5"/>
    <mergeCell ref="H4:H5"/>
    <mergeCell ref="I4:I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3" activeCellId="0" sqref="C13"/>
    </sheetView>
  </sheetViews>
  <sheetFormatPr defaultColWidth="8.88671875" defaultRowHeight="15" customHeight="false" zeroHeight="false" outlineLevelRow="0" outlineLevelCol="0"/>
  <cols>
    <col collapsed="false" customWidth="false" hidden="false" outlineLevel="0" max="1" min="1" style="15" width="8.88"/>
    <col collapsed="false" customWidth="false" hidden="false" outlineLevel="0" max="2" min="2" style="16" width="8.88"/>
    <col collapsed="false" customWidth="true" hidden="false" outlineLevel="0" max="3" min="3" style="15" width="22"/>
    <col collapsed="false" customWidth="true" hidden="false" outlineLevel="0" max="4" min="4" style="15" width="7.33"/>
    <col collapsed="false" customWidth="true" hidden="false" outlineLevel="0" max="5" min="5" style="15" width="6.77"/>
    <col collapsed="false" customWidth="true" hidden="false" outlineLevel="0" max="6" min="6" style="15" width="7.67"/>
    <col collapsed="false" customWidth="true" hidden="false" outlineLevel="0" max="7" min="7" style="15" width="11.33"/>
    <col collapsed="false" customWidth="true" hidden="false" outlineLevel="0" max="8" min="8" style="15" width="8.67"/>
    <col collapsed="false" customWidth="true" hidden="false" outlineLevel="0" max="9" min="9" style="15" width="16.56"/>
    <col collapsed="false" customWidth="false" hidden="false" outlineLevel="0" max="16384" min="10" style="15" width="8.88"/>
  </cols>
  <sheetData>
    <row r="2" customFormat="false" ht="15" hidden="false" customHeight="false" outlineLevel="0" collapsed="false">
      <c r="B2" s="17" t="s">
        <v>18</v>
      </c>
      <c r="C2" s="17"/>
      <c r="D2" s="17"/>
      <c r="E2" s="17"/>
      <c r="F2" s="17"/>
    </row>
    <row r="4" customFormat="false" ht="15" hidden="false" customHeight="true" outlineLevel="0" collapsed="false">
      <c r="B4" s="18" t="s">
        <v>9</v>
      </c>
      <c r="C4" s="18" t="s">
        <v>10</v>
      </c>
      <c r="D4" s="18" t="s">
        <v>19</v>
      </c>
      <c r="E4" s="18"/>
      <c r="F4" s="18"/>
      <c r="G4" s="19" t="s">
        <v>20</v>
      </c>
      <c r="H4" s="20" t="s">
        <v>21</v>
      </c>
      <c r="I4" s="21" t="s">
        <v>39</v>
      </c>
    </row>
    <row r="5" customFormat="false" ht="15" hidden="false" customHeight="false" outlineLevel="0" collapsed="false">
      <c r="B5" s="18"/>
      <c r="C5" s="18"/>
      <c r="D5" s="18" t="s">
        <v>23</v>
      </c>
      <c r="E5" s="18" t="s">
        <v>24</v>
      </c>
      <c r="F5" s="18" t="s">
        <v>25</v>
      </c>
      <c r="G5" s="19"/>
      <c r="H5" s="20"/>
      <c r="I5" s="21"/>
    </row>
    <row r="6" customFormat="false" ht="15" hidden="false" customHeight="false" outlineLevel="0" collapsed="false">
      <c r="B6" s="22" t="n">
        <v>1</v>
      </c>
      <c r="C6" s="27" t="s">
        <v>40</v>
      </c>
      <c r="D6" s="24" t="n">
        <v>4.45</v>
      </c>
      <c r="E6" s="24" t="n">
        <v>3</v>
      </c>
      <c r="F6" s="24" t="n">
        <v>2.7</v>
      </c>
      <c r="G6" s="24" t="n">
        <f aca="false">'MOTORMAN 2 CABIN'!F35</f>
        <v>139.500144</v>
      </c>
      <c r="H6" s="24" t="n">
        <f aca="false">'MOTORMAN 2 CABIN'!F37</f>
        <v>1235.72966159059</v>
      </c>
    </row>
    <row r="7" customFormat="false" ht="15" hidden="false" customHeight="false" outlineLevel="0" collapsed="false">
      <c r="B7" s="22" t="n">
        <v>2</v>
      </c>
      <c r="C7" s="27" t="s">
        <v>41</v>
      </c>
      <c r="D7" s="24" t="n">
        <v>4.45</v>
      </c>
      <c r="E7" s="24" t="n">
        <v>3</v>
      </c>
      <c r="F7" s="24" t="n">
        <v>2.7</v>
      </c>
      <c r="G7" s="24" t="n">
        <f aca="false">'MOTORMAN 1 CABIN'!$F$35</f>
        <v>134.225833</v>
      </c>
      <c r="H7" s="24" t="n">
        <f aca="false">'MOTORMAN 1 CABIN'!$F$37</f>
        <v>1189.00840123724</v>
      </c>
    </row>
    <row r="8" customFormat="false" ht="15" hidden="false" customHeight="false" outlineLevel="0" collapsed="false">
      <c r="B8" s="22" t="n">
        <v>3</v>
      </c>
      <c r="C8" s="27" t="s">
        <v>42</v>
      </c>
      <c r="D8" s="24" t="n">
        <v>4.9</v>
      </c>
      <c r="E8" s="24" t="n">
        <v>3.3</v>
      </c>
      <c r="F8" s="24" t="n">
        <v>2.7</v>
      </c>
      <c r="G8" s="24" t="n">
        <f aca="false">'AB 2 CABIN'!$F$35</f>
        <v>156.399467</v>
      </c>
      <c r="H8" s="24" t="n">
        <f aca="false">'AB 2 CABIN'!$F$37</f>
        <v>1385.42839374316</v>
      </c>
    </row>
    <row r="9" customFormat="false" ht="15" hidden="false" customHeight="false" outlineLevel="0" collapsed="false">
      <c r="B9" s="22" t="n">
        <v>4</v>
      </c>
      <c r="C9" s="27" t="s">
        <v>43</v>
      </c>
      <c r="D9" s="24" t="n">
        <v>3.4</v>
      </c>
      <c r="E9" s="24" t="n">
        <v>4.8</v>
      </c>
      <c r="F9" s="24" t="n">
        <v>2.7</v>
      </c>
      <c r="G9" s="24" t="n">
        <f aca="false">'AB 1 CABIN'!$F$35</f>
        <v>154.461965</v>
      </c>
      <c r="H9" s="24" t="n">
        <f aca="false">'AB 1 CABIN'!$F$37</f>
        <v>1368.26548177662</v>
      </c>
    </row>
    <row r="10" customFormat="false" ht="15" hidden="false" customHeight="false" outlineLevel="0" collapsed="false">
      <c r="B10" s="22" t="n">
        <v>5</v>
      </c>
      <c r="C10" s="27" t="s">
        <v>44</v>
      </c>
      <c r="D10" s="24" t="n">
        <v>3.2</v>
      </c>
      <c r="E10" s="24" t="n">
        <v>6</v>
      </c>
      <c r="F10" s="24" t="n">
        <v>2.7</v>
      </c>
      <c r="G10" s="24" t="n">
        <f aca="false">HOSPITAL!$F$35</f>
        <v>185.031441</v>
      </c>
      <c r="H10" s="24" t="n">
        <f aca="false">HOSPITAL!$F$37</f>
        <v>1639.05809280419</v>
      </c>
    </row>
    <row r="11" customFormat="false" ht="15" hidden="false" customHeight="false" outlineLevel="0" collapsed="false">
      <c r="B11" s="22" t="n">
        <v>6</v>
      </c>
      <c r="C11" s="27" t="s">
        <v>45</v>
      </c>
      <c r="D11" s="24" t="n">
        <v>4.45</v>
      </c>
      <c r="E11" s="24" t="n">
        <v>3</v>
      </c>
      <c r="F11" s="24" t="n">
        <v>2.7</v>
      </c>
      <c r="G11" s="24" t="n">
        <f aca="false">'OS CABIN'!$F$35</f>
        <v>134.225833</v>
      </c>
      <c r="H11" s="24" t="n">
        <f aca="false">'OS CABIN'!$F$37</f>
        <v>1189.00840123724</v>
      </c>
    </row>
    <row r="12" customFormat="false" ht="15" hidden="false" customHeight="false" outlineLevel="0" collapsed="false">
      <c r="B12" s="22" t="n">
        <v>7</v>
      </c>
      <c r="C12" s="27" t="s">
        <v>46</v>
      </c>
      <c r="D12" s="24" t="n">
        <v>4.45</v>
      </c>
      <c r="E12" s="24" t="n">
        <v>3</v>
      </c>
      <c r="F12" s="24" t="n">
        <v>2.7</v>
      </c>
      <c r="G12" s="24" t="n">
        <f aca="false">'MESSMAN CABIN'!$F$35</f>
        <v>134.225833</v>
      </c>
      <c r="H12" s="24" t="n">
        <f aca="false">'MESSMAN CABIN'!$F$37</f>
        <v>1189.00840123724</v>
      </c>
    </row>
    <row r="13" customFormat="false" ht="15" hidden="false" customHeight="false" outlineLevel="0" collapsed="false">
      <c r="B13" s="22" t="n">
        <v>8</v>
      </c>
      <c r="C13" s="27" t="s">
        <v>47</v>
      </c>
      <c r="D13" s="24" t="n">
        <v>4.45</v>
      </c>
      <c r="E13" s="24" t="n">
        <v>3</v>
      </c>
      <c r="F13" s="24" t="n">
        <v>2.7</v>
      </c>
      <c r="G13" s="24" t="n">
        <f aca="false">'FITTER CABIN'!$F$35</f>
        <v>144.774455</v>
      </c>
      <c r="H13" s="24" t="n">
        <f aca="false">'FITTER CABIN'!$F$37</f>
        <v>1282.45092194394</v>
      </c>
    </row>
    <row r="14" customFormat="false" ht="15" hidden="false" customHeight="false" outlineLevel="0" collapsed="false">
      <c r="B14" s="22" t="n">
        <v>9</v>
      </c>
      <c r="C14" s="27" t="s">
        <v>48</v>
      </c>
      <c r="D14" s="24" t="n">
        <v>5.3</v>
      </c>
      <c r="E14" s="24" t="n">
        <v>2.9</v>
      </c>
      <c r="F14" s="24" t="n">
        <v>2.7</v>
      </c>
      <c r="G14" s="24" t="n">
        <f aca="false">'SUEZ CREW'!$F$35</f>
        <v>145.527928</v>
      </c>
      <c r="H14" s="24" t="n">
        <f aca="false">'SUEZ CREW'!$F$37</f>
        <v>1289.1253877087</v>
      </c>
    </row>
    <row r="15" customFormat="false" ht="15" hidden="false" customHeight="false" outlineLevel="0" collapsed="false">
      <c r="B15" s="22" t="n">
        <v>10</v>
      </c>
      <c r="C15" s="27" t="s">
        <v>49</v>
      </c>
      <c r="D15" s="24" t="n">
        <v>1.3</v>
      </c>
      <c r="E15" s="24" t="n">
        <v>2.2</v>
      </c>
      <c r="F15" s="24" t="n">
        <v>2.7</v>
      </c>
      <c r="G15" s="24" t="n">
        <f aca="false">'HOSPITAL TOILET'!$F$35</f>
        <v>38.75004</v>
      </c>
      <c r="H15" s="24" t="n">
        <f aca="false">'HOSPITAL TOILET'!$F$37</f>
        <v>343.25823933072</v>
      </c>
    </row>
    <row r="16" customFormat="false" ht="15" hidden="false" customHeight="false" outlineLevel="0" collapsed="false">
      <c r="B16" s="22"/>
      <c r="C16" s="27"/>
      <c r="D16" s="26"/>
      <c r="E16" s="26"/>
      <c r="F16" s="26"/>
      <c r="G16" s="22"/>
      <c r="H16" s="22"/>
    </row>
    <row r="17" customFormat="false" ht="15" hidden="false" customHeight="false" outlineLevel="0" collapsed="false">
      <c r="B17" s="22"/>
      <c r="C17" s="27"/>
      <c r="D17" s="26"/>
      <c r="E17" s="26"/>
      <c r="F17" s="26"/>
      <c r="G17" s="22"/>
      <c r="H17" s="22"/>
    </row>
    <row r="18" customFormat="false" ht="15" hidden="false" customHeight="false" outlineLevel="0" collapsed="false">
      <c r="B18" s="22"/>
      <c r="C18" s="27"/>
      <c r="D18" s="26"/>
      <c r="E18" s="26"/>
      <c r="F18" s="26"/>
      <c r="G18" s="22"/>
      <c r="H18" s="22"/>
    </row>
    <row r="19" customFormat="false" ht="15" hidden="false" customHeight="false" outlineLevel="0" collapsed="false">
      <c r="B19" s="22"/>
      <c r="C19" s="27"/>
      <c r="D19" s="26"/>
      <c r="E19" s="26"/>
      <c r="F19" s="26"/>
      <c r="G19" s="22"/>
      <c r="H19" s="22"/>
    </row>
    <row r="20" customFormat="false" ht="15" hidden="false" customHeight="false" outlineLevel="0" collapsed="false">
      <c r="B20" s="22"/>
      <c r="C20" s="27"/>
      <c r="D20" s="26"/>
      <c r="E20" s="26"/>
      <c r="F20" s="26"/>
      <c r="G20" s="22"/>
      <c r="H20" s="22"/>
    </row>
    <row r="21" customFormat="false" ht="15" hidden="false" customHeight="false" outlineLevel="0" collapsed="false">
      <c r="B21" s="22"/>
      <c r="C21" s="27"/>
      <c r="D21" s="26"/>
      <c r="E21" s="26"/>
      <c r="F21" s="26"/>
      <c r="G21" s="22"/>
      <c r="H21" s="22"/>
    </row>
    <row r="22" customFormat="false" ht="15" hidden="false" customHeight="false" outlineLevel="0" collapsed="false">
      <c r="B22" s="22"/>
      <c r="C22" s="27"/>
      <c r="D22" s="26"/>
      <c r="E22" s="26"/>
      <c r="F22" s="26"/>
      <c r="G22" s="22"/>
      <c r="H22" s="22"/>
    </row>
    <row r="24" customFormat="false" ht="15" hidden="false" customHeight="false" outlineLevel="0" collapsed="false">
      <c r="B24" s="16" t="n">
        <f aca="false">COUNTA(C6:C22)</f>
        <v>10</v>
      </c>
      <c r="C24" s="17" t="s">
        <v>30</v>
      </c>
    </row>
  </sheetData>
  <mergeCells count="6">
    <mergeCell ref="B4:B5"/>
    <mergeCell ref="C4:C5"/>
    <mergeCell ref="D4:F4"/>
    <mergeCell ref="G4:G5"/>
    <mergeCell ref="H4:H5"/>
    <mergeCell ref="I4:I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4"/>
  <sheetViews>
    <sheetView showFormulas="false" showGridLines="true" showRowColHeaders="true" showZeros="true" rightToLeft="false" tabSelected="false" showOutlineSymbols="true" defaultGridColor="true" view="normal" topLeftCell="A2" colorId="64" zoomScale="95" zoomScaleNormal="95" zoomScalePageLayoutView="100" workbookViewId="0">
      <selection pane="topLeft" activeCell="C15" activeCellId="0" sqref="C15"/>
    </sheetView>
  </sheetViews>
  <sheetFormatPr defaultColWidth="8.88671875" defaultRowHeight="15" customHeight="false" zeroHeight="false" outlineLevelRow="0" outlineLevelCol="0"/>
  <cols>
    <col collapsed="false" customWidth="false" hidden="false" outlineLevel="0" max="1" min="1" style="15" width="8.88"/>
    <col collapsed="false" customWidth="false" hidden="false" outlineLevel="0" max="2" min="2" style="16" width="8.88"/>
    <col collapsed="false" customWidth="true" hidden="false" outlineLevel="0" max="3" min="3" style="15" width="22.11"/>
    <col collapsed="false" customWidth="true" hidden="false" outlineLevel="0" max="4" min="4" style="15" width="7.33"/>
    <col collapsed="false" customWidth="true" hidden="false" outlineLevel="0" max="5" min="5" style="15" width="6.77"/>
    <col collapsed="false" customWidth="true" hidden="false" outlineLevel="0" max="6" min="6" style="15" width="7.67"/>
    <col collapsed="false" customWidth="true" hidden="false" outlineLevel="0" max="7" min="7" style="15" width="11.33"/>
    <col collapsed="false" customWidth="true" hidden="false" outlineLevel="0" max="8" min="8" style="15" width="12.56"/>
    <col collapsed="false" customWidth="true" hidden="false" outlineLevel="0" max="9" min="9" style="15" width="16.56"/>
    <col collapsed="false" customWidth="false" hidden="false" outlineLevel="0" max="16384" min="10" style="15" width="8.88"/>
  </cols>
  <sheetData>
    <row r="2" customFormat="false" ht="15" hidden="false" customHeight="false" outlineLevel="0" collapsed="false">
      <c r="B2" s="17" t="s">
        <v>18</v>
      </c>
      <c r="C2" s="17"/>
      <c r="D2" s="17"/>
      <c r="E2" s="17"/>
      <c r="F2" s="17"/>
    </row>
    <row r="4" customFormat="false" ht="15" hidden="false" customHeight="true" outlineLevel="0" collapsed="false">
      <c r="B4" s="18" t="s">
        <v>9</v>
      </c>
      <c r="C4" s="18" t="s">
        <v>10</v>
      </c>
      <c r="D4" s="18" t="s">
        <v>19</v>
      </c>
      <c r="E4" s="18"/>
      <c r="F4" s="18"/>
      <c r="G4" s="19" t="s">
        <v>20</v>
      </c>
      <c r="H4" s="20" t="s">
        <v>21</v>
      </c>
      <c r="I4" s="21" t="s">
        <v>39</v>
      </c>
    </row>
    <row r="5" customFormat="false" ht="15" hidden="false" customHeight="false" outlineLevel="0" collapsed="false">
      <c r="B5" s="18"/>
      <c r="C5" s="18"/>
      <c r="D5" s="18" t="s">
        <v>23</v>
      </c>
      <c r="E5" s="18" t="s">
        <v>24</v>
      </c>
      <c r="F5" s="18" t="s">
        <v>25</v>
      </c>
      <c r="G5" s="19"/>
      <c r="H5" s="20"/>
      <c r="I5" s="21"/>
    </row>
    <row r="6" customFormat="false" ht="15" hidden="false" customHeight="false" outlineLevel="0" collapsed="false">
      <c r="B6" s="22" t="n">
        <v>1</v>
      </c>
      <c r="C6" s="27" t="s">
        <v>50</v>
      </c>
      <c r="D6" s="24" t="n">
        <f aca="false">0.9+1.3+2</f>
        <v>4.2</v>
      </c>
      <c r="E6" s="24" t="n">
        <f aca="false">1.15+1.4+3.6</f>
        <v>6.15</v>
      </c>
      <c r="F6" s="24" t="n">
        <v>2.7</v>
      </c>
      <c r="G6" s="24" t="n">
        <f aca="false">'2ND ENGINEER CABIN'!$F$35</f>
        <v>242.725945</v>
      </c>
      <c r="H6" s="24" t="n">
        <f aca="false">'2ND ENGINEER CABIN'!$F$37</f>
        <v>2150.13147136326</v>
      </c>
    </row>
    <row r="7" customFormat="false" ht="15" hidden="false" customHeight="false" outlineLevel="0" collapsed="false">
      <c r="B7" s="22" t="n">
        <v>2</v>
      </c>
      <c r="C7" s="27" t="s">
        <v>51</v>
      </c>
      <c r="D7" s="24" t="n">
        <f aca="false">2+1.35</f>
        <v>3.35</v>
      </c>
      <c r="E7" s="24" t="n">
        <f aca="false">3.6+1.4</f>
        <v>5</v>
      </c>
      <c r="F7" s="24" t="n">
        <v>2.7</v>
      </c>
      <c r="G7" s="24" t="n">
        <f aca="false">'3RD ENGINEER CABIN'!$F$35</f>
        <v>162.857807</v>
      </c>
      <c r="H7" s="24" t="n">
        <f aca="false">'3RD ENGINEER CABIN'!$F$37</f>
        <v>1442.63810029828</v>
      </c>
    </row>
    <row r="8" customFormat="false" ht="15" hidden="false" customHeight="false" outlineLevel="0" collapsed="false">
      <c r="B8" s="22" t="n">
        <v>3</v>
      </c>
      <c r="C8" s="27" t="s">
        <v>52</v>
      </c>
      <c r="D8" s="24" t="n">
        <v>3.35</v>
      </c>
      <c r="E8" s="24" t="n">
        <v>5</v>
      </c>
      <c r="F8" s="24" t="n">
        <v>2.7</v>
      </c>
      <c r="G8" s="24" t="n">
        <f aca="false">'ELECTRICIANMAN CABIN'!$F$35</f>
        <v>38.75004</v>
      </c>
      <c r="H8" s="24" t="n">
        <f aca="false">'ELECTRICIANMAN CABIN'!$F$37</f>
        <v>343.25823933072</v>
      </c>
    </row>
    <row r="9" customFormat="false" ht="15" hidden="false" customHeight="false" outlineLevel="0" collapsed="false">
      <c r="B9" s="22" t="n">
        <v>4</v>
      </c>
      <c r="C9" s="27" t="s">
        <v>53</v>
      </c>
      <c r="D9" s="24" t="n">
        <v>3.35</v>
      </c>
      <c r="E9" s="24" t="n">
        <v>5</v>
      </c>
      <c r="F9" s="24" t="n">
        <v>2.7</v>
      </c>
      <c r="G9" s="24" t="n">
        <f aca="false">'BOSUN CABIN'!F35</f>
        <v>168.347396</v>
      </c>
      <c r="H9" s="24" t="n">
        <f aca="false">'BOSUN CABIN'!$F$37</f>
        <v>1491.26635087013</v>
      </c>
    </row>
    <row r="10" customFormat="false" ht="15" hidden="false" customHeight="false" outlineLevel="0" collapsed="false">
      <c r="B10" s="22" t="n">
        <v>5</v>
      </c>
      <c r="C10" s="27" t="s">
        <v>54</v>
      </c>
      <c r="D10" s="24" t="n">
        <f aca="false">0.9+1.4+1.9</f>
        <v>4.2</v>
      </c>
      <c r="E10" s="24" t="n">
        <v>5.25</v>
      </c>
      <c r="F10" s="24" t="n">
        <v>2.7</v>
      </c>
      <c r="G10" s="24" t="n">
        <f aca="false">'2ND ENGINEER CABIN'!$F$35</f>
        <v>242.725945</v>
      </c>
      <c r="H10" s="24" t="n">
        <f aca="false">'2ND ENGINEER CABIN'!$F$37</f>
        <v>2150.13147136326</v>
      </c>
    </row>
    <row r="11" customFormat="false" ht="15" hidden="false" customHeight="false" outlineLevel="0" collapsed="false">
      <c r="B11" s="22" t="n">
        <v>6</v>
      </c>
      <c r="C11" s="27" t="s">
        <v>55</v>
      </c>
      <c r="D11" s="24" t="n">
        <v>2.15</v>
      </c>
      <c r="E11" s="24" t="n">
        <v>2.65</v>
      </c>
      <c r="F11" s="24" t="n">
        <v>2.7</v>
      </c>
      <c r="G11" s="24" t="n">
        <f aca="false">'GYM ROOM'!$F$35</f>
        <v>889.8166518528</v>
      </c>
      <c r="H11" s="24" t="n">
        <f aca="false">'GYM ROOM'!$F$37</f>
        <v>7882.2343729748</v>
      </c>
    </row>
    <row r="12" customFormat="false" ht="15" hidden="false" customHeight="false" outlineLevel="0" collapsed="false">
      <c r="B12" s="22" t="n">
        <v>7</v>
      </c>
      <c r="C12" s="27" t="s">
        <v>56</v>
      </c>
      <c r="D12" s="24" t="n">
        <v>4.2</v>
      </c>
      <c r="E12" s="24" t="n">
        <v>6.15</v>
      </c>
      <c r="F12" s="24" t="n">
        <v>2.7</v>
      </c>
      <c r="G12" s="24" t="n">
        <f aca="false">'2ND OFFICER CABIN'!$F$35</f>
        <v>234.114825</v>
      </c>
      <c r="H12" s="24" t="n">
        <f aca="false">'2ND OFFICER CABIN'!$F$37</f>
        <v>2073.8518626231</v>
      </c>
    </row>
    <row r="13" customFormat="false" ht="15" hidden="false" customHeight="false" outlineLevel="0" collapsed="false">
      <c r="B13" s="22" t="n">
        <v>8</v>
      </c>
      <c r="C13" s="27" t="s">
        <v>57</v>
      </c>
      <c r="D13" s="24" t="n">
        <v>3.35</v>
      </c>
      <c r="E13" s="24" t="n">
        <v>5</v>
      </c>
      <c r="F13" s="24" t="n">
        <v>2.7</v>
      </c>
      <c r="G13" s="24" t="n">
        <f aca="false">'3RD OFFICER CABIN'!$F$35</f>
        <v>162.857807</v>
      </c>
      <c r="H13" s="24" t="n">
        <f aca="false">'3RD OFFICER CABIN'!$F$37</f>
        <v>1442.63810029828</v>
      </c>
    </row>
    <row r="14" customFormat="false" ht="15" hidden="false" customHeight="false" outlineLevel="0" collapsed="false">
      <c r="B14" s="22" t="n">
        <v>9</v>
      </c>
      <c r="C14" s="27" t="s">
        <v>58</v>
      </c>
      <c r="D14" s="24" t="n">
        <v>3.35</v>
      </c>
      <c r="E14" s="24" t="n">
        <v>5</v>
      </c>
      <c r="F14" s="24" t="n">
        <v>2.7</v>
      </c>
      <c r="G14" s="24" t="n">
        <f aca="false">'PUMPMAN CABIN'!$F$35</f>
        <v>162.857807</v>
      </c>
      <c r="H14" s="24" t="n">
        <f aca="false">'PUMPMAN CABIN'!$F$37</f>
        <v>1442.63810029828</v>
      </c>
    </row>
    <row r="15" customFormat="false" ht="15" hidden="false" customHeight="false" outlineLevel="0" collapsed="false">
      <c r="B15" s="22" t="n">
        <v>10</v>
      </c>
      <c r="C15" s="27" t="s">
        <v>59</v>
      </c>
      <c r="D15" s="24" t="n">
        <v>3.35</v>
      </c>
      <c r="E15" s="24" t="n">
        <v>5</v>
      </c>
      <c r="F15" s="24" t="n">
        <v>2.7</v>
      </c>
      <c r="G15" s="24" t="n">
        <f aca="false">'COOKMAN CABIN'!$F$35</f>
        <v>168.347396</v>
      </c>
      <c r="H15" s="24" t="n">
        <f aca="false">'COOKMAN CABIN'!$F$37</f>
        <v>1491.26635087013</v>
      </c>
    </row>
    <row r="16" customFormat="false" ht="15" hidden="false" customHeight="false" outlineLevel="0" collapsed="false">
      <c r="B16" s="22"/>
      <c r="C16" s="27"/>
      <c r="D16" s="26"/>
      <c r="E16" s="26"/>
      <c r="F16" s="26"/>
      <c r="G16" s="22"/>
      <c r="H16" s="22"/>
    </row>
    <row r="17" customFormat="false" ht="15" hidden="false" customHeight="false" outlineLevel="0" collapsed="false">
      <c r="B17" s="22"/>
      <c r="C17" s="27"/>
      <c r="D17" s="26"/>
      <c r="E17" s="26"/>
      <c r="F17" s="26"/>
      <c r="G17" s="22"/>
      <c r="H17" s="22"/>
    </row>
    <row r="18" customFormat="false" ht="15" hidden="false" customHeight="false" outlineLevel="0" collapsed="false">
      <c r="B18" s="22"/>
      <c r="C18" s="27"/>
      <c r="D18" s="26"/>
      <c r="E18" s="26"/>
      <c r="F18" s="26"/>
      <c r="G18" s="22"/>
      <c r="H18" s="22"/>
    </row>
    <row r="19" customFormat="false" ht="15" hidden="false" customHeight="false" outlineLevel="0" collapsed="false">
      <c r="B19" s="22"/>
      <c r="C19" s="27"/>
      <c r="D19" s="26"/>
      <c r="E19" s="26"/>
      <c r="F19" s="26"/>
      <c r="G19" s="22"/>
      <c r="H19" s="22"/>
    </row>
    <row r="20" customFormat="false" ht="15" hidden="false" customHeight="false" outlineLevel="0" collapsed="false">
      <c r="B20" s="22"/>
      <c r="C20" s="27"/>
      <c r="D20" s="26"/>
      <c r="E20" s="26"/>
      <c r="F20" s="26"/>
      <c r="G20" s="22"/>
      <c r="H20" s="22"/>
    </row>
    <row r="21" customFormat="false" ht="15" hidden="false" customHeight="false" outlineLevel="0" collapsed="false">
      <c r="B21" s="22"/>
      <c r="C21" s="27"/>
      <c r="D21" s="26"/>
      <c r="E21" s="26"/>
      <c r="F21" s="26"/>
      <c r="G21" s="22"/>
      <c r="H21" s="22"/>
    </row>
    <row r="22" customFormat="false" ht="15" hidden="false" customHeight="false" outlineLevel="0" collapsed="false">
      <c r="B22" s="22"/>
      <c r="C22" s="27"/>
      <c r="D22" s="26"/>
      <c r="E22" s="26"/>
      <c r="F22" s="26"/>
      <c r="G22" s="22"/>
      <c r="H22" s="22"/>
    </row>
    <row r="24" customFormat="false" ht="15" hidden="false" customHeight="false" outlineLevel="0" collapsed="false">
      <c r="B24" s="16" t="n">
        <f aca="false">COUNTA(C6:C22)</f>
        <v>10</v>
      </c>
      <c r="C24" s="17" t="s">
        <v>30</v>
      </c>
    </row>
  </sheetData>
  <mergeCells count="6">
    <mergeCell ref="B4:B5"/>
    <mergeCell ref="C4:C5"/>
    <mergeCell ref="D4:F4"/>
    <mergeCell ref="G4:G5"/>
    <mergeCell ref="H4:H5"/>
    <mergeCell ref="I4:I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4"/>
  <sheetViews>
    <sheetView showFormulas="false" showGridLines="true" showRowColHeaders="true" showZeros="true" rightToLeft="false" tabSelected="false" showOutlineSymbols="true" defaultGridColor="true" view="normal" topLeftCell="A2" colorId="64" zoomScale="95" zoomScaleNormal="95" zoomScalePageLayoutView="100" workbookViewId="0">
      <selection pane="topLeft" activeCell="L9" activeCellId="0" sqref="L9"/>
    </sheetView>
  </sheetViews>
  <sheetFormatPr defaultColWidth="8.88671875" defaultRowHeight="15" customHeight="false" zeroHeight="false" outlineLevelRow="0" outlineLevelCol="0"/>
  <cols>
    <col collapsed="false" customWidth="false" hidden="false" outlineLevel="0" max="1" min="1" style="15" width="8.88"/>
    <col collapsed="false" customWidth="false" hidden="false" outlineLevel="0" max="2" min="2" style="16" width="8.88"/>
    <col collapsed="false" customWidth="true" hidden="false" outlineLevel="0" max="3" min="3" style="15" width="23.88"/>
    <col collapsed="false" customWidth="true" hidden="false" outlineLevel="0" max="4" min="4" style="15" width="7.33"/>
    <col collapsed="false" customWidth="true" hidden="false" outlineLevel="0" max="5" min="5" style="15" width="6.77"/>
    <col collapsed="false" customWidth="true" hidden="false" outlineLevel="0" max="6" min="6" style="15" width="7.67"/>
    <col collapsed="false" customWidth="true" hidden="false" outlineLevel="0" max="7" min="7" style="15" width="11.33"/>
    <col collapsed="false" customWidth="true" hidden="false" outlineLevel="0" max="8" min="8" style="15" width="12.56"/>
    <col collapsed="false" customWidth="true" hidden="false" outlineLevel="0" max="9" min="9" style="15" width="16.56"/>
    <col collapsed="false" customWidth="false" hidden="false" outlineLevel="0" max="16384" min="10" style="15" width="8.88"/>
  </cols>
  <sheetData>
    <row r="2" customFormat="false" ht="15" hidden="false" customHeight="false" outlineLevel="0" collapsed="false">
      <c r="B2" s="17" t="s">
        <v>18</v>
      </c>
      <c r="C2" s="17"/>
      <c r="D2" s="17"/>
      <c r="E2" s="17"/>
      <c r="F2" s="17"/>
    </row>
    <row r="4" customFormat="false" ht="15" hidden="false" customHeight="true" outlineLevel="0" collapsed="false">
      <c r="B4" s="18" t="s">
        <v>9</v>
      </c>
      <c r="C4" s="18" t="s">
        <v>10</v>
      </c>
      <c r="D4" s="18" t="s">
        <v>19</v>
      </c>
      <c r="E4" s="18"/>
      <c r="F4" s="18"/>
      <c r="G4" s="19" t="s">
        <v>20</v>
      </c>
      <c r="H4" s="20" t="s">
        <v>21</v>
      </c>
      <c r="I4" s="21" t="s">
        <v>39</v>
      </c>
    </row>
    <row r="5" customFormat="false" ht="15" hidden="false" customHeight="false" outlineLevel="0" collapsed="false">
      <c r="B5" s="18"/>
      <c r="C5" s="18"/>
      <c r="D5" s="18" t="s">
        <v>23</v>
      </c>
      <c r="E5" s="18" t="s">
        <v>24</v>
      </c>
      <c r="F5" s="18" t="s">
        <v>25</v>
      </c>
      <c r="G5" s="19"/>
      <c r="H5" s="20"/>
      <c r="I5" s="21"/>
    </row>
    <row r="6" customFormat="false" ht="15" hidden="false" customHeight="false" outlineLevel="0" collapsed="false">
      <c r="B6" s="22" t="n">
        <v>1</v>
      </c>
      <c r="C6" s="27" t="s">
        <v>60</v>
      </c>
      <c r="D6" s="24" t="n">
        <v>5.5</v>
      </c>
      <c r="E6" s="24" t="n">
        <v>3.2</v>
      </c>
      <c r="F6" s="24" t="n">
        <f aca="false">26.6-23.9</f>
        <v>2.7</v>
      </c>
      <c r="G6" s="24" t="n">
        <f aca="false">'MASTER CABIN'!$F$35</f>
        <v>206.882158</v>
      </c>
      <c r="H6" s="24" t="n">
        <f aca="false">'MASTER CABIN'!$F$37</f>
        <v>1832.61759998234</v>
      </c>
    </row>
    <row r="7" customFormat="false" ht="15" hidden="false" customHeight="false" outlineLevel="0" collapsed="false">
      <c r="B7" s="22" t="n">
        <v>2</v>
      </c>
      <c r="C7" s="27" t="s">
        <v>61</v>
      </c>
      <c r="D7" s="24" t="n">
        <v>2</v>
      </c>
      <c r="E7" s="24" t="n">
        <v>3.45</v>
      </c>
      <c r="F7" s="24" t="n">
        <f aca="false">26.6-23.9</f>
        <v>2.7</v>
      </c>
      <c r="G7" s="24" t="n">
        <f aca="false">'MASTER BEDROOM'!$F$35</f>
        <v>86.73012425</v>
      </c>
      <c r="H7" s="24" t="n">
        <f aca="false">'MASTER BEDROOM'!$F$37</f>
        <v>768.278684279799</v>
      </c>
    </row>
    <row r="8" customFormat="false" ht="15" hidden="false" customHeight="false" outlineLevel="0" collapsed="false">
      <c r="B8" s="22" t="n">
        <v>3</v>
      </c>
      <c r="C8" s="27" t="s">
        <v>62</v>
      </c>
      <c r="D8" s="24" t="n">
        <v>4.9651</v>
      </c>
      <c r="E8" s="24" t="n">
        <v>3.7016</v>
      </c>
      <c r="F8" s="24" t="n">
        <f aca="false">26.6-23.9</f>
        <v>2.7</v>
      </c>
      <c r="G8" s="24" t="n">
        <f aca="false">'CHIEF OFFICER CABIN'!$F$35</f>
        <v>196.118258</v>
      </c>
      <c r="H8" s="24" t="n">
        <f aca="false">'CHIEF OFFICER CABIN'!$F$37</f>
        <v>1737.26808905714</v>
      </c>
    </row>
    <row r="9" customFormat="false" ht="15" hidden="false" customHeight="false" outlineLevel="0" collapsed="false">
      <c r="B9" s="22" t="n">
        <v>4</v>
      </c>
      <c r="C9" s="27" t="s">
        <v>63</v>
      </c>
      <c r="D9" s="24" t="n">
        <v>2.0554</v>
      </c>
      <c r="E9" s="24" t="n">
        <v>3.5503</v>
      </c>
      <c r="F9" s="24" t="n">
        <f aca="false">26.6-23.9</f>
        <v>2.7</v>
      </c>
      <c r="G9" s="24" t="n">
        <f aca="false">'CHIEF OFFICER BEDROOM'!$F$35</f>
        <v>89.986204</v>
      </c>
      <c r="H9" s="24" t="n">
        <f aca="false">'CHIEF OFFICER BEDROOM'!$F$37</f>
        <v>797.121911334672</v>
      </c>
    </row>
    <row r="10" customFormat="false" ht="15" hidden="false" customHeight="false" outlineLevel="0" collapsed="false">
      <c r="B10" s="22" t="n">
        <v>5</v>
      </c>
      <c r="C10" s="27" t="s">
        <v>64</v>
      </c>
      <c r="D10" s="24" t="n">
        <v>3.1766</v>
      </c>
      <c r="E10" s="24" t="n">
        <v>4.9651</v>
      </c>
      <c r="F10" s="24" t="n">
        <f aca="false">26.6-23.9</f>
        <v>2.7</v>
      </c>
      <c r="G10" s="24" t="n">
        <f aca="false">'PILOT CABIN'!$F$35</f>
        <v>145.958484</v>
      </c>
      <c r="H10" s="24" t="n">
        <f aca="false">'PILOT CABIN'!$F$37</f>
        <v>1292.93936814571</v>
      </c>
    </row>
    <row r="11" customFormat="false" ht="15" hidden="false" customHeight="false" outlineLevel="0" collapsed="false">
      <c r="B11" s="22" t="n">
        <v>6</v>
      </c>
      <c r="C11" s="27" t="s">
        <v>65</v>
      </c>
      <c r="D11" s="24" t="n">
        <v>4.4223</v>
      </c>
      <c r="E11" s="24" t="n">
        <v>7.1006</v>
      </c>
      <c r="F11" s="24" t="n">
        <f aca="false">26.6-23.9</f>
        <v>2.7</v>
      </c>
      <c r="G11" s="24" t="n">
        <f aca="false">OFFICE!$F$35</f>
        <v>324.2624875</v>
      </c>
      <c r="H11" s="24" t="n">
        <f aca="false">OFFICE!$F$37</f>
        <v>2872.40401662165</v>
      </c>
    </row>
    <row r="12" customFormat="false" ht="15" hidden="false" customHeight="false" outlineLevel="0" collapsed="false">
      <c r="B12" s="22" t="n">
        <v>7</v>
      </c>
      <c r="C12" s="27" t="s">
        <v>66</v>
      </c>
      <c r="D12" s="24" t="n">
        <v>3.6571</v>
      </c>
      <c r="E12" s="24" t="n">
        <v>2.8563</v>
      </c>
      <c r="F12" s="24" t="n">
        <f aca="false">26.6-23.9</f>
        <v>2.7</v>
      </c>
      <c r="G12" s="24" t="n">
        <f aca="false">'INSTRUMENTATION ROOM'!$F$35</f>
        <v>107.639</v>
      </c>
      <c r="H12" s="24" t="n">
        <f aca="false">'INSTRUMENTATION ROOM'!$F$37</f>
        <v>953.495109252</v>
      </c>
    </row>
    <row r="13" customFormat="false" ht="15" hidden="false" customHeight="false" outlineLevel="0" collapsed="false">
      <c r="B13" s="22" t="n">
        <v>8</v>
      </c>
      <c r="C13" s="27" t="s">
        <v>67</v>
      </c>
      <c r="D13" s="24" t="n">
        <v>3.7016</v>
      </c>
      <c r="E13" s="24" t="n">
        <v>4.9651</v>
      </c>
      <c r="F13" s="24" t="n">
        <f aca="false">26.6-23.9</f>
        <v>2.7</v>
      </c>
      <c r="G13" s="24" t="n">
        <f aca="false">'1ST ENGINEER CABIN'!$F$35</f>
        <v>196.118258</v>
      </c>
      <c r="H13" s="24" t="n">
        <f aca="false">'1ST ENGINEER CABIN'!$F$37</f>
        <v>1737.26808905714</v>
      </c>
    </row>
    <row r="14" customFormat="false" ht="15" hidden="false" customHeight="false" outlineLevel="0" collapsed="false">
      <c r="B14" s="22" t="n">
        <v>9</v>
      </c>
      <c r="C14" s="27" t="s">
        <v>68</v>
      </c>
      <c r="D14" s="24" t="n">
        <v>2.0821</v>
      </c>
      <c r="E14" s="24" t="n">
        <v>3.5503</v>
      </c>
      <c r="F14" s="24" t="n">
        <f aca="false">26.6-23.9</f>
        <v>2.7</v>
      </c>
      <c r="G14" s="24" t="n">
        <f aca="false">'1ST ENGINEER BEDROOM'!$F$35</f>
        <v>89.986204</v>
      </c>
      <c r="H14" s="24" t="n">
        <f aca="false">'1ST ENGINEER BEDROOM'!$F$37</f>
        <v>797.121911334672</v>
      </c>
    </row>
    <row r="15" customFormat="false" ht="15" hidden="false" customHeight="false" outlineLevel="0" collapsed="false">
      <c r="B15" s="22" t="n">
        <v>10</v>
      </c>
      <c r="C15" s="27" t="s">
        <v>69</v>
      </c>
      <c r="D15" s="24" t="n">
        <v>4.5736</v>
      </c>
      <c r="E15" s="24" t="n">
        <v>6.1129</v>
      </c>
      <c r="F15" s="24" t="n">
        <f aca="false">26.6-23.9</f>
        <v>2.7</v>
      </c>
      <c r="G15" s="24" t="n">
        <f aca="false">'CHIEF ENGINEER CABIN'!$F$35</f>
        <v>206.882158</v>
      </c>
      <c r="H15" s="24" t="n">
        <f aca="false">'CHIEF ENGINEER CABIN'!$F$37</f>
        <v>1832.61759998234</v>
      </c>
    </row>
    <row r="16" customFormat="false" ht="15" hidden="false" customHeight="false" outlineLevel="0" collapsed="false">
      <c r="B16" s="22" t="n">
        <v>11</v>
      </c>
      <c r="C16" s="27" t="s">
        <v>70</v>
      </c>
      <c r="D16" s="24" t="n">
        <v>2.1088</v>
      </c>
      <c r="E16" s="24" t="n">
        <v>3.5236</v>
      </c>
      <c r="F16" s="24" t="n">
        <f aca="false">26.6-23.9</f>
        <v>2.7</v>
      </c>
      <c r="G16" s="24" t="n">
        <f aca="false">'CHIEF ENGINEER BEDROOM'!$F$35</f>
        <v>86.73012425</v>
      </c>
      <c r="H16" s="24" t="n">
        <f aca="false">'CHIEF ENGINEER BEDROOM'!$F$37</f>
        <v>768.278684279799</v>
      </c>
    </row>
    <row r="17" customFormat="false" ht="15" hidden="false" customHeight="false" outlineLevel="0" collapsed="false">
      <c r="B17" s="22"/>
      <c r="C17" s="27"/>
      <c r="D17" s="26"/>
      <c r="E17" s="26"/>
      <c r="F17" s="26"/>
      <c r="G17" s="22"/>
      <c r="H17" s="22"/>
    </row>
    <row r="18" customFormat="false" ht="15" hidden="false" customHeight="false" outlineLevel="0" collapsed="false">
      <c r="B18" s="22"/>
      <c r="C18" s="27"/>
      <c r="D18" s="26"/>
      <c r="E18" s="26"/>
      <c r="F18" s="26"/>
      <c r="G18" s="22"/>
      <c r="H18" s="22"/>
    </row>
    <row r="19" customFormat="false" ht="15" hidden="false" customHeight="false" outlineLevel="0" collapsed="false">
      <c r="B19" s="22"/>
      <c r="C19" s="27"/>
      <c r="D19" s="26"/>
      <c r="E19" s="26"/>
      <c r="F19" s="26"/>
      <c r="G19" s="22"/>
      <c r="H19" s="22"/>
    </row>
    <row r="20" customFormat="false" ht="15" hidden="false" customHeight="false" outlineLevel="0" collapsed="false">
      <c r="B20" s="22"/>
      <c r="C20" s="27"/>
      <c r="D20" s="26"/>
      <c r="E20" s="26"/>
      <c r="F20" s="26"/>
      <c r="G20" s="22"/>
      <c r="H20" s="22"/>
    </row>
    <row r="21" customFormat="false" ht="15" hidden="false" customHeight="false" outlineLevel="0" collapsed="false">
      <c r="B21" s="22"/>
      <c r="C21" s="27"/>
      <c r="D21" s="26"/>
      <c r="E21" s="26"/>
      <c r="F21" s="26"/>
      <c r="G21" s="22"/>
      <c r="H21" s="22"/>
    </row>
    <row r="22" customFormat="false" ht="15" hidden="false" customHeight="false" outlineLevel="0" collapsed="false">
      <c r="B22" s="22"/>
      <c r="C22" s="27"/>
      <c r="D22" s="26"/>
      <c r="E22" s="26"/>
      <c r="F22" s="26"/>
      <c r="G22" s="22"/>
      <c r="H22" s="22"/>
    </row>
    <row r="24" customFormat="false" ht="15" hidden="false" customHeight="false" outlineLevel="0" collapsed="false">
      <c r="B24" s="16" t="n">
        <f aca="false">COUNTA(C6:C22)</f>
        <v>11</v>
      </c>
      <c r="C24" s="17" t="s">
        <v>30</v>
      </c>
    </row>
  </sheetData>
  <mergeCells count="6">
    <mergeCell ref="B4:B5"/>
    <mergeCell ref="C4:C5"/>
    <mergeCell ref="D4:F4"/>
    <mergeCell ref="G4:G5"/>
    <mergeCell ref="H4:H5"/>
    <mergeCell ref="I4:I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2" activeCellId="0" sqref="I12"/>
    </sheetView>
  </sheetViews>
  <sheetFormatPr defaultColWidth="8.88671875" defaultRowHeight="15" customHeight="false" zeroHeight="false" outlineLevelRow="0" outlineLevelCol="0"/>
  <cols>
    <col collapsed="false" customWidth="false" hidden="false" outlineLevel="0" max="1" min="1" style="15" width="8.88"/>
    <col collapsed="false" customWidth="false" hidden="false" outlineLevel="0" max="2" min="2" style="16" width="8.88"/>
    <col collapsed="false" customWidth="true" hidden="false" outlineLevel="0" max="3" min="3" style="15" width="22"/>
    <col collapsed="false" customWidth="true" hidden="false" outlineLevel="0" max="4" min="4" style="15" width="7.33"/>
    <col collapsed="false" customWidth="true" hidden="false" outlineLevel="0" max="5" min="5" style="15" width="6.77"/>
    <col collapsed="false" customWidth="true" hidden="false" outlineLevel="0" max="6" min="6" style="15" width="7.67"/>
    <col collapsed="false" customWidth="true" hidden="false" outlineLevel="0" max="7" min="7" style="15" width="11.33"/>
    <col collapsed="false" customWidth="true" hidden="false" outlineLevel="0" max="8" min="8" style="15" width="12.56"/>
    <col collapsed="false" customWidth="true" hidden="false" outlineLevel="0" max="9" min="9" style="15" width="17.88"/>
    <col collapsed="false" customWidth="false" hidden="false" outlineLevel="0" max="16384" min="10" style="15" width="8.88"/>
  </cols>
  <sheetData>
    <row r="2" customFormat="false" ht="15" hidden="false" customHeight="false" outlineLevel="0" collapsed="false">
      <c r="B2" s="17" t="s">
        <v>18</v>
      </c>
      <c r="C2" s="17"/>
      <c r="D2" s="17"/>
      <c r="E2" s="17"/>
      <c r="F2" s="17"/>
    </row>
    <row r="4" customFormat="false" ht="15" hidden="false" customHeight="true" outlineLevel="0" collapsed="false">
      <c r="B4" s="18" t="s">
        <v>9</v>
      </c>
      <c r="C4" s="18" t="s">
        <v>10</v>
      </c>
      <c r="D4" s="18" t="s">
        <v>19</v>
      </c>
      <c r="E4" s="18"/>
      <c r="F4" s="18"/>
      <c r="G4" s="19" t="s">
        <v>20</v>
      </c>
      <c r="H4" s="20" t="s">
        <v>21</v>
      </c>
      <c r="I4" s="21" t="s">
        <v>39</v>
      </c>
    </row>
    <row r="5" customFormat="false" ht="15" hidden="false" customHeight="false" outlineLevel="0" collapsed="false">
      <c r="B5" s="18"/>
      <c r="C5" s="18"/>
      <c r="D5" s="18" t="s">
        <v>23</v>
      </c>
      <c r="E5" s="18" t="s">
        <v>24</v>
      </c>
      <c r="F5" s="18" t="s">
        <v>25</v>
      </c>
      <c r="G5" s="19"/>
      <c r="H5" s="20"/>
      <c r="I5" s="21"/>
    </row>
    <row r="6" customFormat="false" ht="15" hidden="false" customHeight="false" outlineLevel="0" collapsed="false">
      <c r="B6" s="22" t="n">
        <v>1</v>
      </c>
      <c r="C6" s="27" t="s">
        <v>71</v>
      </c>
      <c r="D6" s="24" t="n">
        <v>11.2382</v>
      </c>
      <c r="E6" s="24" t="n">
        <v>22.4675</v>
      </c>
      <c r="F6" s="24" t="n">
        <f aca="false">29.5-26.6</f>
        <v>2.9</v>
      </c>
      <c r="G6" s="24" t="n">
        <f aca="false">'WHEEL HOUSE'!$F$35</f>
        <v>1883.574861</v>
      </c>
      <c r="H6" s="24" t="n">
        <f aca="false">'WHEEL HOUSE'!$F$37</f>
        <v>16685.2109168008</v>
      </c>
    </row>
    <row r="7" customFormat="false" ht="15" hidden="false" customHeight="false" outlineLevel="0" collapsed="false">
      <c r="B7" s="22"/>
      <c r="C7" s="27"/>
      <c r="D7" s="26"/>
      <c r="E7" s="26"/>
      <c r="F7" s="26"/>
      <c r="G7" s="22"/>
      <c r="H7" s="22"/>
    </row>
    <row r="8" customFormat="false" ht="15" hidden="false" customHeight="false" outlineLevel="0" collapsed="false">
      <c r="B8" s="22"/>
      <c r="C8" s="27"/>
      <c r="D8" s="26"/>
      <c r="E8" s="26"/>
      <c r="F8" s="26"/>
      <c r="G8" s="22"/>
      <c r="H8" s="22"/>
    </row>
    <row r="9" customFormat="false" ht="15" hidden="false" customHeight="false" outlineLevel="0" collapsed="false">
      <c r="B9" s="22"/>
      <c r="C9" s="27"/>
      <c r="D9" s="26"/>
      <c r="E9" s="26"/>
      <c r="F9" s="26"/>
      <c r="G9" s="22"/>
      <c r="H9" s="22"/>
    </row>
    <row r="10" customFormat="false" ht="15" hidden="false" customHeight="false" outlineLevel="0" collapsed="false">
      <c r="B10" s="22"/>
      <c r="C10" s="27"/>
      <c r="D10" s="26"/>
      <c r="E10" s="26"/>
      <c r="F10" s="26"/>
      <c r="G10" s="22"/>
      <c r="H10" s="22"/>
    </row>
    <row r="11" customFormat="false" ht="15" hidden="false" customHeight="false" outlineLevel="0" collapsed="false">
      <c r="B11" s="22"/>
      <c r="C11" s="27"/>
      <c r="D11" s="26"/>
      <c r="E11" s="26"/>
      <c r="F11" s="26"/>
      <c r="G11" s="22"/>
      <c r="H11" s="22"/>
    </row>
    <row r="12" customFormat="false" ht="15" hidden="false" customHeight="false" outlineLevel="0" collapsed="false">
      <c r="B12" s="22"/>
      <c r="C12" s="27"/>
      <c r="D12" s="26"/>
      <c r="E12" s="26"/>
      <c r="F12" s="26"/>
      <c r="G12" s="22"/>
      <c r="H12" s="22"/>
    </row>
    <row r="13" customFormat="false" ht="15" hidden="false" customHeight="false" outlineLevel="0" collapsed="false">
      <c r="B13" s="22"/>
      <c r="C13" s="27"/>
      <c r="D13" s="26"/>
      <c r="E13" s="26"/>
      <c r="F13" s="26"/>
      <c r="G13" s="22"/>
      <c r="H13" s="22"/>
    </row>
    <row r="14" customFormat="false" ht="15" hidden="false" customHeight="false" outlineLevel="0" collapsed="false">
      <c r="B14" s="22"/>
      <c r="C14" s="27"/>
      <c r="D14" s="26"/>
      <c r="E14" s="26"/>
      <c r="F14" s="26"/>
      <c r="G14" s="22"/>
      <c r="H14" s="22"/>
    </row>
    <row r="15" customFormat="false" ht="15" hidden="false" customHeight="false" outlineLevel="0" collapsed="false">
      <c r="B15" s="22"/>
      <c r="C15" s="27"/>
      <c r="D15" s="26"/>
      <c r="E15" s="26"/>
      <c r="F15" s="26"/>
      <c r="G15" s="22"/>
      <c r="H15" s="22"/>
    </row>
    <row r="16" customFormat="false" ht="15" hidden="false" customHeight="false" outlineLevel="0" collapsed="false">
      <c r="B16" s="22"/>
      <c r="C16" s="27"/>
      <c r="D16" s="26"/>
      <c r="E16" s="26"/>
      <c r="F16" s="26"/>
      <c r="G16" s="22"/>
      <c r="H16" s="22"/>
    </row>
    <row r="17" customFormat="false" ht="15" hidden="false" customHeight="false" outlineLevel="0" collapsed="false">
      <c r="B17" s="22"/>
      <c r="C17" s="27"/>
      <c r="D17" s="26"/>
      <c r="E17" s="26"/>
      <c r="F17" s="26"/>
      <c r="G17" s="22"/>
      <c r="H17" s="22"/>
    </row>
    <row r="18" customFormat="false" ht="15" hidden="false" customHeight="false" outlineLevel="0" collapsed="false">
      <c r="B18" s="22"/>
      <c r="C18" s="27"/>
      <c r="D18" s="26"/>
      <c r="E18" s="26"/>
      <c r="F18" s="26"/>
      <c r="G18" s="22"/>
      <c r="H18" s="22"/>
    </row>
    <row r="19" customFormat="false" ht="15" hidden="false" customHeight="false" outlineLevel="0" collapsed="false">
      <c r="B19" s="22"/>
      <c r="C19" s="27"/>
      <c r="D19" s="26"/>
      <c r="E19" s="26"/>
      <c r="F19" s="26"/>
      <c r="G19" s="22"/>
      <c r="H19" s="22"/>
    </row>
    <row r="20" customFormat="false" ht="15" hidden="false" customHeight="false" outlineLevel="0" collapsed="false">
      <c r="B20" s="22"/>
      <c r="C20" s="27"/>
      <c r="D20" s="26"/>
      <c r="E20" s="26"/>
      <c r="F20" s="26"/>
      <c r="G20" s="22"/>
      <c r="H20" s="22"/>
    </row>
    <row r="21" customFormat="false" ht="15" hidden="false" customHeight="false" outlineLevel="0" collapsed="false">
      <c r="B21" s="22"/>
      <c r="C21" s="27"/>
      <c r="D21" s="26"/>
      <c r="E21" s="26"/>
      <c r="F21" s="26"/>
      <c r="G21" s="22"/>
      <c r="H21" s="22"/>
    </row>
    <row r="22" customFormat="false" ht="15" hidden="false" customHeight="false" outlineLevel="0" collapsed="false">
      <c r="B22" s="22"/>
      <c r="C22" s="27"/>
      <c r="D22" s="26"/>
      <c r="E22" s="26"/>
      <c r="F22" s="26"/>
      <c r="G22" s="22"/>
      <c r="H22" s="22"/>
    </row>
    <row r="24" customFormat="false" ht="15" hidden="false" customHeight="false" outlineLevel="0" collapsed="false">
      <c r="B24" s="16" t="n">
        <f aca="false">COUNTA(C6:C22)</f>
        <v>1</v>
      </c>
      <c r="C24" s="17" t="s">
        <v>30</v>
      </c>
    </row>
  </sheetData>
  <mergeCells count="6">
    <mergeCell ref="B4:B5"/>
    <mergeCell ref="C4:C5"/>
    <mergeCell ref="D4:F4"/>
    <mergeCell ref="G4:G5"/>
    <mergeCell ref="H4:H5"/>
    <mergeCell ref="I4:I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29.11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5.88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8.77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78</v>
      </c>
      <c r="B2" s="35"/>
      <c r="C2" s="35" t="n">
        <v>4001</v>
      </c>
      <c r="D2" s="35"/>
      <c r="E2" s="35" t="s">
        <v>79</v>
      </c>
      <c r="F2" s="35" t="s">
        <v>80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97</v>
      </c>
      <c r="B5" s="38" t="n">
        <v>6</v>
      </c>
      <c r="C5" s="39" t="s">
        <v>98</v>
      </c>
      <c r="D5" s="36" t="s">
        <v>99</v>
      </c>
      <c r="E5" s="38" t="s">
        <v>100</v>
      </c>
      <c r="F5" s="40" t="n">
        <f aca="false">10.7639 * (5.4812*3)</f>
        <v>176.99726604</v>
      </c>
      <c r="G5" s="38" t="n">
        <v>78</v>
      </c>
      <c r="H5" s="38" t="n">
        <v>105</v>
      </c>
      <c r="I5" s="41" t="n">
        <f aca="false">H5-G5</f>
        <v>27</v>
      </c>
      <c r="J5" s="38" t="n">
        <v>0.93</v>
      </c>
      <c r="K5" s="38" t="str">
        <f aca="false">_xlfn.UNICHAR(8596)</f>
        <v>↔</v>
      </c>
      <c r="L5" s="42" t="n">
        <f aca="false">F5*I5*J5</f>
        <v>4444.4013502644</v>
      </c>
      <c r="M5" s="41"/>
      <c r="N5" s="42" t="n">
        <f aca="false">L5+M5</f>
        <v>4444.4013502644</v>
      </c>
      <c r="O5" s="38" t="n">
        <v>78</v>
      </c>
      <c r="P5" s="38" t="n">
        <v>78</v>
      </c>
      <c r="Q5" s="41" t="n">
        <f aca="false">O5-P5</f>
        <v>0</v>
      </c>
      <c r="R5" s="38" t="n">
        <f aca="false">J5</f>
        <v>0.93</v>
      </c>
      <c r="S5" s="41" t="str">
        <f aca="false">K5</f>
        <v>↔</v>
      </c>
      <c r="T5" s="43" t="n">
        <f aca="false">F5*Q5*R5</f>
        <v>0</v>
      </c>
    </row>
    <row r="6" customFormat="false" ht="13.8" hidden="false" customHeight="false" outlineLevel="0" collapsed="false">
      <c r="A6" s="37" t="s">
        <v>101</v>
      </c>
      <c r="B6" s="38" t="n">
        <v>6</v>
      </c>
      <c r="C6" s="39" t="s">
        <v>98</v>
      </c>
      <c r="D6" s="36" t="s">
        <v>99</v>
      </c>
      <c r="E6" s="38" t="s">
        <v>102</v>
      </c>
      <c r="F6" s="40" t="n">
        <f aca="false">10.7639 *(2.8*3)</f>
        <v>90.41676</v>
      </c>
      <c r="G6" s="38" t="n">
        <v>78</v>
      </c>
      <c r="H6" s="38" t="n">
        <v>78</v>
      </c>
      <c r="I6" s="41" t="n">
        <f aca="false">H6-G6</f>
        <v>0</v>
      </c>
      <c r="J6" s="38" t="n">
        <v>0.93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78</v>
      </c>
      <c r="P6" s="38" t="n">
        <v>40</v>
      </c>
      <c r="Q6" s="41" t="n">
        <f aca="false">O6-P6</f>
        <v>38</v>
      </c>
      <c r="R6" s="38" t="n">
        <f aca="false">J6</f>
        <v>0.93</v>
      </c>
      <c r="S6" s="41" t="str">
        <f aca="false">K6</f>
        <v>↔</v>
      </c>
      <c r="T6" s="42" t="n">
        <f aca="false">F6*Q6*R6</f>
        <v>3195.3282984</v>
      </c>
    </row>
    <row r="7" customFormat="false" ht="13.8" hidden="false" customHeight="false" outlineLevel="0" collapsed="false">
      <c r="A7" s="37" t="s">
        <v>103</v>
      </c>
      <c r="B7" s="38" t="n">
        <v>6</v>
      </c>
      <c r="C7" s="39" t="s">
        <v>104</v>
      </c>
      <c r="D7" s="36" t="s">
        <v>99</v>
      </c>
      <c r="E7" s="38" t="s">
        <v>100</v>
      </c>
      <c r="F7" s="40" t="n">
        <f aca="false">10.7639 *(5.4812*3)</f>
        <v>176.99726604</v>
      </c>
      <c r="G7" s="38" t="n">
        <v>78</v>
      </c>
      <c r="H7" s="38" t="n">
        <v>78</v>
      </c>
      <c r="I7" s="41" t="n">
        <f aca="false">H7-G7</f>
        <v>0</v>
      </c>
      <c r="J7" s="38" t="n">
        <v>0.313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78</v>
      </c>
      <c r="P7" s="38" t="n">
        <v>78</v>
      </c>
      <c r="Q7" s="41" t="n">
        <f aca="false">O7-P7</f>
        <v>0</v>
      </c>
      <c r="R7" s="38" t="n">
        <f aca="false">J7</f>
        <v>0.313</v>
      </c>
      <c r="S7" s="41" t="str">
        <f aca="false">K7</f>
        <v>↔</v>
      </c>
      <c r="T7" s="43" t="n">
        <f aca="false">F7*Q7*R7</f>
        <v>0</v>
      </c>
    </row>
    <row r="8" customFormat="false" ht="13.8" hidden="false" customHeight="false" outlineLevel="0" collapsed="false">
      <c r="A8" s="37" t="s">
        <v>105</v>
      </c>
      <c r="B8" s="38" t="n">
        <v>2</v>
      </c>
      <c r="C8" s="39" t="s">
        <v>98</v>
      </c>
      <c r="D8" s="36" t="s">
        <v>106</v>
      </c>
      <c r="E8" s="38" t="s">
        <v>107</v>
      </c>
      <c r="F8" s="40" t="n">
        <f aca="false">10.7639 *(5.4812*2.8)</f>
        <v>165.197448304</v>
      </c>
      <c r="G8" s="38" t="n">
        <v>78</v>
      </c>
      <c r="H8" s="38" t="n">
        <v>120</v>
      </c>
      <c r="I8" s="41" t="n">
        <f aca="false">H8-G8</f>
        <v>42</v>
      </c>
      <c r="J8" s="38" t="n">
        <v>0.801</v>
      </c>
      <c r="K8" s="38" t="str">
        <f aca="false">_xlfn.UNICHAR(8595)</f>
        <v>↓</v>
      </c>
      <c r="L8" s="42" t="n">
        <f aca="false">F8*I8*J8</f>
        <v>5557.57255584317</v>
      </c>
      <c r="M8" s="41"/>
      <c r="N8" s="42" t="n">
        <f aca="false">L8+M8</f>
        <v>5557.57255584317</v>
      </c>
      <c r="O8" s="38" t="n">
        <v>78</v>
      </c>
      <c r="P8" s="38" t="n">
        <v>78</v>
      </c>
      <c r="Q8" s="41" t="n">
        <f aca="false">O8-P8</f>
        <v>0</v>
      </c>
      <c r="R8" s="38" t="n">
        <f aca="false">J8</f>
        <v>0.801</v>
      </c>
      <c r="S8" s="41" t="str">
        <f aca="false">K8</f>
        <v>↓</v>
      </c>
      <c r="T8" s="43" t="n">
        <f aca="false">F8*Q8*R8</f>
        <v>0</v>
      </c>
    </row>
    <row r="9" customFormat="false" ht="13.8" hidden="false" customHeight="false" outlineLevel="0" collapsed="false">
      <c r="A9" s="37" t="s">
        <v>108</v>
      </c>
      <c r="B9" s="38" t="n">
        <v>3</v>
      </c>
      <c r="C9" s="39" t="s">
        <v>98</v>
      </c>
      <c r="D9" s="36" t="s">
        <v>90</v>
      </c>
      <c r="E9" s="38" t="s">
        <v>107</v>
      </c>
      <c r="F9" s="40" t="n">
        <f aca="false">10.7639 *(5.4812*2.8)</f>
        <v>165.197448304</v>
      </c>
      <c r="G9" s="38" t="n">
        <v>78</v>
      </c>
      <c r="H9" s="38" t="n">
        <v>95</v>
      </c>
      <c r="I9" s="41" t="n">
        <f aca="false">H9-G9</f>
        <v>17</v>
      </c>
      <c r="J9" s="38" t="n">
        <v>1.491</v>
      </c>
      <c r="K9" s="38" t="str">
        <f aca="false">_xlfn.UNICHAR(8593)</f>
        <v>↑</v>
      </c>
      <c r="L9" s="42" t="n">
        <f aca="false">F9*I9*J9</f>
        <v>4187.25972216149</v>
      </c>
      <c r="M9" s="41"/>
      <c r="N9" s="42" t="n">
        <f aca="false">L9+M9</f>
        <v>4187.25972216149</v>
      </c>
      <c r="O9" s="38" t="n">
        <v>78</v>
      </c>
      <c r="P9" s="38" t="n">
        <v>78</v>
      </c>
      <c r="Q9" s="41" t="n">
        <f aca="false">O9-P9</f>
        <v>0</v>
      </c>
      <c r="R9" s="38" t="n">
        <f aca="false">J9</f>
        <v>1.491</v>
      </c>
      <c r="S9" s="41" t="str">
        <f aca="false">K9</f>
        <v>↑</v>
      </c>
      <c r="T9" s="43" t="n">
        <f aca="false">F9*Q9*R9</f>
        <v>0</v>
      </c>
    </row>
    <row r="10" customFormat="false" ht="13.8" hidden="false" customHeight="false" outlineLevel="0" collapsed="false">
      <c r="A10" s="29" t="s">
        <v>108</v>
      </c>
      <c r="B10" s="30" t="n">
        <v>3</v>
      </c>
      <c r="C10" s="39" t="s">
        <v>98</v>
      </c>
      <c r="D10" s="30" t="s">
        <v>99</v>
      </c>
      <c r="E10" s="38" t="s">
        <v>102</v>
      </c>
      <c r="F10" s="40" t="n">
        <f aca="false">10.7639 *(2.8*3)</f>
        <v>90.41676</v>
      </c>
      <c r="G10" s="38" t="n">
        <v>78</v>
      </c>
      <c r="H10" s="38" t="n">
        <v>95</v>
      </c>
      <c r="I10" s="41" t="n">
        <f aca="false">H10-G10</f>
        <v>17</v>
      </c>
      <c r="J10" s="38" t="n">
        <v>1.32</v>
      </c>
      <c r="K10" s="38" t="str">
        <f aca="false">_xlfn.UNICHAR(8596)</f>
        <v>↔</v>
      </c>
      <c r="L10" s="42" t="n">
        <f aca="false">F10*I10*J10</f>
        <v>2028.9520944</v>
      </c>
      <c r="M10" s="41"/>
      <c r="N10" s="42" t="n">
        <f aca="false">L10+M10</f>
        <v>2028.9520944</v>
      </c>
      <c r="O10" s="38" t="n">
        <v>78</v>
      </c>
      <c r="P10" s="38" t="n">
        <v>78</v>
      </c>
      <c r="Q10" s="41" t="n">
        <f aca="false">O10-P10</f>
        <v>0</v>
      </c>
      <c r="R10" s="38" t="n">
        <f aca="false">J10</f>
        <v>1.32</v>
      </c>
      <c r="S10" s="41" t="str">
        <f aca="false">K10</f>
        <v>↔</v>
      </c>
      <c r="T10" s="43" t="n">
        <f aca="false">F10*Q10*R10</f>
        <v>0</v>
      </c>
    </row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>
      <c r="A14" s="44" t="s">
        <v>109</v>
      </c>
      <c r="B14" s="36"/>
      <c r="C14" s="39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42" t="n">
        <f aca="false">SUM(N5:N10)</f>
        <v>16218.1857226691</v>
      </c>
      <c r="O14" s="36"/>
      <c r="P14" s="36"/>
      <c r="Q14" s="36"/>
      <c r="R14" s="36"/>
      <c r="S14" s="36"/>
      <c r="T14" s="42" t="n">
        <f aca="false">SUM(T5:T9)</f>
        <v>3195.3282984</v>
      </c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A20" s="29" t="s">
        <v>110</v>
      </c>
      <c r="B20" s="30" t="n">
        <v>8</v>
      </c>
      <c r="F20" s="38" t="n">
        <f aca="false">(10.7639 * (0.6*0.5))*0</f>
        <v>0</v>
      </c>
      <c r="G20" s="36"/>
      <c r="H20" s="36"/>
      <c r="I20" s="41"/>
      <c r="J20" s="36"/>
      <c r="K20" s="36"/>
      <c r="L20" s="38" t="n">
        <f aca="false">F20*160</f>
        <v>0</v>
      </c>
      <c r="M20" s="36"/>
      <c r="N20" s="42" t="n">
        <f aca="false">L20+M20</f>
        <v>0</v>
      </c>
    </row>
    <row r="21" customFormat="false" ht="13.8" hidden="false" customHeight="false" outlineLevel="0" collapsed="false">
      <c r="A21" s="45" t="s">
        <v>111</v>
      </c>
      <c r="B21" s="36" t="n">
        <v>7</v>
      </c>
      <c r="C21" s="39"/>
      <c r="D21" s="36"/>
      <c r="E21" s="36"/>
      <c r="F21" s="40" t="n">
        <f aca="false">F9</f>
        <v>165.197448304</v>
      </c>
      <c r="G21" s="36"/>
      <c r="H21" s="36"/>
      <c r="I21" s="36"/>
      <c r="J21" s="36"/>
      <c r="K21" s="36"/>
      <c r="L21" s="40" t="n">
        <f aca="false">F21*4</f>
        <v>660.789793216</v>
      </c>
      <c r="M21" s="36"/>
      <c r="N21" s="42" t="n">
        <f aca="false">L21+M21</f>
        <v>660.789793216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 t="s">
        <v>112</v>
      </c>
      <c r="B22" s="36" t="n">
        <v>8</v>
      </c>
      <c r="C22" s="39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2" t="n">
        <f aca="false">L22+M22</f>
        <v>0</v>
      </c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 t="s">
        <v>113</v>
      </c>
      <c r="B23" s="36"/>
      <c r="C23" s="39"/>
      <c r="D23" s="36"/>
      <c r="E23" s="36"/>
      <c r="F23" s="36"/>
      <c r="G23" s="36"/>
      <c r="H23" s="36"/>
      <c r="I23" s="36"/>
      <c r="J23" s="36"/>
      <c r="K23" s="36"/>
      <c r="L23" s="47" t="n">
        <f aca="false">30</f>
        <v>30</v>
      </c>
      <c r="M23" s="47" t="n">
        <v>30</v>
      </c>
      <c r="N23" s="42" t="n">
        <f aca="false">L23+M23</f>
        <v>60</v>
      </c>
      <c r="O23" s="36"/>
      <c r="P23" s="36"/>
      <c r="Q23" s="36"/>
      <c r="R23" s="36"/>
      <c r="S23" s="36"/>
      <c r="T23" s="36"/>
    </row>
    <row r="24" customFormat="false" ht="13.8" hidden="false" customHeight="false" outlineLevel="0" collapsed="false">
      <c r="A24" s="45" t="s">
        <v>114</v>
      </c>
      <c r="B24" s="36" t="n">
        <v>9</v>
      </c>
      <c r="C24" s="39"/>
      <c r="D24" s="36"/>
      <c r="E24" s="36"/>
      <c r="F24" s="36"/>
      <c r="G24" s="36"/>
      <c r="H24" s="36"/>
      <c r="I24" s="36"/>
      <c r="J24" s="36"/>
      <c r="K24" s="36"/>
      <c r="L24" s="38" t="n">
        <f aca="false">1*315</f>
        <v>315</v>
      </c>
      <c r="M24" s="38" t="n">
        <f aca="false">1*485</f>
        <v>485</v>
      </c>
      <c r="N24" s="42" t="n">
        <f aca="false">L24+M24</f>
        <v>800</v>
      </c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>
      <c r="A29" s="44" t="s">
        <v>115</v>
      </c>
      <c r="B29" s="36"/>
      <c r="C29" s="39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SUM(N11:N24)</f>
        <v>17738.9755158851</v>
      </c>
      <c r="O29" s="36"/>
      <c r="P29" s="36"/>
      <c r="Q29" s="36"/>
      <c r="R29" s="36"/>
      <c r="S29" s="36"/>
      <c r="T29" s="42" t="n">
        <f aca="false">SUM(T11:T24)</f>
        <v>3195.3282984</v>
      </c>
    </row>
    <row r="30" customFormat="false" ht="13.8" hidden="false" customHeight="false" outlineLevel="0" collapsed="false">
      <c r="A30" s="44" t="s">
        <v>115</v>
      </c>
      <c r="B30" s="36"/>
      <c r="C30" s="39"/>
      <c r="D30" s="36"/>
      <c r="E30" s="36"/>
      <c r="F30" s="36"/>
      <c r="G30" s="42" t="n">
        <f aca="false">N29+T29</f>
        <v>20934.3038142851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165.197448304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1463.36326999298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48.7787756664326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17223.9755158851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515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N29</f>
        <v>17738.9755158851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T29</f>
        <v>3195.3282984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637.925019106854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638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0.1869793618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0.970967883712404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5" activeCellId="0" sqref="L15"/>
    </sheetView>
  </sheetViews>
  <sheetFormatPr defaultColWidth="8.5625" defaultRowHeight="14.25" customHeight="false" zeroHeight="false" outlineLevelRow="0" outlineLevelCol="0"/>
  <cols>
    <col collapsed="false" customWidth="true" hidden="false" outlineLevel="0" max="1" min="1" style="0" width="30.67"/>
    <col collapsed="false" customWidth="true" hidden="false" outlineLevel="0" max="2" min="2" style="0" width="11.44"/>
    <col collapsed="false" customWidth="true" hidden="false" outlineLevel="0" max="3" min="3" style="0" width="25.67"/>
    <col collapsed="false" customWidth="true" hidden="false" outlineLevel="0" max="4" min="4" style="0" width="12.67"/>
    <col collapsed="false" customWidth="true" hidden="false" outlineLevel="0" max="5" min="5" style="0" width="26.33"/>
    <col collapsed="false" customWidth="true" hidden="false" outlineLevel="0" max="6" min="6" style="0" width="18.78"/>
    <col collapsed="false" customWidth="true" hidden="false" outlineLevel="0" max="7" min="7" style="0" width="6.11"/>
    <col collapsed="false" customWidth="true" hidden="false" outlineLevel="0" max="8" min="8" style="0" width="4"/>
    <col collapsed="false" customWidth="true" hidden="false" outlineLevel="0" max="9" min="9" style="0" width="3.44"/>
    <col collapsed="false" customWidth="true" hidden="false" outlineLevel="0" max="10" min="10" style="0" width="7.22"/>
    <col collapsed="false" customWidth="true" hidden="false" outlineLevel="0" max="11" min="11" style="0" width="4.44"/>
    <col collapsed="false" customWidth="true" hidden="false" outlineLevel="0" max="12" min="12" style="0" width="8.77"/>
    <col collapsed="false" customWidth="true" hidden="false" outlineLevel="0" max="13" min="13" style="0" width="4"/>
    <col collapsed="false" customWidth="true" hidden="false" outlineLevel="0" max="14" min="14" style="0" width="9"/>
    <col collapsed="false" customWidth="true" hidden="false" outlineLevel="0" max="15" min="15" style="0" width="3"/>
    <col collapsed="false" customWidth="true" hidden="false" outlineLevel="0" max="16" min="16" style="0" width="4"/>
    <col collapsed="false" customWidth="true" hidden="false" outlineLevel="0" max="17" min="17" style="0" width="3.44"/>
    <col collapsed="false" customWidth="true" hidden="false" outlineLevel="0" max="18" min="18" style="0" width="7.22"/>
    <col collapsed="false" customWidth="true" hidden="false" outlineLevel="0" max="19" min="19" style="0" width="4.44"/>
    <col collapsed="false" customWidth="true" hidden="false" outlineLevel="0" max="20" min="20" style="0" width="12"/>
  </cols>
  <sheetData>
    <row r="1" customFormat="false" ht="14.2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44" t="s">
        <v>171</v>
      </c>
      <c r="H1" s="44"/>
      <c r="I1" s="44"/>
      <c r="J1" s="44"/>
      <c r="K1" s="44"/>
      <c r="L1" s="44"/>
      <c r="M1" s="44"/>
      <c r="N1" s="44"/>
      <c r="O1" s="34" t="s">
        <v>172</v>
      </c>
      <c r="P1" s="34"/>
      <c r="Q1" s="34"/>
      <c r="R1" s="34"/>
      <c r="S1" s="34"/>
      <c r="T1" s="34"/>
    </row>
    <row r="2" customFormat="false" ht="14.25" hidden="false" customHeight="false" outlineLevel="0" collapsed="false">
      <c r="A2" s="35" t="s">
        <v>101</v>
      </c>
      <c r="B2" s="35"/>
      <c r="C2" s="35" t="n">
        <v>4002</v>
      </c>
      <c r="D2" s="35"/>
      <c r="E2" s="35" t="s">
        <v>79</v>
      </c>
      <c r="F2" s="35"/>
      <c r="G2" s="44"/>
      <c r="H2" s="44"/>
      <c r="I2" s="44"/>
      <c r="J2" s="44"/>
      <c r="K2" s="44"/>
      <c r="L2" s="44"/>
      <c r="M2" s="44"/>
      <c r="N2" s="44"/>
      <c r="O2" s="34"/>
      <c r="P2" s="34"/>
      <c r="Q2" s="34"/>
      <c r="R2" s="34"/>
      <c r="S2" s="34"/>
      <c r="T2" s="34"/>
    </row>
    <row r="3" customFormat="false" ht="14.25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customFormat="false" ht="14.25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4.25" hidden="false" customHeight="false" outlineLevel="0" collapsed="false">
      <c r="A5" s="37" t="s">
        <v>78</v>
      </c>
      <c r="B5" s="38" t="n">
        <v>6</v>
      </c>
      <c r="C5" s="39" t="s">
        <v>173</v>
      </c>
      <c r="D5" s="36" t="s">
        <v>99</v>
      </c>
      <c r="E5" s="38" t="s">
        <v>102</v>
      </c>
      <c r="F5" s="40" t="n">
        <f aca="false">10.7639 * (2.8 * 3)</f>
        <v>90.41676</v>
      </c>
      <c r="G5" s="38" t="n">
        <v>40</v>
      </c>
      <c r="H5" s="38" t="n">
        <v>78</v>
      </c>
      <c r="I5" s="41" t="n">
        <f aca="false">H5-G5</f>
        <v>38</v>
      </c>
      <c r="J5" s="38" t="n">
        <v>0.063</v>
      </c>
      <c r="K5" s="38" t="str">
        <f aca="false">_xlfn.UNICHAR(8596)</f>
        <v>↔</v>
      </c>
      <c r="L5" s="42" t="n">
        <f aca="false">F5*I5*J5</f>
        <v>216.45772344</v>
      </c>
      <c r="M5" s="41"/>
      <c r="N5" s="41" t="n">
        <f aca="false">L5+M5</f>
        <v>216.45772344</v>
      </c>
      <c r="O5" s="38" t="n">
        <v>40</v>
      </c>
      <c r="P5" s="38" t="n">
        <v>40</v>
      </c>
      <c r="Q5" s="41" t="n">
        <f aca="false">P5-O5</f>
        <v>0</v>
      </c>
      <c r="R5" s="38" t="n">
        <v>0.1</v>
      </c>
      <c r="S5" s="38" t="str">
        <f aca="false">K5</f>
        <v>↔</v>
      </c>
      <c r="T5" s="41" t="n">
        <f aca="false">F5*Q5*R5</f>
        <v>0</v>
      </c>
    </row>
    <row r="6" customFormat="false" ht="14.25" hidden="false" customHeight="false" outlineLevel="0" collapsed="false">
      <c r="A6" s="37" t="s">
        <v>174</v>
      </c>
      <c r="B6" s="38" t="n">
        <v>6</v>
      </c>
      <c r="C6" s="39" t="s">
        <v>175</v>
      </c>
      <c r="D6" s="36" t="s">
        <v>99</v>
      </c>
      <c r="E6" s="38" t="s">
        <v>176</v>
      </c>
      <c r="F6" s="40" t="n">
        <f aca="false">10.7639 * (0.7*3+1.8*3)</f>
        <v>80.72925</v>
      </c>
      <c r="G6" s="38" t="n">
        <v>40</v>
      </c>
      <c r="H6" s="38" t="n">
        <v>120</v>
      </c>
      <c r="I6" s="41" t="n">
        <f aca="false">H6-G6</f>
        <v>80</v>
      </c>
      <c r="J6" s="38" t="n">
        <v>0.158</v>
      </c>
      <c r="K6" s="38" t="str">
        <f aca="false">_xlfn.UNICHAR(8596)</f>
        <v>↔</v>
      </c>
      <c r="L6" s="42" t="n">
        <f aca="false">F6*I6*J6</f>
        <v>1020.41772</v>
      </c>
      <c r="M6" s="41"/>
      <c r="N6" s="41" t="n">
        <f aca="false">L6+M6</f>
        <v>1020.41772</v>
      </c>
      <c r="O6" s="38" t="n">
        <v>40</v>
      </c>
      <c r="P6" s="38" t="n">
        <v>40</v>
      </c>
      <c r="Q6" s="41" t="n">
        <f aca="false">P6-O6</f>
        <v>0</v>
      </c>
      <c r="R6" s="38" t="n">
        <v>0.1</v>
      </c>
      <c r="S6" s="38" t="str">
        <f aca="false">K6</f>
        <v>↔</v>
      </c>
      <c r="T6" s="41" t="n">
        <f aca="false">F6*Q6*R6</f>
        <v>0</v>
      </c>
    </row>
    <row r="7" customFormat="false" ht="14.25" hidden="false" customHeight="false" outlineLevel="0" collapsed="false">
      <c r="A7" s="37" t="s">
        <v>103</v>
      </c>
      <c r="B7" s="38" t="n">
        <v>6</v>
      </c>
      <c r="C7" s="39" t="s">
        <v>104</v>
      </c>
      <c r="D7" s="36" t="s">
        <v>99</v>
      </c>
      <c r="E7" s="38" t="s">
        <v>177</v>
      </c>
      <c r="F7" s="40" t="n">
        <f aca="false">10.7639 *(3.6 * 3)</f>
        <v>116.25012</v>
      </c>
      <c r="G7" s="38" t="n">
        <v>40</v>
      </c>
      <c r="H7" s="38" t="n">
        <v>78</v>
      </c>
      <c r="I7" s="41" t="n">
        <f aca="false">H7-G7</f>
        <v>38</v>
      </c>
      <c r="J7" s="38" t="n">
        <v>0.313</v>
      </c>
      <c r="K7" s="38" t="str">
        <f aca="false">_xlfn.UNICHAR(8596)</f>
        <v>↔</v>
      </c>
      <c r="L7" s="42" t="n">
        <f aca="false">F7*I7*J7</f>
        <v>1382.67892728</v>
      </c>
      <c r="M7" s="41"/>
      <c r="N7" s="41" t="n">
        <f aca="false">L7+M7</f>
        <v>1382.67892728</v>
      </c>
      <c r="O7" s="38" t="n">
        <v>40</v>
      </c>
      <c r="P7" s="38" t="n">
        <v>40</v>
      </c>
      <c r="Q7" s="41" t="n">
        <f aca="false">P7-O7</f>
        <v>0</v>
      </c>
      <c r="R7" s="38" t="n">
        <v>0.1</v>
      </c>
      <c r="S7" s="38" t="str">
        <f aca="false">K7</f>
        <v>↔</v>
      </c>
      <c r="T7" s="41" t="n">
        <f aca="false">F7*Q7*R7</f>
        <v>0</v>
      </c>
    </row>
    <row r="8" customFormat="false" ht="14.25" hidden="false" customHeight="false" outlineLevel="0" collapsed="false">
      <c r="A8" s="37" t="s">
        <v>178</v>
      </c>
      <c r="B8" s="38" t="n">
        <v>6</v>
      </c>
      <c r="C8" s="39" t="s">
        <v>175</v>
      </c>
      <c r="D8" s="36" t="s">
        <v>99</v>
      </c>
      <c r="E8" s="38" t="s">
        <v>179</v>
      </c>
      <c r="F8" s="40" t="n">
        <f aca="false">10.7639 * (2.4 * 3)</f>
        <v>77.50008</v>
      </c>
      <c r="G8" s="38" t="n">
        <v>40</v>
      </c>
      <c r="H8" s="38" t="n">
        <v>130</v>
      </c>
      <c r="I8" s="41" t="n">
        <f aca="false">H8-G8</f>
        <v>90</v>
      </c>
      <c r="J8" s="38" t="n">
        <v>0.158</v>
      </c>
      <c r="K8" s="38" t="str">
        <f aca="false">_xlfn.UNICHAR(8596)</f>
        <v>↔</v>
      </c>
      <c r="L8" s="42" t="n">
        <f aca="false">F8*I8*J8</f>
        <v>1102.0511376</v>
      </c>
      <c r="M8" s="41"/>
      <c r="N8" s="41" t="n">
        <f aca="false">L8+M8</f>
        <v>1102.0511376</v>
      </c>
      <c r="O8" s="38" t="n">
        <v>40</v>
      </c>
      <c r="P8" s="38" t="n">
        <v>40</v>
      </c>
      <c r="Q8" s="41" t="n">
        <f aca="false">P8-O8</f>
        <v>0</v>
      </c>
      <c r="R8" s="38" t="n">
        <v>0.1</v>
      </c>
      <c r="S8" s="38" t="str">
        <f aca="false">K8</f>
        <v>↔</v>
      </c>
      <c r="T8" s="41" t="n">
        <f aca="false">F8*Q8*R8</f>
        <v>0</v>
      </c>
    </row>
    <row r="9" customFormat="false" ht="14.25" hidden="false" customHeight="false" outlineLevel="0" collapsed="false">
      <c r="A9" s="37" t="s">
        <v>180</v>
      </c>
      <c r="B9" s="38" t="n">
        <v>6</v>
      </c>
      <c r="C9" s="39" t="s">
        <v>104</v>
      </c>
      <c r="D9" s="36" t="s">
        <v>99</v>
      </c>
      <c r="E9" s="38" t="s">
        <v>181</v>
      </c>
      <c r="F9" s="40" t="n">
        <f aca="false">10.7639 * (2.1*3)</f>
        <v>67.81257</v>
      </c>
      <c r="G9" s="38" t="n">
        <v>40</v>
      </c>
      <c r="H9" s="38" t="n">
        <v>85</v>
      </c>
      <c r="I9" s="41" t="n">
        <f aca="false">H9-G9</f>
        <v>45</v>
      </c>
      <c r="J9" s="38" t="n">
        <v>0.313</v>
      </c>
      <c r="K9" s="38" t="str">
        <f aca="false">_xlfn.UNICHAR(8596)</f>
        <v>↔</v>
      </c>
      <c r="L9" s="42" t="n">
        <f aca="false">F9*I9*J9</f>
        <v>955.14004845</v>
      </c>
      <c r="M9" s="41"/>
      <c r="N9" s="41" t="n">
        <f aca="false">L9+M9</f>
        <v>955.14004845</v>
      </c>
      <c r="O9" s="38" t="n">
        <v>40</v>
      </c>
      <c r="P9" s="38" t="n">
        <v>40</v>
      </c>
      <c r="Q9" s="41" t="n">
        <f aca="false">P9-O9</f>
        <v>0</v>
      </c>
      <c r="R9" s="38" t="n">
        <v>0.1</v>
      </c>
      <c r="S9" s="38" t="str">
        <f aca="false">K9</f>
        <v>↔</v>
      </c>
      <c r="T9" s="41" t="n">
        <f aca="false">F9*Q9*R9</f>
        <v>0</v>
      </c>
    </row>
    <row r="10" customFormat="false" ht="14.25" hidden="false" customHeight="false" outlineLevel="0" collapsed="false">
      <c r="A10" s="37" t="s">
        <v>182</v>
      </c>
      <c r="B10" s="38" t="n">
        <v>2</v>
      </c>
      <c r="C10" s="39" t="s">
        <v>175</v>
      </c>
      <c r="D10" s="36" t="s">
        <v>99</v>
      </c>
      <c r="E10" s="38" t="s">
        <v>183</v>
      </c>
      <c r="F10" s="40" t="n">
        <f aca="false">10.7639 * (10.5)</f>
        <v>113.02095</v>
      </c>
      <c r="G10" s="38" t="n">
        <v>40</v>
      </c>
      <c r="H10" s="38" t="n">
        <v>120</v>
      </c>
      <c r="I10" s="41" t="n">
        <f aca="false">H10-G10</f>
        <v>80</v>
      </c>
      <c r="J10" s="38" t="n">
        <v>0.158</v>
      </c>
      <c r="K10" s="38" t="str">
        <f aca="false">_xlfn.UNICHAR(8595)</f>
        <v>↓</v>
      </c>
      <c r="L10" s="42" t="n">
        <f aca="false">F10*I10*J10</f>
        <v>1428.584808</v>
      </c>
      <c r="M10" s="41"/>
      <c r="N10" s="41" t="n">
        <f aca="false">L10+M10</f>
        <v>1428.584808</v>
      </c>
      <c r="O10" s="38" t="n">
        <v>40</v>
      </c>
      <c r="P10" s="38" t="n">
        <v>40</v>
      </c>
      <c r="Q10" s="41" t="n">
        <f aca="false">P10-O10</f>
        <v>0</v>
      </c>
      <c r="R10" s="38" t="n">
        <v>0.1</v>
      </c>
      <c r="S10" s="38" t="str">
        <f aca="false">K10</f>
        <v>↓</v>
      </c>
      <c r="T10" s="41" t="n">
        <f aca="false">F10*Q10*R10</f>
        <v>0</v>
      </c>
    </row>
    <row r="11" customFormat="false" ht="14.25" hidden="false" customHeight="false" outlineLevel="0" collapsed="false">
      <c r="A11" s="37" t="s">
        <v>108</v>
      </c>
      <c r="B11" s="38" t="n">
        <v>1</v>
      </c>
      <c r="C11" s="39" t="s">
        <v>104</v>
      </c>
      <c r="D11" s="36" t="s">
        <v>99</v>
      </c>
      <c r="E11" s="38" t="s">
        <v>184</v>
      </c>
      <c r="F11" s="40" t="n">
        <f aca="false">10.7639 * (1.4*4.2)</f>
        <v>63.291732</v>
      </c>
      <c r="G11" s="38" t="n">
        <v>40</v>
      </c>
      <c r="H11" s="38" t="n">
        <v>95</v>
      </c>
      <c r="I11" s="41" t="n">
        <f aca="false">H11-G11</f>
        <v>55</v>
      </c>
      <c r="J11" s="38" t="n">
        <v>0.313</v>
      </c>
      <c r="K11" s="38" t="str">
        <f aca="false">_xlfn.UNICHAR(8593)</f>
        <v>↑</v>
      </c>
      <c r="L11" s="42" t="n">
        <f aca="false">F11*I11*J11</f>
        <v>1089.56716638</v>
      </c>
      <c r="M11" s="41"/>
      <c r="N11" s="41" t="n">
        <f aca="false">L11+M11</f>
        <v>1089.56716638</v>
      </c>
      <c r="O11" s="38" t="n">
        <v>40</v>
      </c>
      <c r="P11" s="38" t="n">
        <v>40</v>
      </c>
      <c r="Q11" s="41" t="n">
        <f aca="false">P11-O11</f>
        <v>0</v>
      </c>
      <c r="R11" s="38" t="n">
        <v>0.1</v>
      </c>
      <c r="S11" s="38" t="str">
        <f aca="false">K11</f>
        <v>↑</v>
      </c>
      <c r="T11" s="41" t="n">
        <f aca="false">F11*Q11*R11</f>
        <v>0</v>
      </c>
    </row>
    <row r="12" customFormat="false" ht="14.25" hidden="false" customHeight="false" outlineLevel="0" collapsed="false">
      <c r="A12" s="37" t="s">
        <v>185</v>
      </c>
      <c r="B12" s="38" t="n">
        <v>1</v>
      </c>
      <c r="C12" s="39" t="s">
        <v>175</v>
      </c>
      <c r="D12" s="36" t="s">
        <v>106</v>
      </c>
      <c r="E12" s="38" t="s">
        <v>184</v>
      </c>
      <c r="F12" s="40" t="n">
        <f aca="false">10.7639 * (1.4*4.2)</f>
        <v>63.291732</v>
      </c>
      <c r="G12" s="38" t="n">
        <v>40</v>
      </c>
      <c r="H12" s="38" t="n">
        <v>110</v>
      </c>
      <c r="I12" s="41" t="n">
        <f aca="false">H12-G12</f>
        <v>70</v>
      </c>
      <c r="J12" s="38" t="n">
        <v>0.144</v>
      </c>
      <c r="K12" s="38" t="str">
        <f aca="false">_xlfn.UNICHAR(8593)</f>
        <v>↑</v>
      </c>
      <c r="L12" s="42" t="n">
        <f aca="false">F12*I12*J12</f>
        <v>637.98065856</v>
      </c>
      <c r="M12" s="41"/>
      <c r="N12" s="41" t="n">
        <f aca="false">L12+M12</f>
        <v>637.98065856</v>
      </c>
      <c r="O12" s="38" t="n">
        <v>40</v>
      </c>
      <c r="P12" s="38" t="n">
        <v>40</v>
      </c>
      <c r="Q12" s="41" t="n">
        <f aca="false">P12-O12</f>
        <v>0</v>
      </c>
      <c r="R12" s="38" t="n">
        <v>0.1</v>
      </c>
      <c r="S12" s="38" t="str">
        <f aca="false">K12</f>
        <v>↑</v>
      </c>
      <c r="T12" s="41" t="n">
        <f aca="false">F12*Q12*R12</f>
        <v>0</v>
      </c>
    </row>
    <row r="13" customFormat="false" ht="14.25" hidden="false" customHeight="false" outlineLevel="0" collapsed="false">
      <c r="A13" s="37" t="s">
        <v>186</v>
      </c>
      <c r="B13" s="38" t="n">
        <v>1</v>
      </c>
      <c r="C13" s="39" t="s">
        <v>175</v>
      </c>
      <c r="D13" s="36" t="s">
        <v>106</v>
      </c>
      <c r="E13" s="38" t="s">
        <v>187</v>
      </c>
      <c r="F13" s="40" t="n">
        <f aca="false">10.7639 * (1.8 * 0.7)</f>
        <v>13.562514</v>
      </c>
      <c r="G13" s="38" t="n">
        <v>40</v>
      </c>
      <c r="H13" s="38" t="n">
        <v>120</v>
      </c>
      <c r="I13" s="41" t="n">
        <f aca="false">H13-G13</f>
        <v>80</v>
      </c>
      <c r="J13" s="38" t="n">
        <v>0.144</v>
      </c>
      <c r="K13" s="38" t="str">
        <f aca="false">_xlfn.UNICHAR(8593)</f>
        <v>↑</v>
      </c>
      <c r="L13" s="42" t="n">
        <f aca="false">F13*I13*J13</f>
        <v>156.24016128</v>
      </c>
      <c r="M13" s="41"/>
      <c r="N13" s="41" t="n">
        <f aca="false">L13+M13</f>
        <v>156.24016128</v>
      </c>
      <c r="O13" s="38" t="n">
        <v>40</v>
      </c>
      <c r="P13" s="38" t="n">
        <v>40</v>
      </c>
      <c r="Q13" s="41" t="n">
        <f aca="false">P13-O13</f>
        <v>0</v>
      </c>
      <c r="R13" s="38" t="n">
        <v>0.1</v>
      </c>
      <c r="S13" s="38" t="str">
        <f aca="false">K13</f>
        <v>↑</v>
      </c>
      <c r="T13" s="41" t="n">
        <f aca="false">F13*Q13*R13</f>
        <v>0</v>
      </c>
    </row>
    <row r="20" customFormat="false" ht="14.25" hidden="false" customHeight="false" outlineLevel="0" collapsed="false">
      <c r="A20" s="44" t="s">
        <v>109</v>
      </c>
      <c r="B20" s="36"/>
      <c r="C20" s="39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42" t="n">
        <f aca="false">SUM(N5:N13)</f>
        <v>7989.11835099</v>
      </c>
      <c r="O20" s="36"/>
      <c r="P20" s="36"/>
      <c r="Q20" s="36"/>
      <c r="R20" s="36"/>
      <c r="S20" s="36"/>
      <c r="T20" s="41" t="n">
        <f aca="false">SUM(T5:T13)</f>
        <v>0</v>
      </c>
    </row>
    <row r="21" customFormat="false" ht="14.25" hidden="false" customHeight="false" outlineLevel="0" collapsed="false">
      <c r="A21" s="45" t="s">
        <v>111</v>
      </c>
      <c r="B21" s="36" t="n">
        <v>7</v>
      </c>
      <c r="C21" s="39"/>
      <c r="D21" s="36"/>
      <c r="E21" s="36"/>
      <c r="F21" s="40" t="n">
        <f aca="false">F10</f>
        <v>113.02095</v>
      </c>
      <c r="G21" s="36"/>
      <c r="H21" s="36"/>
      <c r="I21" s="36"/>
      <c r="J21" s="36"/>
      <c r="K21" s="36"/>
      <c r="L21" s="40" t="n">
        <f aca="false">F21*4</f>
        <v>452.0838</v>
      </c>
      <c r="M21" s="36"/>
      <c r="N21" s="42" t="n">
        <f aca="false">L21+M21</f>
        <v>452.0838</v>
      </c>
      <c r="O21" s="36"/>
      <c r="P21" s="36"/>
      <c r="Q21" s="36"/>
      <c r="R21" s="36"/>
      <c r="S21" s="36"/>
      <c r="T21" s="36"/>
    </row>
    <row r="22" customFormat="false" ht="14.25" hidden="false" customHeight="false" outlineLevel="0" collapsed="false">
      <c r="A22" s="45" t="s">
        <v>112</v>
      </c>
      <c r="B22" s="36" t="n">
        <v>8</v>
      </c>
      <c r="C22" s="39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</row>
    <row r="23" customFormat="false" ht="14.25" hidden="false" customHeight="false" outlineLevel="0" collapsed="false">
      <c r="A23" s="45" t="s">
        <v>114</v>
      </c>
      <c r="B23" s="36" t="n">
        <v>9</v>
      </c>
      <c r="C23" s="39"/>
      <c r="D23" s="36"/>
      <c r="E23" s="36"/>
      <c r="F23" s="36"/>
      <c r="G23" s="36"/>
      <c r="H23" s="36"/>
      <c r="I23" s="36"/>
      <c r="J23" s="36"/>
      <c r="K23" s="36"/>
      <c r="L23" s="38" t="n">
        <f aca="false">1*315</f>
        <v>315</v>
      </c>
      <c r="M23" s="38" t="n">
        <f aca="false">1*485</f>
        <v>485</v>
      </c>
      <c r="N23" s="42" t="n">
        <f aca="false">L23+M23</f>
        <v>800</v>
      </c>
      <c r="O23" s="36"/>
      <c r="P23" s="36"/>
      <c r="Q23" s="36"/>
      <c r="R23" s="36"/>
      <c r="S23" s="36"/>
      <c r="T23" s="36"/>
    </row>
    <row r="24" customFormat="false" ht="14.25" hidden="false" customHeight="false" outlineLevel="0" collapsed="false">
      <c r="A24" s="44" t="s">
        <v>115</v>
      </c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1" t="n">
        <f aca="false">SUM(N20:N23)</f>
        <v>9241.20215099</v>
      </c>
      <c r="O24" s="36"/>
      <c r="P24" s="36"/>
      <c r="Q24" s="36"/>
      <c r="R24" s="36"/>
      <c r="S24" s="36"/>
      <c r="T24" s="41" t="n">
        <f aca="false">SUM(T20:T23)</f>
        <v>0</v>
      </c>
    </row>
    <row r="25" customFormat="false" ht="14.25" hidden="false" customHeight="false" outlineLevel="0" collapsed="false">
      <c r="A25" s="44" t="s">
        <v>115</v>
      </c>
      <c r="B25" s="36"/>
      <c r="C25" s="36"/>
      <c r="D25" s="36"/>
      <c r="E25" s="36"/>
      <c r="F25" s="36"/>
      <c r="G25" s="42" t="n">
        <f aca="false">N24+T24</f>
        <v>9241.20215099</v>
      </c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</row>
    <row r="26" customFormat="false" ht="14.25" hidden="false" customHeight="false" outlineLevel="0" collapsed="false">
      <c r="A26" s="29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</row>
    <row r="27" customFormat="false" ht="14.25" hidden="false" customHeight="false" outlineLevel="0" collapsed="false">
      <c r="A27" s="29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</row>
    <row r="28" customFormat="false" ht="14.25" hidden="false" customHeight="false" outlineLevel="0" collapsed="false">
      <c r="A28" s="29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</row>
    <row r="29" customFormat="false" ht="14.25" hidden="false" customHeight="false" outlineLevel="0" collapsed="false">
      <c r="A29" s="29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</row>
    <row r="30" customFormat="false" ht="14.25" hidden="false" customHeight="false" outlineLevel="0" collapsed="false">
      <c r="A30" s="29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</row>
    <row r="31" customFormat="false" ht="14.25" hidden="false" customHeight="false" outlineLevel="0" collapsed="false">
      <c r="A31" s="29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</row>
    <row r="32" customFormat="false" ht="14.25" hidden="false" customHeight="false" outlineLevel="0" collapsed="false">
      <c r="A32" s="29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</row>
    <row r="33" customFormat="false" ht="14.25" hidden="false" customHeight="false" outlineLevel="0" collapsed="false">
      <c r="A33" s="29"/>
      <c r="B33" s="30"/>
      <c r="C33" s="30"/>
      <c r="D33" s="30"/>
      <c r="E33" s="36" t="s">
        <v>116</v>
      </c>
      <c r="F33" s="36" t="n">
        <v>25</v>
      </c>
      <c r="G33" s="13" t="s">
        <v>117</v>
      </c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</row>
    <row r="34" customFormat="false" ht="14.25" hidden="false" customHeight="false" outlineLevel="0" collapsed="false">
      <c r="A34" s="29"/>
      <c r="B34" s="30"/>
      <c r="C34" s="30"/>
      <c r="D34" s="30"/>
      <c r="E34" s="36" t="s">
        <v>118</v>
      </c>
      <c r="F34" s="36" t="n">
        <f aca="false">15*1</f>
        <v>15</v>
      </c>
      <c r="G34" s="36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</row>
    <row r="35" customFormat="false" ht="14.25" hidden="false" customHeight="false" outlineLevel="0" collapsed="false">
      <c r="A35" s="29"/>
      <c r="B35" s="30"/>
      <c r="C35" s="30"/>
      <c r="D35" s="30"/>
      <c r="E35" s="36" t="s">
        <v>119</v>
      </c>
      <c r="F35" s="40" t="n">
        <f aca="false">$F$21</f>
        <v>113.02095</v>
      </c>
      <c r="G35" s="36" t="s">
        <v>120</v>
      </c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</row>
    <row r="36" customFormat="false" ht="14.25" hidden="false" customHeight="false" outlineLevel="0" collapsed="false">
      <c r="A36" s="29"/>
      <c r="B36" s="30"/>
      <c r="C36" s="30"/>
      <c r="D36" s="30"/>
      <c r="E36" s="36" t="s">
        <v>121</v>
      </c>
      <c r="F36" s="40" t="n">
        <f aca="false">3.28084 * 2.7</f>
        <v>8.858268</v>
      </c>
      <c r="G36" s="36" t="s">
        <v>122</v>
      </c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</row>
    <row r="37" customFormat="false" ht="14.25" hidden="false" customHeight="false" outlineLevel="0" collapsed="false">
      <c r="A37" s="29"/>
      <c r="B37" s="30"/>
      <c r="C37" s="30"/>
      <c r="D37" s="30"/>
      <c r="E37" s="36" t="s">
        <v>123</v>
      </c>
      <c r="F37" s="41" t="n">
        <f aca="false">F35*F36</f>
        <v>1001.1698647146</v>
      </c>
      <c r="G37" s="36" t="s">
        <v>124</v>
      </c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</row>
    <row r="38" customFormat="false" ht="14.25" hidden="false" customHeight="false" outlineLevel="0" collapsed="false">
      <c r="A38" s="29"/>
      <c r="B38" s="30"/>
      <c r="C38" s="30"/>
      <c r="D38" s="30"/>
      <c r="E38" s="36" t="s">
        <v>125</v>
      </c>
      <c r="F38" s="48" t="n">
        <f aca="false">F37/30</f>
        <v>33.37232882382</v>
      </c>
      <c r="G38" s="36" t="s">
        <v>126</v>
      </c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</row>
    <row r="39" customFormat="false" ht="14.25" hidden="false" customHeight="false" outlineLevel="0" collapsed="false">
      <c r="A39" s="29"/>
      <c r="B39" s="30"/>
      <c r="C39" s="30"/>
      <c r="D39" s="30"/>
      <c r="E39" s="36" t="s">
        <v>127</v>
      </c>
      <c r="F39" s="42" t="n">
        <f aca="false">SUM($L$5:$L$28)</f>
        <v>8756.20215099</v>
      </c>
      <c r="G39" s="36" t="s">
        <v>128</v>
      </c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</row>
    <row r="40" customFormat="false" ht="14.25" hidden="false" customHeight="false" outlineLevel="0" collapsed="false">
      <c r="A40" s="29"/>
      <c r="B40" s="30"/>
      <c r="C40" s="30"/>
      <c r="D40" s="30"/>
      <c r="E40" s="36" t="s">
        <v>129</v>
      </c>
      <c r="F40" s="41" t="n">
        <f aca="false">SUM($M$5:$M$28)</f>
        <v>485</v>
      </c>
      <c r="G40" s="36" t="s">
        <v>128</v>
      </c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</row>
    <row r="41" customFormat="false" ht="14.25" hidden="false" customHeight="false" outlineLevel="0" collapsed="false">
      <c r="A41" s="29"/>
      <c r="B41" s="30"/>
      <c r="C41" s="30"/>
      <c r="D41" s="30"/>
      <c r="E41" s="36" t="s">
        <v>130</v>
      </c>
      <c r="F41" s="42" t="n">
        <f aca="false">$N$24</f>
        <v>9241.20215099</v>
      </c>
      <c r="G41" s="36" t="s">
        <v>128</v>
      </c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</row>
    <row r="42" customFormat="false" ht="14.25" hidden="false" customHeight="false" outlineLevel="0" collapsed="false">
      <c r="A42" s="29"/>
      <c r="B42" s="30"/>
      <c r="C42" s="30"/>
      <c r="D42" s="30"/>
      <c r="E42" s="36" t="s">
        <v>131</v>
      </c>
      <c r="F42" s="42" t="n">
        <f aca="false">$T$29</f>
        <v>0</v>
      </c>
      <c r="G42" s="36" t="s">
        <v>128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</row>
    <row r="43" customFormat="false" ht="14.25" hidden="false" customHeight="false" outlineLevel="0" collapsed="false">
      <c r="A43" s="29"/>
      <c r="B43" s="30"/>
      <c r="C43" s="30"/>
      <c r="D43" s="30"/>
      <c r="E43" s="36" t="s">
        <v>132</v>
      </c>
      <c r="F43" s="48" t="n">
        <f aca="false">F39/(1.08*F33)</f>
        <v>324.30378337</v>
      </c>
      <c r="G43" s="36" t="s">
        <v>126</v>
      </c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</row>
    <row r="44" customFormat="false" ht="14.25" hidden="false" customHeight="false" outlineLevel="0" collapsed="false">
      <c r="A44" s="29"/>
      <c r="B44" s="30"/>
      <c r="C44" s="30"/>
      <c r="D44" s="30"/>
      <c r="E44" s="36" t="s">
        <v>126</v>
      </c>
      <c r="F44" s="49" t="n">
        <f aca="false">ROUNDUP(F43,0)</f>
        <v>325</v>
      </c>
      <c r="G44" s="36" t="s">
        <v>126</v>
      </c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</row>
    <row r="45" customFormat="false" ht="14.25" hidden="false" customHeight="false" outlineLevel="0" collapsed="false">
      <c r="A45" s="29"/>
      <c r="B45" s="30"/>
      <c r="C45" s="30"/>
      <c r="D45" s="30"/>
      <c r="E45" s="36" t="s">
        <v>133</v>
      </c>
      <c r="F45" s="42" t="n">
        <f aca="false">F44*0.0002930711</f>
        <v>0.0952481075</v>
      </c>
      <c r="G45" s="36" t="s">
        <v>134</v>
      </c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</row>
    <row r="46" customFormat="false" ht="14.25" hidden="false" customHeight="false" outlineLevel="0" collapsed="false">
      <c r="A46" s="29"/>
      <c r="B46" s="30"/>
      <c r="C46" s="30"/>
      <c r="D46" s="30"/>
      <c r="E46" s="36" t="s">
        <v>135</v>
      </c>
      <c r="F46" s="42" t="n">
        <f aca="false">F39/F41</f>
        <v>0.947517650617778</v>
      </c>
      <c r="G46" s="36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</row>
    <row r="47" customFormat="false" ht="14.2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4.2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4.2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4.2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4.2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4.2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4.2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4.2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4.25" hidden="false" customHeight="fals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4.2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25:T25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9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9.78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188</v>
      </c>
      <c r="B2" s="35"/>
      <c r="C2" s="35" t="n">
        <v>4003</v>
      </c>
      <c r="D2" s="35"/>
      <c r="E2" s="35" t="s">
        <v>79</v>
      </c>
      <c r="F2" s="35" t="s">
        <v>189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190</v>
      </c>
      <c r="B5" s="38" t="n">
        <v>6</v>
      </c>
      <c r="C5" s="60" t="s">
        <v>175</v>
      </c>
      <c r="D5" s="38" t="s">
        <v>99</v>
      </c>
      <c r="E5" s="38" t="s">
        <v>191</v>
      </c>
      <c r="F5" s="40" t="n">
        <f aca="false">10.7639 *(11.1*3.34)</f>
        <v>399.0608286</v>
      </c>
      <c r="G5" s="36" t="n">
        <v>78</v>
      </c>
      <c r="H5" s="38" t="n">
        <v>105</v>
      </c>
      <c r="I5" s="41" t="n">
        <f aca="false">H5-G5</f>
        <v>27</v>
      </c>
      <c r="J5" s="38" t="n">
        <v>0.158</v>
      </c>
      <c r="K5" s="38" t="str">
        <f aca="false">_xlfn.UNICHAR(8596)</f>
        <v>↔</v>
      </c>
      <c r="L5" s="42" t="n">
        <f aca="false">F5*I5*J5</f>
        <v>1702.3934948076</v>
      </c>
      <c r="M5" s="41"/>
      <c r="N5" s="42" t="n">
        <f aca="false">L5+M5</f>
        <v>1702.3934948076</v>
      </c>
      <c r="O5" s="38" t="n">
        <v>70</v>
      </c>
      <c r="P5" s="38" t="n">
        <v>70</v>
      </c>
      <c r="Q5" s="41" t="n">
        <f aca="false">O5-P5</f>
        <v>0</v>
      </c>
      <c r="R5" s="41" t="n">
        <f aca="false">J5</f>
        <v>0.158</v>
      </c>
      <c r="S5" s="41" t="str">
        <f aca="false">K5</f>
        <v>↔</v>
      </c>
      <c r="T5" s="43" t="n">
        <f aca="false">F5*Q5*R5</f>
        <v>0</v>
      </c>
    </row>
    <row r="6" customFormat="false" ht="13.8" hidden="false" customHeight="false" outlineLevel="0" collapsed="false">
      <c r="A6" s="37" t="s">
        <v>192</v>
      </c>
      <c r="B6" s="38" t="n">
        <v>6</v>
      </c>
      <c r="C6" s="60" t="s">
        <v>175</v>
      </c>
      <c r="D6" s="38" t="s">
        <v>99</v>
      </c>
      <c r="E6" s="38" t="s">
        <v>193</v>
      </c>
      <c r="F6" s="40" t="n">
        <f aca="false">10.7639 *(5.9*3.34)</f>
        <v>212.1134134</v>
      </c>
      <c r="G6" s="36" t="n">
        <v>78</v>
      </c>
      <c r="H6" s="38" t="n">
        <v>105</v>
      </c>
      <c r="I6" s="41" t="n">
        <f aca="false">H6-G6</f>
        <v>27</v>
      </c>
      <c r="J6" s="38" t="n">
        <v>0.158</v>
      </c>
      <c r="K6" s="38" t="str">
        <f aca="false">_xlfn.UNICHAR(8596)</f>
        <v>↔</v>
      </c>
      <c r="L6" s="42" t="n">
        <f aca="false">F6*I6*J6</f>
        <v>904.8758215644</v>
      </c>
      <c r="M6" s="41"/>
      <c r="N6" s="42" t="n">
        <f aca="false">L6+M6</f>
        <v>904.8758215644</v>
      </c>
      <c r="O6" s="38" t="n">
        <v>70</v>
      </c>
      <c r="P6" s="38" t="n">
        <v>70</v>
      </c>
      <c r="Q6" s="41" t="n">
        <f aca="false">O6-P6</f>
        <v>0</v>
      </c>
      <c r="R6" s="41" t="n">
        <f aca="false">J6</f>
        <v>0.158</v>
      </c>
      <c r="S6" s="41" t="str">
        <f aca="false">K6</f>
        <v>↔</v>
      </c>
      <c r="T6" s="42" t="n">
        <f aca="false">F6*Q6*R6</f>
        <v>0</v>
      </c>
    </row>
    <row r="7" customFormat="false" ht="13.8" hidden="false" customHeight="false" outlineLevel="0" collapsed="false">
      <c r="A7" s="37" t="s">
        <v>194</v>
      </c>
      <c r="B7" s="38" t="n">
        <v>6</v>
      </c>
      <c r="C7" s="60" t="s">
        <v>175</v>
      </c>
      <c r="D7" s="61" t="s">
        <v>99</v>
      </c>
      <c r="E7" s="38" t="s">
        <v>195</v>
      </c>
      <c r="F7" s="40" t="n">
        <f aca="false">10.7639 *((4.9+3.1)*3.34)</f>
        <v>287.611408</v>
      </c>
      <c r="G7" s="36" t="n">
        <v>78</v>
      </c>
      <c r="H7" s="38" t="n">
        <v>105</v>
      </c>
      <c r="I7" s="41" t="n">
        <f aca="false">H7-G7</f>
        <v>27</v>
      </c>
      <c r="J7" s="38" t="n">
        <v>0.158</v>
      </c>
      <c r="K7" s="38" t="str">
        <f aca="false">_xlfn.UNICHAR(8596)</f>
        <v>↔</v>
      </c>
      <c r="L7" s="42" t="n">
        <f aca="false">F7*I7*J7</f>
        <v>1226.950266528</v>
      </c>
      <c r="M7" s="41"/>
      <c r="N7" s="42" t="n">
        <f aca="false">L7+M7</f>
        <v>1226.950266528</v>
      </c>
      <c r="O7" s="38" t="n">
        <v>70</v>
      </c>
      <c r="P7" s="38" t="n">
        <v>70</v>
      </c>
      <c r="Q7" s="41" t="n">
        <f aca="false">O7-P7</f>
        <v>0</v>
      </c>
      <c r="R7" s="41" t="n">
        <f aca="false">J7</f>
        <v>0.158</v>
      </c>
      <c r="S7" s="41" t="str">
        <f aca="false">K7</f>
        <v>↔</v>
      </c>
      <c r="T7" s="43" t="n">
        <f aca="false">F7*Q7*R7</f>
        <v>0</v>
      </c>
    </row>
    <row r="8" customFormat="false" ht="13.8" hidden="false" customHeight="false" outlineLevel="0" collapsed="false">
      <c r="A8" s="37" t="s">
        <v>180</v>
      </c>
      <c r="B8" s="38" t="n">
        <v>6</v>
      </c>
      <c r="C8" s="60" t="s">
        <v>175</v>
      </c>
      <c r="D8" s="38" t="s">
        <v>99</v>
      </c>
      <c r="E8" s="38" t="s">
        <v>195</v>
      </c>
      <c r="F8" s="40" t="n">
        <f aca="false">10.7639 *(2.1*3.34)</f>
        <v>75.4979946</v>
      </c>
      <c r="G8" s="36" t="n">
        <v>78</v>
      </c>
      <c r="H8" s="38" t="n">
        <v>85</v>
      </c>
      <c r="I8" s="41" t="n">
        <f aca="false">H8-G8</f>
        <v>7</v>
      </c>
      <c r="J8" s="38" t="n">
        <v>0.158</v>
      </c>
      <c r="K8" s="38" t="str">
        <f aca="false">_xlfn.UNICHAR(8596)</f>
        <v>↔</v>
      </c>
      <c r="L8" s="42" t="n">
        <f aca="false">F8*I8*J8</f>
        <v>83.5007820276</v>
      </c>
      <c r="M8" s="41"/>
      <c r="N8" s="42" t="n">
        <f aca="false">L8+M8</f>
        <v>83.5007820276</v>
      </c>
      <c r="O8" s="38" t="n">
        <v>70</v>
      </c>
      <c r="P8" s="38" t="n">
        <v>70</v>
      </c>
      <c r="Q8" s="41" t="n">
        <f aca="false">O8-P8</f>
        <v>0</v>
      </c>
      <c r="R8" s="41" t="n">
        <f aca="false">J8</f>
        <v>0.158</v>
      </c>
      <c r="S8" s="41" t="str">
        <f aca="false">K8</f>
        <v>↔</v>
      </c>
      <c r="T8" s="43" t="n">
        <f aca="false">F8*Q8*R8</f>
        <v>0</v>
      </c>
    </row>
    <row r="9" customFormat="false" ht="13.8" hidden="false" customHeight="false" outlineLevel="0" collapsed="false">
      <c r="A9" s="37" t="s">
        <v>101</v>
      </c>
      <c r="B9" s="38" t="n">
        <v>6</v>
      </c>
      <c r="C9" s="60" t="s">
        <v>104</v>
      </c>
      <c r="D9" s="38" t="s">
        <v>99</v>
      </c>
      <c r="E9" s="38" t="s">
        <v>196</v>
      </c>
      <c r="F9" s="40" t="n">
        <f aca="false">10.7639 *(1*3.34)</f>
        <v>35.951426</v>
      </c>
      <c r="G9" s="36" t="n">
        <v>78</v>
      </c>
      <c r="H9" s="38" t="n">
        <v>78</v>
      </c>
      <c r="I9" s="41" t="n">
        <f aca="false">H9-G9</f>
        <v>0</v>
      </c>
      <c r="J9" s="38" t="n">
        <v>0.313</v>
      </c>
      <c r="K9" s="38" t="str">
        <f aca="false">_xlfn.UNICHAR(8596)</f>
        <v>↔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41" t="n">
        <f aca="false">J9</f>
        <v>0.313</v>
      </c>
      <c r="S9" s="41" t="str">
        <f aca="false">K9</f>
        <v>↔</v>
      </c>
      <c r="T9" s="43" t="n">
        <f aca="false">F9*Q9*R9</f>
        <v>0</v>
      </c>
    </row>
    <row r="10" customFormat="false" ht="13.8" hidden="false" customHeight="false" outlineLevel="0" collapsed="false">
      <c r="A10" s="37" t="s">
        <v>78</v>
      </c>
      <c r="B10" s="38" t="n">
        <v>6</v>
      </c>
      <c r="C10" s="60" t="s">
        <v>104</v>
      </c>
      <c r="D10" s="38" t="s">
        <v>99</v>
      </c>
      <c r="E10" s="38"/>
      <c r="F10" s="40" t="n">
        <v>0</v>
      </c>
      <c r="G10" s="36" t="n">
        <v>78</v>
      </c>
      <c r="H10" s="38" t="n">
        <v>78</v>
      </c>
      <c r="I10" s="41" t="n">
        <f aca="false">H10-G10</f>
        <v>0</v>
      </c>
      <c r="J10" s="38" t="n">
        <v>0.313</v>
      </c>
      <c r="K10" s="38" t="str">
        <f aca="false">_xlfn.UNICHAR(8596)</f>
        <v>↔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41" t="n">
        <f aca="false">J10</f>
        <v>0.313</v>
      </c>
      <c r="S10" s="41" t="str">
        <f aca="false">K10</f>
        <v>↔</v>
      </c>
      <c r="T10" s="43" t="n">
        <f aca="false">F10*Q10*R10</f>
        <v>0</v>
      </c>
    </row>
    <row r="11" customFormat="false" ht="13.8" hidden="false" customHeight="false" outlineLevel="0" collapsed="false">
      <c r="A11" s="45" t="s">
        <v>108</v>
      </c>
      <c r="B11" s="38" t="n">
        <v>3</v>
      </c>
      <c r="C11" s="60" t="s">
        <v>175</v>
      </c>
      <c r="D11" s="38" t="s">
        <v>99</v>
      </c>
      <c r="E11" s="38" t="s">
        <v>197</v>
      </c>
      <c r="F11" s="40" t="n">
        <f aca="false">10.7639 *((1.3*1)+(2.2*1))</f>
        <v>37.67365</v>
      </c>
      <c r="G11" s="36" t="n">
        <v>78</v>
      </c>
      <c r="H11" s="38" t="n">
        <v>95</v>
      </c>
      <c r="I11" s="41" t="n">
        <f aca="false">H11-G11</f>
        <v>17</v>
      </c>
      <c r="J11" s="38" t="n">
        <v>0.158</v>
      </c>
      <c r="K11" s="38" t="str">
        <f aca="false">_xlfn.UNICHAR(8596)</f>
        <v>↔</v>
      </c>
      <c r="L11" s="42" t="n">
        <f aca="false">F11*I11*J11</f>
        <v>101.1914239</v>
      </c>
      <c r="M11" s="36"/>
      <c r="N11" s="42" t="n">
        <f aca="false">L11+M11</f>
        <v>101.1914239</v>
      </c>
      <c r="O11" s="38" t="n">
        <v>70</v>
      </c>
      <c r="P11" s="38" t="n">
        <v>70</v>
      </c>
      <c r="Q11" s="41" t="n">
        <f aca="false">O11-P11</f>
        <v>0</v>
      </c>
      <c r="R11" s="41" t="n">
        <f aca="false">J11</f>
        <v>0.158</v>
      </c>
      <c r="S11" s="41" t="str">
        <f aca="false">K11</f>
        <v>↔</v>
      </c>
      <c r="T11" s="43" t="n">
        <f aca="false">F11*Q11*R11</f>
        <v>0</v>
      </c>
    </row>
    <row r="12" customFormat="false" ht="13.8" hidden="false" customHeight="false" outlineLevel="0" collapsed="false">
      <c r="A12" s="45" t="s">
        <v>108</v>
      </c>
      <c r="B12" s="38" t="n">
        <v>1</v>
      </c>
      <c r="C12" s="60" t="s">
        <v>98</v>
      </c>
      <c r="D12" s="38" t="s">
        <v>90</v>
      </c>
      <c r="E12" s="38"/>
      <c r="F12" s="40" t="n">
        <f aca="false">10.7639 *(52.6492-4.3704)</f>
        <v>519.66817532</v>
      </c>
      <c r="G12" s="36" t="n">
        <v>78</v>
      </c>
      <c r="H12" s="38" t="n">
        <v>95</v>
      </c>
      <c r="I12" s="41" t="n">
        <f aca="false">H12-G12</f>
        <v>17</v>
      </c>
      <c r="J12" s="38" t="n">
        <v>1.491</v>
      </c>
      <c r="K12" s="38" t="str">
        <f aca="false">_xlfn.UNICHAR(8593)</f>
        <v>↑</v>
      </c>
      <c r="L12" s="42" t="n">
        <f aca="false">F12*I12*J12</f>
        <v>13172.029239836</v>
      </c>
      <c r="M12" s="36"/>
      <c r="N12" s="42" t="n">
        <f aca="false">L12+M12</f>
        <v>13172.029239836</v>
      </c>
      <c r="O12" s="38" t="n">
        <v>70</v>
      </c>
      <c r="P12" s="38" t="n">
        <v>70</v>
      </c>
      <c r="Q12" s="41" t="n">
        <f aca="false">O12-P12</f>
        <v>0</v>
      </c>
      <c r="R12" s="41" t="n">
        <f aca="false">J12</f>
        <v>1.491</v>
      </c>
      <c r="S12" s="41" t="str">
        <f aca="false">K12</f>
        <v>↑</v>
      </c>
      <c r="T12" s="43" t="n">
        <f aca="false">F12*Q12*R12</f>
        <v>0</v>
      </c>
    </row>
    <row r="13" customFormat="false" ht="13.8" hidden="false" customHeight="false" outlineLevel="0" collapsed="false">
      <c r="A13" s="45" t="s">
        <v>198</v>
      </c>
      <c r="B13" s="38" t="n">
        <v>2</v>
      </c>
      <c r="C13" s="60" t="s">
        <v>98</v>
      </c>
      <c r="D13" s="38" t="s">
        <v>106</v>
      </c>
      <c r="E13" s="38"/>
      <c r="F13" s="40" t="n">
        <f aca="false">10.7639 *(5.9247)</f>
        <v>63.77287833</v>
      </c>
      <c r="G13" s="36" t="n">
        <v>78</v>
      </c>
      <c r="H13" s="38" t="n">
        <v>120</v>
      </c>
      <c r="I13" s="41" t="n">
        <f aca="false">H13-G13</f>
        <v>42</v>
      </c>
      <c r="J13" s="38" t="n">
        <v>0.801</v>
      </c>
      <c r="K13" s="38" t="str">
        <f aca="false">_xlfn.UNICHAR(8595)</f>
        <v>↓</v>
      </c>
      <c r="L13" s="42" t="n">
        <f aca="false">F13*I13*J13</f>
        <v>2145.44717277786</v>
      </c>
      <c r="M13" s="36"/>
      <c r="N13" s="42" t="n">
        <f aca="false">L13+M13</f>
        <v>2145.44717277786</v>
      </c>
      <c r="O13" s="38" t="n">
        <v>70</v>
      </c>
      <c r="P13" s="38" t="n">
        <v>70</v>
      </c>
      <c r="Q13" s="41" t="n">
        <f aca="false">O13-P13</f>
        <v>0</v>
      </c>
      <c r="R13" s="41" t="n">
        <f aca="false">J13</f>
        <v>0.801</v>
      </c>
      <c r="S13" s="41" t="str">
        <f aca="false">K13</f>
        <v>↓</v>
      </c>
      <c r="T13" s="43" t="n">
        <f aca="false">F13*Q13*R13</f>
        <v>0</v>
      </c>
    </row>
    <row r="14" customFormat="false" ht="13.8" hidden="false" customHeight="false" outlineLevel="0" collapsed="false">
      <c r="A14" s="45" t="s">
        <v>199</v>
      </c>
      <c r="B14" s="38" t="n">
        <v>2</v>
      </c>
      <c r="C14" s="60" t="s">
        <v>98</v>
      </c>
      <c r="D14" s="38" t="s">
        <v>106</v>
      </c>
      <c r="E14" s="36"/>
      <c r="F14" s="40" t="n">
        <f aca="false">10.7639 *(19.2478)</f>
        <v>207.18139442</v>
      </c>
      <c r="G14" s="36" t="n">
        <v>78</v>
      </c>
      <c r="H14" s="38" t="n">
        <v>120</v>
      </c>
      <c r="I14" s="41" t="n">
        <f aca="false">H14-G14</f>
        <v>42</v>
      </c>
      <c r="J14" s="38" t="n">
        <v>0.801</v>
      </c>
      <c r="K14" s="38" t="str">
        <f aca="false">_xlfn.UNICHAR(8595)</f>
        <v>↓</v>
      </c>
      <c r="L14" s="42" t="n">
        <f aca="false">F14*I14*J14</f>
        <v>6969.99647107764</v>
      </c>
      <c r="M14" s="36"/>
      <c r="N14" s="42" t="n">
        <f aca="false">L14+M14</f>
        <v>6969.99647107764</v>
      </c>
      <c r="O14" s="38" t="n">
        <v>70</v>
      </c>
      <c r="P14" s="38" t="n">
        <v>70</v>
      </c>
      <c r="Q14" s="41" t="n">
        <f aca="false">O14-P14</f>
        <v>0</v>
      </c>
      <c r="R14" s="41" t="n">
        <f aca="false">J14</f>
        <v>0.801</v>
      </c>
      <c r="S14" s="41" t="str">
        <f aca="false">K14</f>
        <v>↓</v>
      </c>
      <c r="T14" s="43" t="n">
        <f aca="false">F14*Q14*R14</f>
        <v>0</v>
      </c>
    </row>
    <row r="15" customFormat="false" ht="13.8" hidden="false" customHeight="false" outlineLevel="0" collapsed="false">
      <c r="A15" s="45" t="s">
        <v>200</v>
      </c>
      <c r="B15" s="38" t="n">
        <v>2</v>
      </c>
      <c r="C15" s="60" t="s">
        <v>98</v>
      </c>
      <c r="D15" s="38" t="s">
        <v>106</v>
      </c>
      <c r="E15" s="36"/>
      <c r="F15" s="40" t="n">
        <f aca="false">10.7639 *(23.0567)</f>
        <v>248.18001313</v>
      </c>
      <c r="G15" s="36" t="n">
        <v>78</v>
      </c>
      <c r="H15" s="38" t="n">
        <v>120</v>
      </c>
      <c r="I15" s="41" t="n">
        <f aca="false">H15-G15</f>
        <v>42</v>
      </c>
      <c r="J15" s="38" t="n">
        <v>0.801</v>
      </c>
      <c r="K15" s="38" t="str">
        <f aca="false">_xlfn.UNICHAR(8595)</f>
        <v>↓</v>
      </c>
      <c r="L15" s="42" t="n">
        <f aca="false">F15*I15*J15</f>
        <v>8349.27200171946</v>
      </c>
      <c r="M15" s="36"/>
      <c r="N15" s="42" t="n">
        <f aca="false">L15+M15</f>
        <v>8349.27200171946</v>
      </c>
      <c r="O15" s="38" t="n">
        <v>70</v>
      </c>
      <c r="P15" s="38" t="n">
        <v>70</v>
      </c>
      <c r="Q15" s="41" t="n">
        <f aca="false">O15-P15</f>
        <v>0</v>
      </c>
      <c r="R15" s="41" t="n">
        <f aca="false">J15</f>
        <v>0.801</v>
      </c>
      <c r="S15" s="41" t="str">
        <f aca="false">K15</f>
        <v>↓</v>
      </c>
      <c r="T15" s="43" t="n">
        <f aca="false">F15*Q15*R15</f>
        <v>0</v>
      </c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41"/>
      <c r="S16" s="41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34655.6566742386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(0.6*0.5))*0</f>
        <v>0</v>
      </c>
      <c r="G20" s="36"/>
      <c r="H20" s="36"/>
      <c r="I20" s="41"/>
      <c r="J20" s="36"/>
      <c r="K20" s="36"/>
      <c r="L20" s="38" t="n">
        <f aca="false">F20*160</f>
        <v>0</v>
      </c>
      <c r="M20" s="36"/>
      <c r="N20" s="42" t="n">
        <f aca="false">L20</f>
        <v>0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*(52.6492-4.3704)</f>
        <v>519.66817532</v>
      </c>
      <c r="G21" s="36"/>
      <c r="H21" s="36"/>
      <c r="I21" s="36"/>
      <c r="J21" s="36"/>
      <c r="K21" s="36"/>
      <c r="L21" s="40" t="n">
        <f aca="false">F21*12</f>
        <v>6236.01810384</v>
      </c>
      <c r="M21" s="36"/>
      <c r="N21" s="42" t="n">
        <f aca="false">L21+M21</f>
        <v>6236.01810384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8"/>
      <c r="M22" s="36"/>
      <c r="N22" s="42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8"/>
      <c r="M23" s="36"/>
      <c r="N23" s="42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8"/>
      <c r="M24" s="36"/>
      <c r="N24" s="42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8"/>
      <c r="M25" s="36"/>
      <c r="N25" s="42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2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41691.6747780786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41691.6747780786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519.66817532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4603.35996805555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153.445332268518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41206.6747780786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41691.6747780786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1526.17313992884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1527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0.4475195697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0.9883669820754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29" width="35.5"/>
    <col collapsed="false" customWidth="true" hidden="false" outlineLevel="0" max="2" min="2" style="30" width="11.85"/>
    <col collapsed="false" customWidth="true" hidden="false" outlineLevel="0" max="3" min="3" style="30" width="25.2"/>
    <col collapsed="false" customWidth="true" hidden="false" outlineLevel="0" max="4" min="4" style="30" width="12.83"/>
    <col collapsed="false" customWidth="true" hidden="false" outlineLevel="0" max="5" min="5" style="30" width="25.63"/>
    <col collapsed="false" customWidth="true" hidden="false" outlineLevel="0" max="6" min="6" style="30" width="18.68"/>
    <col collapsed="false" customWidth="true" hidden="false" outlineLevel="0" max="7" min="7" style="30" width="6.43"/>
    <col collapsed="false" customWidth="true" hidden="false" outlineLevel="0" max="8" min="8" style="30" width="4.38"/>
    <col collapsed="false" customWidth="true" hidden="false" outlineLevel="0" max="9" min="9" style="30" width="3.94"/>
    <col collapsed="false" customWidth="true" hidden="false" outlineLevel="0" max="10" min="10" style="30" width="7.52"/>
    <col collapsed="false" customWidth="true" hidden="false" outlineLevel="0" max="11" min="11" style="30" width="4.81"/>
    <col collapsed="false" customWidth="true" hidden="false" outlineLevel="0" max="12" min="12" style="30" width="8.82"/>
    <col collapsed="false" customWidth="true" hidden="false" outlineLevel="0" max="13" min="13" style="30" width="5.35"/>
    <col collapsed="false" customWidth="true" hidden="false" outlineLevel="0" max="14" min="14" style="30" width="9.79"/>
    <col collapsed="false" customWidth="true" hidden="false" outlineLevel="0" max="15" min="15" style="30" width="3.4"/>
    <col collapsed="false" customWidth="true" hidden="false" outlineLevel="0" max="16" min="16" style="30" width="3.72"/>
    <col collapsed="false" customWidth="true" hidden="false" outlineLevel="0" max="17" min="17" style="30" width="3.94"/>
    <col collapsed="false" customWidth="true" hidden="false" outlineLevel="0" max="18" min="18" style="30" width="7.52"/>
    <col collapsed="false" customWidth="true" hidden="false" outlineLevel="0" max="19" min="19" style="30" width="4.81"/>
    <col collapsed="false" customWidth="true" hidden="false" outlineLevel="0" max="20" min="20" style="30" width="5.89"/>
    <col collapsed="false" customWidth="false" hidden="false" outlineLevel="0" max="16384" min="21" style="31" width="11.53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202</v>
      </c>
      <c r="B2" s="35"/>
      <c r="C2" s="35" t="n">
        <v>4004</v>
      </c>
      <c r="D2" s="35"/>
      <c r="E2" s="35" t="s">
        <v>79</v>
      </c>
      <c r="F2" s="35" t="s">
        <v>203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204</v>
      </c>
      <c r="B5" s="38" t="n">
        <v>3</v>
      </c>
      <c r="C5" s="39" t="s">
        <v>205</v>
      </c>
      <c r="D5" s="38" t="s">
        <v>99</v>
      </c>
      <c r="E5" s="38" t="s">
        <v>206</v>
      </c>
      <c r="F5" s="40" t="n">
        <f aca="false">10.7639 *(11.1*3.34)</f>
        <v>399.0608286</v>
      </c>
      <c r="G5" s="36" t="n">
        <v>78</v>
      </c>
      <c r="H5" s="38" t="n">
        <v>120</v>
      </c>
      <c r="I5" s="41" t="n">
        <f aca="false">H5-G5</f>
        <v>42</v>
      </c>
      <c r="J5" s="38" t="n">
        <v>0.063</v>
      </c>
      <c r="K5" s="38" t="str">
        <f aca="false">_xlfn.UNICHAR(8596)</f>
        <v>↔</v>
      </c>
      <c r="L5" s="42" t="n">
        <f aca="false">F5*I5*J5</f>
        <v>1055.9149524756</v>
      </c>
      <c r="M5" s="41"/>
      <c r="N5" s="42" t="n">
        <f aca="false">L5+M5</f>
        <v>1055.9149524756</v>
      </c>
      <c r="O5" s="38" t="n">
        <v>70</v>
      </c>
      <c r="P5" s="38" t="n">
        <v>70</v>
      </c>
      <c r="Q5" s="41" t="n">
        <f aca="false">O5-P5</f>
        <v>0</v>
      </c>
      <c r="R5" s="41" t="n">
        <f aca="false">J5</f>
        <v>0.063</v>
      </c>
      <c r="S5" s="41" t="str">
        <f aca="false">K5</f>
        <v>↔</v>
      </c>
      <c r="T5" s="43" t="n">
        <f aca="false">F5*Q5*R5</f>
        <v>0</v>
      </c>
    </row>
    <row r="6" customFormat="false" ht="13.8" hidden="false" customHeight="false" outlineLevel="0" collapsed="false">
      <c r="A6" s="37" t="s">
        <v>207</v>
      </c>
      <c r="B6" s="38" t="n">
        <v>6</v>
      </c>
      <c r="C6" s="60" t="s">
        <v>175</v>
      </c>
      <c r="D6" s="38" t="s">
        <v>99</v>
      </c>
      <c r="E6" s="38" t="s">
        <v>208</v>
      </c>
      <c r="F6" s="40" t="n">
        <f aca="false">10.7639 *(5.9*3.34)</f>
        <v>212.1134134</v>
      </c>
      <c r="G6" s="36" t="n">
        <v>78</v>
      </c>
      <c r="H6" s="38" t="n">
        <v>110</v>
      </c>
      <c r="I6" s="41" t="n">
        <f aca="false">H6-G6</f>
        <v>32</v>
      </c>
      <c r="J6" s="38" t="n">
        <v>0.158</v>
      </c>
      <c r="K6" s="38" t="str">
        <f aca="false">_xlfn.UNICHAR(8596)</f>
        <v>↔</v>
      </c>
      <c r="L6" s="42" t="n">
        <f aca="false">F6*I6*J6</f>
        <v>1072.4454181504</v>
      </c>
      <c r="M6" s="41"/>
      <c r="N6" s="42" t="n">
        <f aca="false">L6+M6</f>
        <v>1072.4454181504</v>
      </c>
      <c r="O6" s="38" t="n">
        <v>70</v>
      </c>
      <c r="P6" s="38" t="n">
        <v>70</v>
      </c>
      <c r="Q6" s="41" t="n">
        <f aca="false">O6-P6</f>
        <v>0</v>
      </c>
      <c r="R6" s="41" t="n">
        <f aca="false">J6</f>
        <v>0.158</v>
      </c>
      <c r="S6" s="41" t="str">
        <f aca="false">K6</f>
        <v>↔</v>
      </c>
      <c r="T6" s="42" t="n">
        <f aca="false">F6*Q6*R6</f>
        <v>0</v>
      </c>
    </row>
    <row r="7" customFormat="false" ht="13.8" hidden="false" customHeight="false" outlineLevel="0" collapsed="false">
      <c r="A7" s="37" t="s">
        <v>178</v>
      </c>
      <c r="B7" s="38" t="n">
        <v>6</v>
      </c>
      <c r="C7" s="60" t="s">
        <v>175</v>
      </c>
      <c r="D7" s="61" t="s">
        <v>99</v>
      </c>
      <c r="E7" s="38" t="s">
        <v>209</v>
      </c>
      <c r="F7" s="40" t="n">
        <f aca="false">10.7639 *((4.9+3.1)*3.34)</f>
        <v>287.611408</v>
      </c>
      <c r="G7" s="36" t="n">
        <v>78</v>
      </c>
      <c r="H7" s="38" t="n">
        <v>130</v>
      </c>
      <c r="I7" s="41" t="n">
        <f aca="false">H7-G7</f>
        <v>52</v>
      </c>
      <c r="J7" s="38" t="n">
        <v>0.158</v>
      </c>
      <c r="K7" s="38" t="str">
        <f aca="false">_xlfn.UNICHAR(8596)</f>
        <v>↔</v>
      </c>
      <c r="L7" s="42" t="n">
        <f aca="false">F7*I7*J7</f>
        <v>2363.015328128</v>
      </c>
      <c r="M7" s="41"/>
      <c r="N7" s="42" t="n">
        <f aca="false">L7+M7</f>
        <v>2363.015328128</v>
      </c>
      <c r="O7" s="38" t="n">
        <v>70</v>
      </c>
      <c r="P7" s="38" t="n">
        <v>70</v>
      </c>
      <c r="Q7" s="41" t="n">
        <f aca="false">O7-P7</f>
        <v>0</v>
      </c>
      <c r="R7" s="41" t="n">
        <f aca="false">J7</f>
        <v>0.158</v>
      </c>
      <c r="S7" s="41" t="str">
        <f aca="false">K7</f>
        <v>↔</v>
      </c>
      <c r="T7" s="43" t="n">
        <f aca="false">F7*Q7*R7</f>
        <v>0</v>
      </c>
    </row>
    <row r="8" customFormat="false" ht="13.8" hidden="false" customHeight="false" outlineLevel="0" collapsed="false">
      <c r="A8" s="37" t="s">
        <v>210</v>
      </c>
      <c r="B8" s="38" t="n">
        <v>6</v>
      </c>
      <c r="C8" s="60" t="s">
        <v>175</v>
      </c>
      <c r="D8" s="38" t="s">
        <v>99</v>
      </c>
      <c r="E8" s="38" t="s">
        <v>181</v>
      </c>
      <c r="F8" s="40" t="n">
        <f aca="false">10.7639 *(2.1*3.34)</f>
        <v>75.4979946</v>
      </c>
      <c r="G8" s="36" t="n">
        <v>78</v>
      </c>
      <c r="H8" s="38" t="n">
        <v>105</v>
      </c>
      <c r="I8" s="41" t="n">
        <f aca="false">H8-G8</f>
        <v>27</v>
      </c>
      <c r="J8" s="38" t="n">
        <v>0.171</v>
      </c>
      <c r="K8" s="38" t="str">
        <f aca="false">_xlfn.UNICHAR(8593)</f>
        <v>↑</v>
      </c>
      <c r="L8" s="42" t="n">
        <f aca="false">F8*I8*J8</f>
        <v>348.5742410682</v>
      </c>
      <c r="M8" s="41"/>
      <c r="N8" s="42" t="n">
        <f aca="false">L8+M8</f>
        <v>348.5742410682</v>
      </c>
      <c r="O8" s="38" t="n">
        <v>70</v>
      </c>
      <c r="P8" s="38" t="n">
        <v>70</v>
      </c>
      <c r="Q8" s="41" t="n">
        <f aca="false">O8-P8</f>
        <v>0</v>
      </c>
      <c r="R8" s="41" t="n">
        <f aca="false">J8</f>
        <v>0.171</v>
      </c>
      <c r="S8" s="41" t="str">
        <f aca="false">K8</f>
        <v>↑</v>
      </c>
      <c r="T8" s="43" t="n">
        <f aca="false">F8*Q8*R8</f>
        <v>0</v>
      </c>
    </row>
    <row r="9" customFormat="false" ht="13.8" hidden="false" customHeight="false" outlineLevel="0" collapsed="false">
      <c r="A9" s="37" t="s">
        <v>211</v>
      </c>
      <c r="B9" s="38" t="n">
        <v>6</v>
      </c>
      <c r="C9" s="60" t="s">
        <v>175</v>
      </c>
      <c r="D9" s="38" t="s">
        <v>99</v>
      </c>
      <c r="E9" s="38" t="s">
        <v>212</v>
      </c>
      <c r="F9" s="40" t="n">
        <f aca="false">10.7639 *(1*3.34)</f>
        <v>35.951426</v>
      </c>
      <c r="G9" s="36" t="n">
        <v>78</v>
      </c>
      <c r="H9" s="38" t="n">
        <v>120</v>
      </c>
      <c r="I9" s="41" t="n">
        <f aca="false">H9-G9</f>
        <v>42</v>
      </c>
      <c r="J9" s="38" t="n">
        <v>0.144</v>
      </c>
      <c r="K9" s="38" t="str">
        <f aca="false">_xlfn.UNICHAR(8595)</f>
        <v>↓</v>
      </c>
      <c r="L9" s="42" t="n">
        <f aca="false">F9*I9*J9</f>
        <v>217.434224448</v>
      </c>
      <c r="M9" s="41"/>
      <c r="N9" s="42" t="n">
        <f aca="false">L9+M9</f>
        <v>217.434224448</v>
      </c>
      <c r="O9" s="38" t="n">
        <v>70</v>
      </c>
      <c r="P9" s="38" t="n">
        <v>70</v>
      </c>
      <c r="Q9" s="41" t="n">
        <f aca="false">O9-P9</f>
        <v>0</v>
      </c>
      <c r="R9" s="41" t="n">
        <f aca="false">J9</f>
        <v>0.144</v>
      </c>
      <c r="S9" s="41" t="str">
        <f aca="false">K9</f>
        <v>↓</v>
      </c>
      <c r="T9" s="43" t="n">
        <f aca="false">F9*Q9*R9</f>
        <v>0</v>
      </c>
    </row>
    <row r="10" customFormat="false" ht="13.8" hidden="false" customHeight="false" outlineLevel="0" collapsed="false">
      <c r="A10" s="37" t="s">
        <v>213</v>
      </c>
      <c r="B10" s="38" t="n">
        <v>6</v>
      </c>
      <c r="C10" s="60" t="s">
        <v>175</v>
      </c>
      <c r="D10" s="38" t="s">
        <v>99</v>
      </c>
      <c r="E10" s="38" t="s">
        <v>208</v>
      </c>
      <c r="F10" s="40" t="n">
        <f aca="false">10.7639 *(5.9*3.34)</f>
        <v>212.1134134</v>
      </c>
      <c r="G10" s="36" t="n">
        <v>78</v>
      </c>
      <c r="H10" s="38" t="n">
        <v>110</v>
      </c>
      <c r="I10" s="41" t="n">
        <f aca="false">H10-G10</f>
        <v>32</v>
      </c>
      <c r="J10" s="38" t="n">
        <v>0.144</v>
      </c>
      <c r="K10" s="38" t="str">
        <f aca="false">_xlfn.UNICHAR(8595)</f>
        <v>↓</v>
      </c>
      <c r="L10" s="42" t="n">
        <f aca="false">F10*I10*J10</f>
        <v>977.4186089472</v>
      </c>
      <c r="M10" s="36"/>
      <c r="N10" s="42" t="n">
        <f aca="false">L10+M10</f>
        <v>977.4186089472</v>
      </c>
      <c r="O10" s="38" t="n">
        <v>70</v>
      </c>
      <c r="P10" s="38" t="n">
        <v>70</v>
      </c>
      <c r="Q10" s="41" t="n">
        <f aca="false">O10-P10</f>
        <v>0</v>
      </c>
      <c r="R10" s="41" t="n">
        <f aca="false">J10</f>
        <v>0.144</v>
      </c>
      <c r="S10" s="41" t="str">
        <f aca="false">K10</f>
        <v>↓</v>
      </c>
      <c r="T10" s="43" t="n">
        <f aca="false">F10*Q10*R10</f>
        <v>0</v>
      </c>
    </row>
    <row r="11" customFormat="false" ht="13.8" hidden="false" customHeight="false" outlineLevel="0" collapsed="false">
      <c r="A11" s="45" t="s">
        <v>214</v>
      </c>
      <c r="B11" s="38" t="n">
        <v>1</v>
      </c>
      <c r="C11" s="60" t="s">
        <v>175</v>
      </c>
      <c r="D11" s="38" t="s">
        <v>90</v>
      </c>
      <c r="E11" s="38" t="s">
        <v>215</v>
      </c>
      <c r="F11" s="40" t="n">
        <f aca="false">10.7639 *((1.3*1)+(2.2*1))</f>
        <v>37.67365</v>
      </c>
      <c r="G11" s="36" t="n">
        <v>78</v>
      </c>
      <c r="H11" s="38" t="n">
        <v>80</v>
      </c>
      <c r="I11" s="41" t="n">
        <f aca="false">H11-G11</f>
        <v>2</v>
      </c>
      <c r="J11" s="38" t="n">
        <v>0.144</v>
      </c>
      <c r="K11" s="38" t="str">
        <f aca="false">_xlfn.UNICHAR(8595)</f>
        <v>↓</v>
      </c>
      <c r="L11" s="42" t="n">
        <f aca="false">F11*I11*J11</f>
        <v>10.8500112</v>
      </c>
      <c r="M11" s="36"/>
      <c r="N11" s="42" t="n">
        <f aca="false">L11+M11</f>
        <v>10.8500112</v>
      </c>
      <c r="O11" s="38" t="n">
        <v>70</v>
      </c>
      <c r="P11" s="38" t="n">
        <v>70</v>
      </c>
      <c r="Q11" s="41" t="n">
        <f aca="false">O11-P11</f>
        <v>0</v>
      </c>
      <c r="R11" s="41" t="n">
        <f aca="false">J11</f>
        <v>0.144</v>
      </c>
      <c r="S11" s="41" t="str">
        <f aca="false">K11</f>
        <v>↓</v>
      </c>
      <c r="T11" s="43" t="n">
        <f aca="false">F11*Q11*R11</f>
        <v>0</v>
      </c>
    </row>
    <row r="12" customFormat="false" ht="13.8" hidden="false" customHeight="false" outlineLevel="0" collapsed="false">
      <c r="A12" s="45" t="s">
        <v>178</v>
      </c>
      <c r="B12" s="38" t="n">
        <v>2</v>
      </c>
      <c r="C12" s="60" t="s">
        <v>175</v>
      </c>
      <c r="D12" s="38" t="s">
        <v>106</v>
      </c>
      <c r="E12" s="38" t="s">
        <v>216</v>
      </c>
      <c r="F12" s="40" t="n">
        <f aca="false">10.7639 *(5.9*6.45) - (F14+F15+F16)</f>
        <v>227.9255825</v>
      </c>
      <c r="G12" s="36" t="n">
        <v>78</v>
      </c>
      <c r="H12" s="38" t="n">
        <v>130</v>
      </c>
      <c r="I12" s="41" t="n">
        <f aca="false">H12-G12</f>
        <v>52</v>
      </c>
      <c r="J12" s="38" t="n">
        <v>0.144</v>
      </c>
      <c r="K12" s="38" t="str">
        <f aca="false">_xlfn.UNICHAR(8595)</f>
        <v>↓</v>
      </c>
      <c r="L12" s="42" t="n">
        <f aca="false">F12*I12*J12</f>
        <v>1706.70676176</v>
      </c>
      <c r="M12" s="36"/>
      <c r="N12" s="42" t="n">
        <f aca="false">L12+M12</f>
        <v>1706.70676176</v>
      </c>
      <c r="O12" s="38" t="n">
        <v>70</v>
      </c>
      <c r="P12" s="38" t="n">
        <v>70</v>
      </c>
      <c r="Q12" s="41" t="n">
        <f aca="false">O12-P12</f>
        <v>0</v>
      </c>
      <c r="R12" s="41" t="n">
        <f aca="false">J12</f>
        <v>0.144</v>
      </c>
      <c r="S12" s="41" t="str">
        <f aca="false">K12</f>
        <v>↓</v>
      </c>
      <c r="T12" s="43" t="n">
        <f aca="false">F12*Q12*R12</f>
        <v>0</v>
      </c>
    </row>
    <row r="13" customFormat="false" ht="13.8" hidden="false" customHeight="false" outlineLevel="0" collapsed="false">
      <c r="A13" s="45" t="s">
        <v>217</v>
      </c>
      <c r="B13" s="38" t="n">
        <v>2</v>
      </c>
      <c r="C13" s="60" t="s">
        <v>98</v>
      </c>
      <c r="D13" s="38" t="s">
        <v>106</v>
      </c>
      <c r="E13" s="38" t="s">
        <v>218</v>
      </c>
      <c r="F13" s="40" t="n">
        <f aca="false">10.7639 *(5.9*4.65)</f>
        <v>295.3075965</v>
      </c>
      <c r="G13" s="36" t="n">
        <v>78</v>
      </c>
      <c r="H13" s="38" t="n">
        <v>110</v>
      </c>
      <c r="I13" s="41" t="n">
        <f aca="false">H13-G13</f>
        <v>32</v>
      </c>
      <c r="J13" s="38" t="n">
        <v>0.801</v>
      </c>
      <c r="K13" s="38" t="str">
        <f aca="false">_xlfn.UNICHAR(8595)</f>
        <v>↓</v>
      </c>
      <c r="L13" s="42" t="n">
        <f aca="false">F13*I13*J13</f>
        <v>7569.324313488</v>
      </c>
      <c r="M13" s="36"/>
      <c r="N13" s="42" t="n">
        <f aca="false">L13+M13</f>
        <v>7569.324313488</v>
      </c>
      <c r="O13" s="38" t="n">
        <v>70</v>
      </c>
      <c r="P13" s="38" t="n">
        <v>70</v>
      </c>
      <c r="Q13" s="41" t="n">
        <f aca="false">O13-P13</f>
        <v>0</v>
      </c>
      <c r="R13" s="41" t="n">
        <f aca="false">J13</f>
        <v>0.801</v>
      </c>
      <c r="S13" s="41" t="str">
        <f aca="false">K13</f>
        <v>↓</v>
      </c>
      <c r="T13" s="43" t="n">
        <f aca="false">F13*Q13*R13</f>
        <v>0</v>
      </c>
    </row>
    <row r="14" customFormat="false" ht="13.8" hidden="false" customHeight="false" outlineLevel="0" collapsed="false">
      <c r="A14" s="45" t="s">
        <v>219</v>
      </c>
      <c r="B14" s="38" t="n">
        <v>2</v>
      </c>
      <c r="C14" s="60" t="s">
        <v>98</v>
      </c>
      <c r="D14" s="38" t="s">
        <v>106</v>
      </c>
      <c r="E14" s="36" t="s">
        <v>220</v>
      </c>
      <c r="F14" s="40" t="n">
        <f aca="false">10.7639 *(2.4*2.3)</f>
        <v>59.416728</v>
      </c>
      <c r="G14" s="36" t="n">
        <v>78</v>
      </c>
      <c r="H14" s="38" t="n">
        <v>120</v>
      </c>
      <c r="I14" s="41" t="n">
        <f aca="false">H14-G14</f>
        <v>42</v>
      </c>
      <c r="J14" s="38" t="n">
        <v>0.801</v>
      </c>
      <c r="K14" s="38" t="str">
        <f aca="false">_xlfn.UNICHAR(8595)</f>
        <v>↓</v>
      </c>
      <c r="L14" s="42" t="n">
        <f aca="false">F14*I14*J14</f>
        <v>1998.897563376</v>
      </c>
      <c r="M14" s="36"/>
      <c r="N14" s="42" t="n">
        <f aca="false">L14+M14</f>
        <v>1998.897563376</v>
      </c>
      <c r="O14" s="38" t="n">
        <v>70</v>
      </c>
      <c r="P14" s="38" t="n">
        <v>70</v>
      </c>
      <c r="Q14" s="41" t="n">
        <f aca="false">O14-P14</f>
        <v>0</v>
      </c>
      <c r="R14" s="41" t="n">
        <f aca="false">J14</f>
        <v>0.801</v>
      </c>
      <c r="S14" s="41" t="str">
        <f aca="false">K14</f>
        <v>↓</v>
      </c>
      <c r="T14" s="43" t="n">
        <f aca="false">F14*Q14*R14</f>
        <v>0</v>
      </c>
    </row>
    <row r="15" customFormat="false" ht="13.8" hidden="false" customHeight="false" outlineLevel="0" collapsed="false">
      <c r="A15" s="45" t="s">
        <v>221</v>
      </c>
      <c r="B15" s="38" t="n">
        <v>2</v>
      </c>
      <c r="C15" s="60" t="s">
        <v>98</v>
      </c>
      <c r="D15" s="38" t="s">
        <v>106</v>
      </c>
      <c r="E15" s="36" t="s">
        <v>222</v>
      </c>
      <c r="F15" s="40" t="n">
        <f aca="false">10.7639 *(2.1*3.2)</f>
        <v>72.333408</v>
      </c>
      <c r="G15" s="36" t="n">
        <v>78</v>
      </c>
      <c r="H15" s="38" t="n">
        <v>120</v>
      </c>
      <c r="I15" s="41" t="n">
        <f aca="false">H15-G15</f>
        <v>42</v>
      </c>
      <c r="J15" s="38" t="n">
        <v>0.801</v>
      </c>
      <c r="K15" s="38" t="str">
        <f aca="false">_xlfn.UNICHAR(8595)</f>
        <v>↓</v>
      </c>
      <c r="L15" s="42" t="n">
        <f aca="false">F15*I15*J15</f>
        <v>2433.440511936</v>
      </c>
      <c r="M15" s="36"/>
      <c r="N15" s="42" t="n">
        <f aca="false">L15+M15</f>
        <v>2433.440511936</v>
      </c>
      <c r="O15" s="38" t="n">
        <v>70</v>
      </c>
      <c r="P15" s="38" t="n">
        <v>70</v>
      </c>
      <c r="Q15" s="41" t="n">
        <f aca="false">O15-P15</f>
        <v>0</v>
      </c>
      <c r="R15" s="41" t="n">
        <f aca="false">J15</f>
        <v>0.801</v>
      </c>
      <c r="S15" s="41" t="str">
        <f aca="false">K15</f>
        <v>↓</v>
      </c>
      <c r="T15" s="43" t="n">
        <f aca="false">F15*Q15*R15</f>
        <v>0</v>
      </c>
    </row>
    <row r="16" customFormat="false" ht="13.8" hidden="false" customHeight="false" outlineLevel="0" collapsed="false">
      <c r="A16" s="45" t="s">
        <v>223</v>
      </c>
      <c r="B16" s="38" t="n">
        <v>2</v>
      </c>
      <c r="C16" s="60" t="s">
        <v>98</v>
      </c>
      <c r="D16" s="38" t="s">
        <v>106</v>
      </c>
      <c r="E16" s="36" t="s">
        <v>224</v>
      </c>
      <c r="F16" s="40" t="n">
        <f aca="false">10.7639 *(1.45*3.2)</f>
        <v>49.944496</v>
      </c>
      <c r="G16" s="36" t="n">
        <v>78</v>
      </c>
      <c r="H16" s="38" t="n">
        <v>120</v>
      </c>
      <c r="I16" s="41" t="n">
        <f aca="false">H16-G16</f>
        <v>42</v>
      </c>
      <c r="J16" s="38" t="n">
        <v>0.801</v>
      </c>
      <c r="K16" s="38" t="str">
        <f aca="false">_xlfn.UNICHAR(8595)</f>
        <v>↓</v>
      </c>
      <c r="L16" s="42" t="n">
        <f aca="false">F16*I16*J16</f>
        <v>1680.232734432</v>
      </c>
      <c r="M16" s="36"/>
      <c r="N16" s="42" t="n">
        <f aca="false">L16+M16</f>
        <v>1680.232734432</v>
      </c>
      <c r="O16" s="38" t="n">
        <v>70</v>
      </c>
      <c r="P16" s="38" t="n">
        <v>70</v>
      </c>
      <c r="Q16" s="41" t="n">
        <f aca="false">O16-P16</f>
        <v>0</v>
      </c>
      <c r="R16" s="41" t="n">
        <f aca="false">J16</f>
        <v>0.801</v>
      </c>
      <c r="S16" s="41" t="str">
        <f aca="false">K16</f>
        <v>↓</v>
      </c>
      <c r="T16" s="43" t="n">
        <f aca="false">F16*Q16*R16</f>
        <v>0</v>
      </c>
    </row>
    <row r="17" customFormat="false" ht="13.8" hidden="false" customHeight="false" outlineLevel="0" collapsed="false">
      <c r="A17" s="45"/>
      <c r="B17" s="63"/>
      <c r="C17" s="64"/>
      <c r="D17" s="63"/>
      <c r="E17" s="63"/>
      <c r="F17" s="65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A18" s="45"/>
      <c r="B18" s="63"/>
      <c r="C18" s="64"/>
      <c r="D18" s="63"/>
      <c r="E18" s="63"/>
      <c r="F18" s="65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66" t="s">
        <v>109</v>
      </c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8"/>
      <c r="N19" s="42" t="n">
        <f aca="false">SUM(N5:N18)</f>
        <v>21434.2546694094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(0.6*0.5))*0</f>
        <v>0</v>
      </c>
      <c r="G20" s="36"/>
      <c r="H20" s="36"/>
      <c r="I20" s="41"/>
      <c r="J20" s="36"/>
      <c r="K20" s="36"/>
      <c r="L20" s="38" t="n">
        <f aca="false">F20*160</f>
        <v>0</v>
      </c>
      <c r="M20" s="36"/>
      <c r="N20" s="42" t="n">
        <f aca="false">L20</f>
        <v>0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*(5.9 * 11.1)</f>
        <v>704.927811</v>
      </c>
      <c r="G21" s="36"/>
      <c r="H21" s="36"/>
      <c r="I21" s="36"/>
      <c r="J21" s="36"/>
      <c r="K21" s="36"/>
      <c r="L21" s="40" t="n">
        <f aca="false">F21*12</f>
        <v>8459.133732</v>
      </c>
      <c r="M21" s="36"/>
      <c r="N21" s="42" t="n">
        <f aca="false">L21+M21</f>
        <v>8459.133732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 t="s">
        <v>225</v>
      </c>
      <c r="B22" s="36" t="n">
        <v>8</v>
      </c>
      <c r="C22" s="36"/>
      <c r="D22" s="36"/>
      <c r="E22" s="36"/>
      <c r="F22" s="36"/>
      <c r="G22" s="36"/>
      <c r="H22" s="36"/>
      <c r="I22" s="36"/>
      <c r="J22" s="36"/>
      <c r="K22" s="36"/>
      <c r="L22" s="38" t="n">
        <f aca="false">3.412 * 400 * 8 * 0.9</f>
        <v>9826.56</v>
      </c>
      <c r="M22" s="36"/>
      <c r="N22" s="42" t="n">
        <f aca="false">L22+M22</f>
        <v>9826.56</v>
      </c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 t="s">
        <v>226</v>
      </c>
      <c r="B23" s="36" t="n">
        <v>8</v>
      </c>
      <c r="C23" s="36"/>
      <c r="D23" s="36"/>
      <c r="E23" s="36"/>
      <c r="F23" s="36"/>
      <c r="G23" s="36"/>
      <c r="H23" s="36"/>
      <c r="I23" s="36"/>
      <c r="J23" s="36"/>
      <c r="K23" s="36"/>
      <c r="L23" s="38" t="n">
        <f aca="false">3.412 * 300 * 2 * 0.95</f>
        <v>1944.84</v>
      </c>
      <c r="M23" s="36"/>
      <c r="N23" s="42" t="n">
        <f aca="false">L23+M23</f>
        <v>1944.84</v>
      </c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 t="s">
        <v>227</v>
      </c>
      <c r="B24" s="36" t="n">
        <v>8</v>
      </c>
      <c r="C24" s="36"/>
      <c r="D24" s="36"/>
      <c r="E24" s="36"/>
      <c r="F24" s="36"/>
      <c r="G24" s="36"/>
      <c r="H24" s="36"/>
      <c r="I24" s="36"/>
      <c r="J24" s="36"/>
      <c r="K24" s="36"/>
      <c r="L24" s="38" t="n">
        <f aca="false">3.412 * 1200 * 1 * 0.9</f>
        <v>3684.96</v>
      </c>
      <c r="M24" s="36"/>
      <c r="N24" s="42" t="n">
        <f aca="false">L24+M24</f>
        <v>3684.96</v>
      </c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 t="s">
        <v>228</v>
      </c>
      <c r="B25" s="36" t="n">
        <v>8</v>
      </c>
      <c r="C25" s="36"/>
      <c r="D25" s="36"/>
      <c r="E25" s="36"/>
      <c r="F25" s="36"/>
      <c r="G25" s="36"/>
      <c r="H25" s="36"/>
      <c r="I25" s="36"/>
      <c r="J25" s="36"/>
      <c r="K25" s="36"/>
      <c r="L25" s="38" t="n">
        <f aca="false">3.412 * 200 * 1 * 0.9</f>
        <v>614.16</v>
      </c>
      <c r="M25" s="36"/>
      <c r="N25" s="42" t="n">
        <f aca="false">L25+M25</f>
        <v>614.16</v>
      </c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3*315</f>
        <v>945</v>
      </c>
      <c r="M26" s="38" t="n">
        <f aca="false">3*485</f>
        <v>1455</v>
      </c>
      <c r="N26" s="42" t="n">
        <f aca="false">L26+M26</f>
        <v>2400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48363.9084014094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48363.9084014094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704.927811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2" t="n">
        <f aca="false">F35*F36</f>
        <v>6244.43947049135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208.147982349712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46908.9084014094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1455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48363.9084014094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1737.36697782998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1738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0.5093575718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0.969915582753903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69" t="s">
        <v>165</v>
      </c>
      <c r="B55" s="69"/>
      <c r="C55" s="69"/>
      <c r="D55" s="69" t="s">
        <v>166</v>
      </c>
      <c r="E55" s="69"/>
      <c r="F55" s="69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69"/>
      <c r="B56" s="69"/>
      <c r="C56" s="69"/>
      <c r="D56" s="69"/>
      <c r="E56" s="69"/>
      <c r="F56" s="69"/>
      <c r="G56" s="45" t="s">
        <v>168</v>
      </c>
      <c r="H56" s="45"/>
      <c r="I56" s="45"/>
      <c r="J56" s="45"/>
      <c r="K56" s="45" t="s">
        <v>169</v>
      </c>
      <c r="L56" s="45"/>
      <c r="M56" s="45"/>
      <c r="N56" s="45"/>
      <c r="O56" s="45"/>
      <c r="P56" s="45"/>
      <c r="Q56" s="45"/>
      <c r="R56" s="45" t="s">
        <v>170</v>
      </c>
      <c r="S56" s="45"/>
      <c r="T56" s="45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A36" activeCellId="0" sqref="A36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6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229</v>
      </c>
      <c r="B2" s="35"/>
      <c r="C2" s="35" t="n">
        <v>5001</v>
      </c>
      <c r="D2" s="35"/>
      <c r="E2" s="35" t="s">
        <v>230</v>
      </c>
      <c r="F2" s="35" t="s">
        <v>231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108</v>
      </c>
      <c r="B5" s="38" t="n">
        <v>3</v>
      </c>
      <c r="C5" s="39" t="s">
        <v>205</v>
      </c>
      <c r="D5" s="36" t="s">
        <v>99</v>
      </c>
      <c r="E5" s="38" t="s">
        <v>232</v>
      </c>
      <c r="F5" s="40" t="n">
        <f aca="false">10.7639 * (3*2.7 + 4.2*2.7)</f>
        <v>209.250216</v>
      </c>
      <c r="G5" s="38" t="n">
        <v>78</v>
      </c>
      <c r="H5" s="38" t="n">
        <v>95</v>
      </c>
      <c r="I5" s="41" t="n">
        <f aca="false">H5-G5</f>
        <v>17</v>
      </c>
      <c r="J5" s="38" t="n">
        <v>0.063</v>
      </c>
      <c r="K5" s="38" t="str">
        <f aca="false">_xlfn.UNICHAR(8596)</f>
        <v>↔</v>
      </c>
      <c r="L5" s="42" t="n">
        <f aca="false">F5*I5*J5</f>
        <v>224.106981336</v>
      </c>
      <c r="M5" s="41"/>
      <c r="N5" s="42" t="n">
        <f aca="false">L5+M5</f>
        <v>224.106981336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233</v>
      </c>
      <c r="B6" s="38" t="n">
        <v>6</v>
      </c>
      <c r="C6" s="39" t="s">
        <v>175</v>
      </c>
      <c r="D6" s="36" t="s">
        <v>99</v>
      </c>
      <c r="E6" s="38" t="s">
        <v>234</v>
      </c>
      <c r="F6" s="40" t="n">
        <f aca="false">10.7639 *1.2*2.7</f>
        <v>34.875036</v>
      </c>
      <c r="G6" s="38" t="n">
        <v>78</v>
      </c>
      <c r="H6" s="38" t="n">
        <v>78</v>
      </c>
      <c r="I6" s="41" t="n">
        <f aca="false">H6-G6</f>
        <v>0</v>
      </c>
      <c r="J6" s="38" t="n">
        <v>0.158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235</v>
      </c>
      <c r="B7" s="38" t="n">
        <v>6</v>
      </c>
      <c r="C7" s="39" t="s">
        <v>175</v>
      </c>
      <c r="D7" s="36" t="s">
        <v>99</v>
      </c>
      <c r="E7" s="38" t="s">
        <v>236</v>
      </c>
      <c r="F7" s="40" t="n">
        <f aca="false">10.7639 *2.6*2.7</f>
        <v>75.562578</v>
      </c>
      <c r="G7" s="38" t="n">
        <v>78</v>
      </c>
      <c r="H7" s="38" t="n">
        <v>78</v>
      </c>
      <c r="I7" s="41" t="n">
        <f aca="false">H7-G7</f>
        <v>0</v>
      </c>
      <c r="J7" s="38" t="n">
        <v>0.158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237</v>
      </c>
      <c r="B8" s="38" t="n">
        <v>6</v>
      </c>
      <c r="C8" s="39" t="s">
        <v>175</v>
      </c>
      <c r="D8" s="36" t="s">
        <v>99</v>
      </c>
      <c r="E8" s="38" t="s">
        <v>238</v>
      </c>
      <c r="F8" s="40" t="n">
        <f aca="false">10.7639 * (5*2.7)</f>
        <v>145.31265</v>
      </c>
      <c r="G8" s="38" t="n">
        <v>78</v>
      </c>
      <c r="H8" s="38" t="n">
        <v>105</v>
      </c>
      <c r="I8" s="41" t="n">
        <f aca="false">H8-G8</f>
        <v>27</v>
      </c>
      <c r="J8" s="38" t="n">
        <v>0.158</v>
      </c>
      <c r="K8" s="38" t="str">
        <f aca="false">_xlfn.UNICHAR(8596)</f>
        <v>↔</v>
      </c>
      <c r="L8" s="42" t="n">
        <f aca="false">F8*I8*J8</f>
        <v>619.9037649</v>
      </c>
      <c r="M8" s="41"/>
      <c r="N8" s="42" t="n">
        <f aca="false">L8+M8</f>
        <v>619.9037649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239</v>
      </c>
      <c r="B9" s="38" t="n">
        <v>6</v>
      </c>
      <c r="C9" s="39" t="s">
        <v>104</v>
      </c>
      <c r="D9" s="36" t="s">
        <v>99</v>
      </c>
      <c r="E9" s="38" t="s">
        <v>240</v>
      </c>
      <c r="F9" s="40" t="n">
        <f aca="false">10.7639 * (0.8*2.7)</f>
        <v>23.250024</v>
      </c>
      <c r="G9" s="38" t="n">
        <v>78</v>
      </c>
      <c r="H9" s="38" t="n">
        <v>120</v>
      </c>
      <c r="I9" s="41" t="n">
        <f aca="false">H9-G9</f>
        <v>42</v>
      </c>
      <c r="J9" s="38" t="n">
        <v>0.313</v>
      </c>
      <c r="K9" s="38" t="str">
        <f aca="false">_xlfn.UNICHAR(8596)</f>
        <v>↔</v>
      </c>
      <c r="L9" s="42" t="n">
        <f aca="false">F9*I9*J9</f>
        <v>305.644815504</v>
      </c>
      <c r="M9" s="41"/>
      <c r="N9" s="42" t="n">
        <f aca="false">L9+M9</f>
        <v>305.644815504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210</v>
      </c>
      <c r="B10" s="38" t="n">
        <v>6</v>
      </c>
      <c r="C10" s="39" t="s">
        <v>175</v>
      </c>
      <c r="D10" s="36" t="s">
        <v>99</v>
      </c>
      <c r="E10" s="38" t="s">
        <v>241</v>
      </c>
      <c r="F10" s="40" t="n">
        <f aca="false">10.7639 * (1.2*2.7 + 1.2*2.7)</f>
        <v>69.750072</v>
      </c>
      <c r="G10" s="38" t="n">
        <v>78</v>
      </c>
      <c r="H10" s="38" t="n">
        <v>80</v>
      </c>
      <c r="I10" s="41" t="n">
        <f aca="false">H10-G10</f>
        <v>2</v>
      </c>
      <c r="J10" s="38" t="n">
        <v>0.158</v>
      </c>
      <c r="K10" s="38" t="str">
        <f aca="false">_xlfn.UNICHAR(8596)</f>
        <v>↔</v>
      </c>
      <c r="L10" s="42" t="n">
        <f aca="false">F10*I10*J10</f>
        <v>22.041022752</v>
      </c>
      <c r="M10" s="41"/>
      <c r="N10" s="42" t="n">
        <f aca="false">L10+M10</f>
        <v>22.041022752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242</v>
      </c>
      <c r="B11" s="38" t="n">
        <v>6</v>
      </c>
      <c r="C11" s="39" t="s">
        <v>104</v>
      </c>
      <c r="D11" s="36" t="s">
        <v>99</v>
      </c>
      <c r="E11" s="38" t="s">
        <v>240</v>
      </c>
      <c r="F11" s="40" t="n">
        <f aca="false">10.7639 * (0.8*2.7)</f>
        <v>23.250024</v>
      </c>
      <c r="G11" s="38" t="n">
        <v>78</v>
      </c>
      <c r="H11" s="38" t="n">
        <v>120</v>
      </c>
      <c r="I11" s="41" t="n">
        <f aca="false">H11-G11</f>
        <v>42</v>
      </c>
      <c r="J11" s="38" t="n">
        <v>0.313</v>
      </c>
      <c r="K11" s="38" t="str">
        <f aca="false">_xlfn.UNICHAR(8596)</f>
        <v>↔</v>
      </c>
      <c r="L11" s="42" t="n">
        <f aca="false">F11*I11*J11</f>
        <v>305.644815504</v>
      </c>
      <c r="M11" s="41"/>
      <c r="N11" s="42" t="n">
        <f aca="false">L11+M11</f>
        <v>305.644815504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178</v>
      </c>
      <c r="B12" s="38" t="n">
        <v>2</v>
      </c>
      <c r="C12" s="39" t="s">
        <v>175</v>
      </c>
      <c r="D12" s="36" t="s">
        <v>106</v>
      </c>
      <c r="E12" s="38"/>
      <c r="F12" s="40" t="n">
        <f aca="false">10.7639 * (24.32)</f>
        <v>261.778048</v>
      </c>
      <c r="G12" s="38" t="n">
        <v>78</v>
      </c>
      <c r="H12" s="38" t="n">
        <v>130</v>
      </c>
      <c r="I12" s="41" t="n">
        <f aca="false">H12-G12</f>
        <v>52</v>
      </c>
      <c r="J12" s="38" t="n">
        <v>0.144</v>
      </c>
      <c r="K12" s="38" t="str">
        <f aca="false">_xlfn.UNICHAR(8595)</f>
        <v>↓</v>
      </c>
      <c r="L12" s="42" t="n">
        <f aca="false">F12*I12*J12</f>
        <v>1960.194023424</v>
      </c>
      <c r="M12" s="41"/>
      <c r="N12" s="42" t="n">
        <f aca="false">L12+M12</f>
        <v>1960.194023424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37" t="s">
        <v>210</v>
      </c>
      <c r="B13" s="38" t="n">
        <v>2</v>
      </c>
      <c r="C13" s="39" t="s">
        <v>175</v>
      </c>
      <c r="D13" s="36" t="s">
        <v>106</v>
      </c>
      <c r="E13" s="38" t="s">
        <v>243</v>
      </c>
      <c r="F13" s="40" t="n">
        <f aca="false">10.7639 * (3*1.2)</f>
        <v>38.75004</v>
      </c>
      <c r="G13" s="38" t="n">
        <v>78</v>
      </c>
      <c r="H13" s="38" t="n">
        <v>80</v>
      </c>
      <c r="I13" s="41" t="n">
        <f aca="false">H13-G13</f>
        <v>2</v>
      </c>
      <c r="J13" s="38" t="n">
        <v>0.144</v>
      </c>
      <c r="K13" s="38" t="str">
        <f aca="false">_xlfn.UNICHAR(8595)</f>
        <v>↓</v>
      </c>
      <c r="L13" s="42" t="n">
        <f aca="false">F13*I13*J13</f>
        <v>11.16001152</v>
      </c>
      <c r="M13" s="41"/>
      <c r="N13" s="42" t="n">
        <f aca="false">L13+M13</f>
        <v>11.16001152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37" t="s">
        <v>244</v>
      </c>
      <c r="B14" s="38" t="n">
        <v>1</v>
      </c>
      <c r="C14" s="39" t="s">
        <v>175</v>
      </c>
      <c r="D14" s="36" t="s">
        <v>90</v>
      </c>
      <c r="E14" s="38"/>
      <c r="F14" s="40" t="n">
        <f aca="false">10.7639 * (10.08)</f>
        <v>108.500112</v>
      </c>
      <c r="G14" s="38" t="n">
        <v>78</v>
      </c>
      <c r="H14" s="38" t="n">
        <v>110</v>
      </c>
      <c r="I14" s="41" t="n">
        <f aca="false">H14-G14</f>
        <v>32</v>
      </c>
      <c r="J14" s="38" t="n">
        <v>0.171</v>
      </c>
      <c r="K14" s="38" t="str">
        <f aca="false">_xlfn.UNICHAR(8593)</f>
        <v>↑</v>
      </c>
      <c r="L14" s="42" t="n">
        <f aca="false">F14*I14*J14</f>
        <v>593.712612864</v>
      </c>
      <c r="M14" s="41"/>
      <c r="N14" s="42" t="n">
        <f aca="false">L14+M14</f>
        <v>593.712612864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37" t="s">
        <v>245</v>
      </c>
      <c r="B15" s="38" t="n">
        <v>1</v>
      </c>
      <c r="C15" s="39" t="s">
        <v>175</v>
      </c>
      <c r="D15" s="36" t="s">
        <v>90</v>
      </c>
      <c r="E15" s="38"/>
      <c r="F15" s="40" t="n">
        <f aca="false">10.7639 * (13.64)</f>
        <v>146.819596</v>
      </c>
      <c r="G15" s="38" t="n">
        <v>78</v>
      </c>
      <c r="H15" s="38" t="n">
        <v>78</v>
      </c>
      <c r="I15" s="41" t="n">
        <f aca="false">H15-G15</f>
        <v>0</v>
      </c>
      <c r="J15" s="38" t="n">
        <v>0.171</v>
      </c>
      <c r="K15" s="38" t="str">
        <f aca="false">_xlfn.UNICHAR(8593)</f>
        <v>↑</v>
      </c>
      <c r="L15" s="42" t="n">
        <f aca="false">F15*I15*J15</f>
        <v>0</v>
      </c>
      <c r="M15" s="41"/>
      <c r="N15" s="42" t="n">
        <f aca="false">L15+M15</f>
        <v>0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37" t="s">
        <v>190</v>
      </c>
      <c r="B16" s="38" t="n">
        <v>6</v>
      </c>
      <c r="C16" s="39" t="s">
        <v>175</v>
      </c>
      <c r="D16" s="36" t="s">
        <v>99</v>
      </c>
      <c r="E16" s="38" t="s">
        <v>246</v>
      </c>
      <c r="F16" s="40" t="n">
        <f aca="false">10.7639 * (1*2.7)</f>
        <v>29.06253</v>
      </c>
      <c r="G16" s="38" t="n">
        <v>78</v>
      </c>
      <c r="H16" s="38" t="n">
        <v>80</v>
      </c>
      <c r="I16" s="41" t="n">
        <f aca="false">H16-G16</f>
        <v>2</v>
      </c>
      <c r="J16" s="38" t="n">
        <v>0.158</v>
      </c>
      <c r="K16" s="38" t="str">
        <f aca="false">_xlfn.UNICHAR(8596)</f>
        <v>↔</v>
      </c>
      <c r="L16" s="42" t="n">
        <f aca="false">F16*I16*J16</f>
        <v>9.18375948</v>
      </c>
      <c r="M16" s="41"/>
      <c r="N16" s="42" t="n">
        <f aca="false">L16+M16</f>
        <v>9.18375948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37" t="s">
        <v>190</v>
      </c>
      <c r="B17" s="38" t="n">
        <v>1</v>
      </c>
      <c r="C17" s="39" t="s">
        <v>175</v>
      </c>
      <c r="D17" s="36" t="s">
        <v>90</v>
      </c>
      <c r="E17" s="38" t="s">
        <v>247</v>
      </c>
      <c r="F17" s="40" t="n">
        <f aca="false">10.7639 * (0.6*1)</f>
        <v>6.45834</v>
      </c>
      <c r="G17" s="38" t="n">
        <v>78</v>
      </c>
      <c r="H17" s="38" t="n">
        <v>80</v>
      </c>
      <c r="I17" s="41" t="n">
        <f aca="false">H17-G17</f>
        <v>2</v>
      </c>
      <c r="J17" s="38" t="n">
        <v>0.171</v>
      </c>
      <c r="K17" s="38" t="str">
        <f aca="false">_xlfn.UNICHAR(8593)</f>
        <v>↑</v>
      </c>
      <c r="L17" s="42" t="n">
        <f aca="false">F17*I17*J17</f>
        <v>2.20875228</v>
      </c>
      <c r="M17" s="41"/>
      <c r="N17" s="42" t="n">
        <f aca="false">L17+M17</f>
        <v>2.20875228</v>
      </c>
      <c r="O17" s="38" t="n">
        <v>70</v>
      </c>
      <c r="P17" s="38" t="n">
        <v>70</v>
      </c>
      <c r="Q17" s="41" t="n">
        <f aca="false">O17-P17</f>
        <v>0</v>
      </c>
      <c r="R17" s="38"/>
      <c r="S17" s="38"/>
      <c r="T17" s="43" t="n">
        <f aca="false">F17*Q17*R17</f>
        <v>0</v>
      </c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41"/>
      <c r="J19" s="36"/>
      <c r="K19" s="36"/>
      <c r="L19" s="36"/>
      <c r="M19" s="36"/>
      <c r="N19" s="42" t="n">
        <f aca="false">SUM(N5:N17)</f>
        <v>4053.800559564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(0.6*0.5))*4</f>
        <v>12.91668</v>
      </c>
      <c r="G20" s="36"/>
      <c r="H20" s="36"/>
      <c r="I20" s="41"/>
      <c r="J20" s="36"/>
      <c r="K20" s="36"/>
      <c r="L20" s="38" t="n">
        <f aca="false">F20*160</f>
        <v>2066.6688</v>
      </c>
      <c r="M20" s="36"/>
      <c r="N20" s="42" t="n">
        <f aca="false">L20+M20</f>
        <v>2066.6688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27.92</f>
        <v>300.528088</v>
      </c>
      <c r="G21" s="36"/>
      <c r="H21" s="36"/>
      <c r="I21" s="41"/>
      <c r="J21" s="36"/>
      <c r="K21" s="36"/>
      <c r="L21" s="36" t="n">
        <f aca="false">4*F21</f>
        <v>1202.112352</v>
      </c>
      <c r="M21" s="36"/>
      <c r="N21" s="42" t="n">
        <f aca="false">L21+M21</f>
        <v>1202.112352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 t="s">
        <v>248</v>
      </c>
      <c r="B22" s="36" t="n">
        <v>8</v>
      </c>
      <c r="C22" s="36"/>
      <c r="D22" s="36"/>
      <c r="E22" s="36"/>
      <c r="F22" s="36"/>
      <c r="G22" s="36"/>
      <c r="H22" s="36"/>
      <c r="I22" s="41"/>
      <c r="J22" s="36"/>
      <c r="K22" s="36"/>
      <c r="L22" s="38" t="n">
        <v>13500</v>
      </c>
      <c r="M22" s="38" t="n">
        <v>6900</v>
      </c>
      <c r="N22" s="42" t="n">
        <f aca="false">L22+M22</f>
        <v>20400</v>
      </c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 t="s">
        <v>249</v>
      </c>
      <c r="B23" s="36" t="n">
        <v>8</v>
      </c>
      <c r="C23" s="36"/>
      <c r="D23" s="36"/>
      <c r="E23" s="36"/>
      <c r="F23" s="36"/>
      <c r="G23" s="36"/>
      <c r="H23" s="36"/>
      <c r="I23" s="41"/>
      <c r="J23" s="36"/>
      <c r="K23" s="36"/>
      <c r="L23" s="38" t="n">
        <v>13500</v>
      </c>
      <c r="M23" s="38" t="n">
        <v>6900</v>
      </c>
      <c r="N23" s="42" t="n">
        <f aca="false">L23+M23</f>
        <v>20400</v>
      </c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 t="s">
        <v>250</v>
      </c>
      <c r="B24" s="36" t="n">
        <v>8</v>
      </c>
      <c r="C24" s="36"/>
      <c r="D24" s="36"/>
      <c r="E24" s="36"/>
      <c r="F24" s="36"/>
      <c r="G24" s="36"/>
      <c r="H24" s="36"/>
      <c r="I24" s="41"/>
      <c r="J24" s="36"/>
      <c r="K24" s="36"/>
      <c r="L24" s="38" t="n">
        <v>1120</v>
      </c>
      <c r="M24" s="38" t="n">
        <v>580</v>
      </c>
      <c r="N24" s="42" t="n">
        <f aca="false">L24+M24</f>
        <v>1700</v>
      </c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 t="s">
        <v>251</v>
      </c>
      <c r="B25" s="36" t="n">
        <v>8</v>
      </c>
      <c r="C25" s="36"/>
      <c r="D25" s="36"/>
      <c r="E25" s="36"/>
      <c r="F25" s="36"/>
      <c r="G25" s="36"/>
      <c r="H25" s="36"/>
      <c r="I25" s="41"/>
      <c r="J25" s="36"/>
      <c r="K25" s="36"/>
      <c r="L25" s="38" t="n">
        <v>1300</v>
      </c>
      <c r="M25" s="36"/>
      <c r="N25" s="42" t="n">
        <f aca="false">L25+M25</f>
        <v>1300</v>
      </c>
      <c r="O25" s="36"/>
      <c r="P25" s="36"/>
      <c r="Q25" s="36"/>
      <c r="R25" s="36"/>
      <c r="S25" s="36"/>
      <c r="T25" s="46"/>
    </row>
    <row r="26" customFormat="false" ht="13.8" hidden="false" customHeight="false" outlineLevel="0" collapsed="false">
      <c r="A26" s="45" t="s">
        <v>113</v>
      </c>
      <c r="B26" s="36" t="n">
        <v>8</v>
      </c>
      <c r="C26" s="36"/>
      <c r="D26" s="36"/>
      <c r="E26" s="36"/>
      <c r="F26" s="36"/>
      <c r="G26" s="36"/>
      <c r="H26" s="36"/>
      <c r="I26" s="41"/>
      <c r="J26" s="36"/>
      <c r="K26" s="36"/>
      <c r="L26" s="38" t="n">
        <f aca="false">30*21</f>
        <v>630</v>
      </c>
      <c r="M26" s="38" t="n">
        <f aca="false">30*21</f>
        <v>630</v>
      </c>
      <c r="N26" s="41" t="n">
        <f aca="false">L26+M26</f>
        <v>1260</v>
      </c>
      <c r="O26" s="36"/>
      <c r="P26" s="36"/>
      <c r="Q26" s="36"/>
      <c r="R26" s="36"/>
      <c r="S26" s="36"/>
      <c r="T26" s="36"/>
    </row>
    <row r="27" customFormat="false" ht="13.8" hidden="false" customHeight="false" outlineLevel="0" collapsed="false">
      <c r="A27" s="45" t="s">
        <v>114</v>
      </c>
      <c r="B27" s="36" t="n">
        <v>9</v>
      </c>
      <c r="C27" s="36"/>
      <c r="D27" s="36"/>
      <c r="E27" s="36"/>
      <c r="F27" s="36"/>
      <c r="G27" s="36"/>
      <c r="H27" s="36"/>
      <c r="I27" s="41"/>
      <c r="J27" s="36"/>
      <c r="K27" s="36"/>
      <c r="L27" s="38" t="n">
        <f aca="false">2*315</f>
        <v>630</v>
      </c>
      <c r="M27" s="38" t="n">
        <f aca="false">2*485</f>
        <v>970</v>
      </c>
      <c r="N27" s="43" t="n">
        <f aca="false">L27+M27</f>
        <v>1600</v>
      </c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53982.581711564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53982.581711564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300.528088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2662.15834503158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88.7386115010528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38002.581711564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15980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53982.581711564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1407.50302635422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1408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0.4126441088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0.703978589142268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69" t="s">
        <v>165</v>
      </c>
      <c r="B55" s="69"/>
      <c r="C55" s="69"/>
      <c r="D55" s="69" t="s">
        <v>166</v>
      </c>
      <c r="E55" s="69"/>
      <c r="F55" s="69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69"/>
      <c r="B56" s="69"/>
      <c r="C56" s="69"/>
      <c r="D56" s="69"/>
      <c r="E56" s="69"/>
      <c r="F56" s="69"/>
      <c r="G56" s="45" t="s">
        <v>168</v>
      </c>
      <c r="H56" s="45"/>
      <c r="I56" s="45"/>
      <c r="J56" s="45"/>
      <c r="K56" s="45" t="s">
        <v>169</v>
      </c>
      <c r="L56" s="45"/>
      <c r="M56" s="45"/>
      <c r="N56" s="45"/>
      <c r="O56" s="45"/>
      <c r="P56" s="45"/>
      <c r="Q56" s="45"/>
      <c r="R56" s="45" t="s">
        <v>170</v>
      </c>
      <c r="S56" s="45"/>
      <c r="T56" s="45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A43" activeCellId="0" sqref="A4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6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229</v>
      </c>
      <c r="B2" s="35"/>
      <c r="C2" s="35" t="n">
        <v>5002</v>
      </c>
      <c r="D2" s="35"/>
      <c r="E2" s="35" t="s">
        <v>230</v>
      </c>
      <c r="F2" s="35" t="s">
        <v>231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108</v>
      </c>
      <c r="B5" s="38" t="n">
        <v>3</v>
      </c>
      <c r="C5" s="39" t="s">
        <v>205</v>
      </c>
      <c r="D5" s="36" t="s">
        <v>99</v>
      </c>
      <c r="E5" s="38" t="s">
        <v>252</v>
      </c>
      <c r="F5" s="40" t="n">
        <f aca="false">10.7639 * (5.8*2.7 + 6*2.7)</f>
        <v>342.937854</v>
      </c>
      <c r="G5" s="38" t="n">
        <v>78</v>
      </c>
      <c r="H5" s="38" t="n">
        <v>95</v>
      </c>
      <c r="I5" s="41" t="n">
        <f aca="false">H5-G5</f>
        <v>17</v>
      </c>
      <c r="J5" s="38" t="n">
        <v>0.063</v>
      </c>
      <c r="K5" s="38" t="str">
        <f aca="false">_xlfn.UNICHAR(8596)</f>
        <v>↔</v>
      </c>
      <c r="L5" s="42" t="n">
        <f aca="false">F5*I5*J5</f>
        <v>367.286441634</v>
      </c>
      <c r="M5" s="41"/>
      <c r="N5" s="42" t="n">
        <f aca="false">L5+M5</f>
        <v>367.286441634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237</v>
      </c>
      <c r="B6" s="38" t="n">
        <v>6</v>
      </c>
      <c r="C6" s="39" t="s">
        <v>175</v>
      </c>
      <c r="D6" s="36" t="s">
        <v>99</v>
      </c>
      <c r="E6" s="38" t="s">
        <v>253</v>
      </c>
      <c r="F6" s="40" t="n">
        <f aca="false">10.7639 *(4*2.7)</f>
        <v>116.25012</v>
      </c>
      <c r="G6" s="38" t="n">
        <v>78</v>
      </c>
      <c r="H6" s="38" t="n">
        <v>105</v>
      </c>
      <c r="I6" s="41" t="n">
        <f aca="false">H6-G6</f>
        <v>27</v>
      </c>
      <c r="J6" s="38" t="n">
        <v>0.158</v>
      </c>
      <c r="K6" s="38" t="str">
        <f aca="false">_xlfn.UNICHAR(8596)</f>
        <v>↔</v>
      </c>
      <c r="L6" s="42" t="n">
        <f aca="false">F6*I6*J6</f>
        <v>495.92301192</v>
      </c>
      <c r="M6" s="41"/>
      <c r="N6" s="42" t="n">
        <f aca="false">L6+M6</f>
        <v>495.92301192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190</v>
      </c>
      <c r="B7" s="38" t="n">
        <v>6</v>
      </c>
      <c r="C7" s="39" t="s">
        <v>175</v>
      </c>
      <c r="D7" s="36" t="s">
        <v>99</v>
      </c>
      <c r="E7" s="38" t="s">
        <v>254</v>
      </c>
      <c r="F7" s="40" t="n">
        <f aca="false">10.7639 *((3+3.5+1.3)*2.7)</f>
        <v>226.687734</v>
      </c>
      <c r="G7" s="38" t="n">
        <v>78</v>
      </c>
      <c r="H7" s="38" t="n">
        <v>80</v>
      </c>
      <c r="I7" s="41" t="n">
        <f aca="false">H7-G7</f>
        <v>2</v>
      </c>
      <c r="J7" s="38" t="n">
        <v>0.158</v>
      </c>
      <c r="K7" s="38" t="str">
        <f aca="false">_xlfn.UNICHAR(8596)</f>
        <v>↔</v>
      </c>
      <c r="L7" s="42" t="n">
        <f aca="false">F7*I7*J7</f>
        <v>71.633323944</v>
      </c>
      <c r="M7" s="41"/>
      <c r="N7" s="42" t="n">
        <f aca="false">L7+M7</f>
        <v>71.633323944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178</v>
      </c>
      <c r="B8" s="38" t="n">
        <v>2</v>
      </c>
      <c r="C8" s="39" t="s">
        <v>255</v>
      </c>
      <c r="D8" s="36" t="s">
        <v>106</v>
      </c>
      <c r="E8" s="38"/>
      <c r="F8" s="40" t="n">
        <f aca="false">10.7639 * (27.7)</f>
        <v>298.16003</v>
      </c>
      <c r="G8" s="38" t="n">
        <v>78</v>
      </c>
      <c r="H8" s="38" t="n">
        <v>130</v>
      </c>
      <c r="I8" s="41" t="n">
        <f aca="false">H8-G8</f>
        <v>52</v>
      </c>
      <c r="J8" s="38" t="n">
        <v>0.199</v>
      </c>
      <c r="K8" s="38" t="str">
        <f aca="false">_xlfn.UNICHAR(8595)</f>
        <v>↓</v>
      </c>
      <c r="L8" s="42" t="n">
        <f aca="false">F8*I8*J8</f>
        <v>3085.35999044</v>
      </c>
      <c r="M8" s="41"/>
      <c r="N8" s="42" t="n">
        <f aca="false">L8+M8</f>
        <v>3085.35999044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256</v>
      </c>
      <c r="B9" s="38" t="n">
        <v>2</v>
      </c>
      <c r="C9" s="39" t="s">
        <v>255</v>
      </c>
      <c r="D9" s="36" t="s">
        <v>106</v>
      </c>
      <c r="E9" s="38" t="s">
        <v>257</v>
      </c>
      <c r="F9" s="40" t="n">
        <f aca="false">10.7639 * (5.8*1.7)</f>
        <v>106.132054</v>
      </c>
      <c r="G9" s="38" t="n">
        <v>78</v>
      </c>
      <c r="H9" s="38" t="n">
        <v>110</v>
      </c>
      <c r="I9" s="41" t="n">
        <f aca="false">H9-G9</f>
        <v>32</v>
      </c>
      <c r="J9" s="38" t="n">
        <v>0.199</v>
      </c>
      <c r="K9" s="38" t="str">
        <f aca="false">_xlfn.UNICHAR(8595)</f>
        <v>↓</v>
      </c>
      <c r="L9" s="42" t="n">
        <f aca="false">F9*I9*J9</f>
        <v>675.848919872</v>
      </c>
      <c r="M9" s="41"/>
      <c r="N9" s="42" t="n">
        <f aca="false">L9+M9</f>
        <v>675.848919872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258</v>
      </c>
      <c r="B10" s="38" t="n">
        <v>1</v>
      </c>
      <c r="C10" s="39" t="s">
        <v>175</v>
      </c>
      <c r="D10" s="36" t="s">
        <v>90</v>
      </c>
      <c r="E10" s="38"/>
      <c r="F10" s="40" t="n">
        <f aca="false">10.7639 * (27.26)</f>
        <v>293.423914</v>
      </c>
      <c r="G10" s="38" t="n">
        <v>78</v>
      </c>
      <c r="H10" s="38" t="n">
        <v>110</v>
      </c>
      <c r="I10" s="41" t="n">
        <f aca="false">H10-G10</f>
        <v>32</v>
      </c>
      <c r="J10" s="38" t="n">
        <v>0.171</v>
      </c>
      <c r="K10" s="38" t="str">
        <f aca="false">_xlfn.UNICHAR(8593)</f>
        <v>↑</v>
      </c>
      <c r="L10" s="42" t="n">
        <f aca="false">F10*I10*J10</f>
        <v>1605.615657408</v>
      </c>
      <c r="M10" s="41"/>
      <c r="N10" s="42" t="n">
        <f aca="false">L10+M10</f>
        <v>1605.615657408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259</v>
      </c>
      <c r="B11" s="38" t="n">
        <v>1</v>
      </c>
      <c r="C11" s="39" t="s">
        <v>175</v>
      </c>
      <c r="D11" s="36" t="s">
        <v>90</v>
      </c>
      <c r="E11" s="38"/>
      <c r="F11" s="40" t="n">
        <f aca="false">10.7639 * (2.89)</f>
        <v>31.107671</v>
      </c>
      <c r="G11" s="38" t="n">
        <v>78</v>
      </c>
      <c r="H11" s="38" t="n">
        <v>78</v>
      </c>
      <c r="I11" s="41" t="n">
        <f aca="false">H11-G11</f>
        <v>0</v>
      </c>
      <c r="J11" s="38" t="n">
        <v>0.171</v>
      </c>
      <c r="K11" s="38" t="str">
        <f aca="false">_xlfn.UNICHAR(8593)</f>
        <v>↑</v>
      </c>
      <c r="L11" s="42" t="n">
        <f aca="false">F11*I11*J11</f>
        <v>0</v>
      </c>
      <c r="M11" s="41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190</v>
      </c>
      <c r="B12" s="38" t="n">
        <v>1</v>
      </c>
      <c r="C12" s="39" t="s">
        <v>175</v>
      </c>
      <c r="D12" s="36" t="s">
        <v>90</v>
      </c>
      <c r="E12" s="38"/>
      <c r="F12" s="40" t="n">
        <f aca="false">10.7639 * (5.2)</f>
        <v>55.97228</v>
      </c>
      <c r="G12" s="38" t="n">
        <v>78</v>
      </c>
      <c r="H12" s="38" t="n">
        <v>80</v>
      </c>
      <c r="I12" s="41" t="n">
        <f aca="false">H12-G12</f>
        <v>2</v>
      </c>
      <c r="J12" s="38" t="n">
        <v>0.171</v>
      </c>
      <c r="K12" s="38" t="str">
        <f aca="false">_xlfn.UNICHAR(8593)</f>
        <v>↑</v>
      </c>
      <c r="L12" s="42" t="n">
        <f aca="false">F12*I12*J12</f>
        <v>19.14251976</v>
      </c>
      <c r="M12" s="41"/>
      <c r="N12" s="42" t="n">
        <f aca="false">L12+M12</f>
        <v>19.14251976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37" t="s">
        <v>260</v>
      </c>
      <c r="B13" s="38" t="n">
        <v>1</v>
      </c>
      <c r="C13" s="39" t="s">
        <v>175</v>
      </c>
      <c r="D13" s="36" t="s">
        <v>90</v>
      </c>
      <c r="E13" s="38"/>
      <c r="F13" s="40" t="n">
        <f aca="false">10.7639 * (2.21)</f>
        <v>23.788219</v>
      </c>
      <c r="G13" s="38" t="n">
        <v>78</v>
      </c>
      <c r="H13" s="38" t="n">
        <v>85</v>
      </c>
      <c r="I13" s="41" t="n">
        <f aca="false">H13-G13</f>
        <v>7</v>
      </c>
      <c r="J13" s="38" t="n">
        <v>0.171</v>
      </c>
      <c r="K13" s="38" t="str">
        <f aca="false">_xlfn.UNICHAR(8593)</f>
        <v>↑</v>
      </c>
      <c r="L13" s="42" t="n">
        <f aca="false">F13*I13*J13</f>
        <v>28.474498143</v>
      </c>
      <c r="M13" s="41"/>
      <c r="N13" s="42" t="n">
        <f aca="false">L13+M13</f>
        <v>28.474498143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/>
      <c r="B14" s="36"/>
      <c r="C14" s="36"/>
      <c r="D14" s="36"/>
      <c r="E14" s="36"/>
      <c r="F14" s="46"/>
      <c r="G14" s="36"/>
      <c r="H14" s="36"/>
      <c r="I14" s="36"/>
      <c r="J14" s="36"/>
      <c r="K14" s="36"/>
      <c r="L14" s="46"/>
      <c r="M14" s="36"/>
      <c r="N14" s="46"/>
      <c r="O14" s="36"/>
      <c r="P14" s="36"/>
      <c r="Q14" s="36"/>
      <c r="R14" s="36"/>
      <c r="S14" s="36"/>
      <c r="T14" s="62"/>
    </row>
    <row r="15" customFormat="false" ht="13.8" hidden="false" customHeight="false" outlineLevel="0" collapsed="false">
      <c r="A15" s="45"/>
      <c r="B15" s="36"/>
      <c r="C15" s="36"/>
      <c r="D15" s="36"/>
      <c r="E15" s="36"/>
      <c r="F15" s="46"/>
      <c r="G15" s="36"/>
      <c r="H15" s="36"/>
      <c r="I15" s="36"/>
      <c r="J15" s="36"/>
      <c r="K15" s="36"/>
      <c r="L15" s="46"/>
      <c r="M15" s="36"/>
      <c r="N15" s="46"/>
      <c r="O15" s="36"/>
      <c r="P15" s="36"/>
      <c r="Q15" s="36"/>
      <c r="R15" s="36"/>
      <c r="S15" s="36"/>
      <c r="T15" s="62"/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6349.284363121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(0.6*0.5))*8</f>
        <v>25.83336</v>
      </c>
      <c r="G20" s="36"/>
      <c r="H20" s="36"/>
      <c r="I20" s="41"/>
      <c r="J20" s="36"/>
      <c r="K20" s="36"/>
      <c r="L20" s="38" t="n">
        <f aca="false">F20*160</f>
        <v>4133.3376</v>
      </c>
      <c r="M20" s="36"/>
      <c r="N20" s="42" t="n">
        <f aca="false">L20+M20</f>
        <v>4133.3376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37.56</f>
        <v>404.292084</v>
      </c>
      <c r="G21" s="36"/>
      <c r="H21" s="36"/>
      <c r="I21" s="36"/>
      <c r="J21" s="36"/>
      <c r="K21" s="36"/>
      <c r="L21" s="40" t="n">
        <f aca="false">8*F21</f>
        <v>3234.336672</v>
      </c>
      <c r="M21" s="36"/>
      <c r="N21" s="42" t="n">
        <f aca="false">L21+M21</f>
        <v>3234.336672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2" t="n">
        <f aca="false">L22+M22</f>
        <v>0</v>
      </c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2" t="n">
        <f aca="false">L23+M23</f>
        <v>0</v>
      </c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 t="s">
        <v>251</v>
      </c>
      <c r="B24" s="36" t="n">
        <v>8</v>
      </c>
      <c r="C24" s="36"/>
      <c r="D24" s="36"/>
      <c r="E24" s="36"/>
      <c r="F24" s="36"/>
      <c r="G24" s="36"/>
      <c r="H24" s="36"/>
      <c r="I24" s="36"/>
      <c r="J24" s="36"/>
      <c r="K24" s="36"/>
      <c r="L24" s="38" t="n">
        <v>1300</v>
      </c>
      <c r="M24" s="36"/>
      <c r="N24" s="42" t="n">
        <f aca="false">L24+M24</f>
        <v>1300</v>
      </c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 t="s">
        <v>113</v>
      </c>
      <c r="B25" s="36" t="n">
        <v>8</v>
      </c>
      <c r="C25" s="36"/>
      <c r="D25" s="36"/>
      <c r="E25" s="36"/>
      <c r="F25" s="36"/>
      <c r="G25" s="36"/>
      <c r="H25" s="36"/>
      <c r="I25" s="36"/>
      <c r="J25" s="36"/>
      <c r="K25" s="36"/>
      <c r="L25" s="38" t="n">
        <f aca="false">30*21</f>
        <v>630</v>
      </c>
      <c r="M25" s="38" t="n">
        <f aca="false">30*21</f>
        <v>630</v>
      </c>
      <c r="N25" s="41" t="n">
        <f aca="false">L25+M25</f>
        <v>1260</v>
      </c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315*10</f>
        <v>3150</v>
      </c>
      <c r="M26" s="38" t="n">
        <f aca="false">485*10</f>
        <v>4850</v>
      </c>
      <c r="N26" s="43" t="n">
        <f aca="false">L26+M26</f>
        <v>8000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24276.958635121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24276.958635121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404.292084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3581.32763035051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119.37758767835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18796.958635121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5480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24276.958635121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696.18365315263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697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0.2042705567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0.774271560026791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69" t="s">
        <v>165</v>
      </c>
      <c r="B55" s="69"/>
      <c r="C55" s="69"/>
      <c r="D55" s="69" t="s">
        <v>166</v>
      </c>
      <c r="E55" s="69"/>
      <c r="F55" s="69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69"/>
      <c r="B56" s="69"/>
      <c r="C56" s="69"/>
      <c r="D56" s="69"/>
      <c r="E56" s="69"/>
      <c r="F56" s="69"/>
      <c r="G56" s="45" t="s">
        <v>168</v>
      </c>
      <c r="H56" s="45"/>
      <c r="I56" s="45"/>
      <c r="J56" s="45"/>
      <c r="K56" s="45" t="s">
        <v>169</v>
      </c>
      <c r="L56" s="45"/>
      <c r="M56" s="45"/>
      <c r="N56" s="45"/>
      <c r="O56" s="45"/>
      <c r="P56" s="45"/>
      <c r="Q56" s="45"/>
      <c r="R56" s="45" t="s">
        <v>170</v>
      </c>
      <c r="S56" s="45"/>
      <c r="T56" s="45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261</v>
      </c>
      <c r="B2" s="35"/>
      <c r="C2" s="35" t="n">
        <v>5003</v>
      </c>
      <c r="D2" s="35"/>
      <c r="E2" s="35" t="s">
        <v>230</v>
      </c>
      <c r="F2" s="35" t="s">
        <v>262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108</v>
      </c>
      <c r="B5" s="38" t="n">
        <v>3</v>
      </c>
      <c r="C5" s="39" t="s">
        <v>205</v>
      </c>
      <c r="D5" s="36" t="s">
        <v>99</v>
      </c>
      <c r="E5" s="38" t="s">
        <v>263</v>
      </c>
      <c r="F5" s="40" t="n">
        <f aca="false">10.7639 * ((5.9*6.4)*2.7)</f>
        <v>1097.4011328</v>
      </c>
      <c r="G5" s="38" t="n">
        <v>78</v>
      </c>
      <c r="H5" s="38" t="n">
        <v>95</v>
      </c>
      <c r="I5" s="41" t="n">
        <f aca="false">H5-G5</f>
        <v>17</v>
      </c>
      <c r="J5" s="38" t="n">
        <v>0.063</v>
      </c>
      <c r="K5" s="38" t="str">
        <f aca="false">_xlfn.UNICHAR(8596)</f>
        <v>↔</v>
      </c>
      <c r="L5" s="42" t="n">
        <f aca="false">F5*I5*J5</f>
        <v>1175.3166132288</v>
      </c>
      <c r="M5" s="41"/>
      <c r="N5" s="42" t="n">
        <f aca="false">L5+M5</f>
        <v>1175.3166132288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190</v>
      </c>
      <c r="B6" s="38" t="n">
        <v>6</v>
      </c>
      <c r="C6" s="39" t="s">
        <v>175</v>
      </c>
      <c r="D6" s="36" t="s">
        <v>99</v>
      </c>
      <c r="E6" s="38" t="s">
        <v>264</v>
      </c>
      <c r="F6" s="40" t="n">
        <f aca="false">10.7639 *((5.1 + 1 + 1.3)*2.7)</f>
        <v>215.062722</v>
      </c>
      <c r="G6" s="38" t="n">
        <v>78</v>
      </c>
      <c r="H6" s="38" t="n">
        <v>80</v>
      </c>
      <c r="I6" s="41" t="n">
        <f aca="false">H6-G6</f>
        <v>2</v>
      </c>
      <c r="J6" s="38" t="n">
        <v>0.158</v>
      </c>
      <c r="K6" s="38" t="str">
        <f aca="false">_xlfn.UNICHAR(8596)</f>
        <v>↔</v>
      </c>
      <c r="L6" s="42" t="n">
        <f aca="false">F6*I6*J6</f>
        <v>67.959820152</v>
      </c>
      <c r="M6" s="41"/>
      <c r="N6" s="42" t="n">
        <f aca="false">L6+M6</f>
        <v>67.959820152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265</v>
      </c>
      <c r="B7" s="38" t="n">
        <v>6</v>
      </c>
      <c r="C7" s="39" t="s">
        <v>104</v>
      </c>
      <c r="D7" s="36" t="s">
        <v>99</v>
      </c>
      <c r="E7" s="38" t="s">
        <v>266</v>
      </c>
      <c r="F7" s="40" t="n">
        <f aca="false">10.7639 *(4.9*2.7)</f>
        <v>142.406397</v>
      </c>
      <c r="G7" s="38" t="n">
        <v>78</v>
      </c>
      <c r="H7" s="38" t="n">
        <v>78</v>
      </c>
      <c r="I7" s="41" t="n">
        <f aca="false">H7-G7</f>
        <v>0</v>
      </c>
      <c r="J7" s="38" t="n">
        <v>0.425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207</v>
      </c>
      <c r="B8" s="38" t="n">
        <v>2</v>
      </c>
      <c r="C8" s="39" t="s">
        <v>255</v>
      </c>
      <c r="D8" s="36" t="s">
        <v>106</v>
      </c>
      <c r="E8" s="38"/>
      <c r="F8" s="40" t="n">
        <f aca="false">10.7639 * (19.7)</f>
        <v>212.04883</v>
      </c>
      <c r="G8" s="38" t="n">
        <v>78</v>
      </c>
      <c r="H8" s="38" t="n">
        <v>110</v>
      </c>
      <c r="I8" s="41" t="n">
        <f aca="false">H8-G8</f>
        <v>32</v>
      </c>
      <c r="J8" s="38" t="n">
        <v>0.199</v>
      </c>
      <c r="K8" s="38" t="str">
        <f aca="false">_xlfn.UNICHAR(8595)</f>
        <v>↓</v>
      </c>
      <c r="L8" s="42" t="n">
        <f aca="false">F8*I8*J8</f>
        <v>1350.32694944</v>
      </c>
      <c r="M8" s="41"/>
      <c r="N8" s="42" t="n">
        <f aca="false">L8+M8</f>
        <v>1350.32694944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202</v>
      </c>
      <c r="B9" s="38" t="n">
        <v>2</v>
      </c>
      <c r="C9" s="39" t="s">
        <v>267</v>
      </c>
      <c r="D9" s="36" t="s">
        <v>106</v>
      </c>
      <c r="E9" s="38"/>
      <c r="F9" s="40" t="n">
        <f aca="false">10.7639 * (16.99)</f>
        <v>182.878661</v>
      </c>
      <c r="G9" s="38" t="n">
        <v>78</v>
      </c>
      <c r="H9" s="38" t="n">
        <v>78</v>
      </c>
      <c r="I9" s="41" t="n">
        <f aca="false">H9-G9</f>
        <v>0</v>
      </c>
      <c r="J9" s="38" t="n">
        <v>0.143</v>
      </c>
      <c r="K9" s="38" t="str">
        <f aca="false">_xlfn.UNICHAR(8595)</f>
        <v>↓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268</v>
      </c>
      <c r="B10" s="38" t="n">
        <v>1</v>
      </c>
      <c r="C10" s="39" t="s">
        <v>175</v>
      </c>
      <c r="D10" s="36" t="s">
        <v>90</v>
      </c>
      <c r="E10" s="38"/>
      <c r="F10" s="40" t="n">
        <f aca="false">10.7639 * (13.45)</f>
        <v>144.774455</v>
      </c>
      <c r="G10" s="38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41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269</v>
      </c>
      <c r="B11" s="38" t="n">
        <v>1</v>
      </c>
      <c r="C11" s="39" t="s">
        <v>175</v>
      </c>
      <c r="D11" s="36" t="s">
        <v>90</v>
      </c>
      <c r="E11" s="38"/>
      <c r="F11" s="40" t="n">
        <f aca="false">10.7639 * (12.47)</f>
        <v>134.225833</v>
      </c>
      <c r="G11" s="38" t="n">
        <v>78</v>
      </c>
      <c r="H11" s="38" t="n">
        <v>78</v>
      </c>
      <c r="I11" s="41" t="n">
        <f aca="false">H11-G11</f>
        <v>0</v>
      </c>
      <c r="J11" s="38" t="n">
        <v>0.171</v>
      </c>
      <c r="K11" s="38" t="str">
        <f aca="false">_xlfn.UNICHAR(8593)</f>
        <v>↑</v>
      </c>
      <c r="L11" s="42" t="n">
        <f aca="false">F11*I11*J11</f>
        <v>0</v>
      </c>
      <c r="M11" s="41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190</v>
      </c>
      <c r="B12" s="38" t="n">
        <v>1</v>
      </c>
      <c r="C12" s="39" t="s">
        <v>175</v>
      </c>
      <c r="D12" s="36" t="s">
        <v>90</v>
      </c>
      <c r="E12" s="38"/>
      <c r="F12" s="40" t="n">
        <f aca="false">10.7639 * (5.1)</f>
        <v>54.89589</v>
      </c>
      <c r="G12" s="38" t="n">
        <v>78</v>
      </c>
      <c r="H12" s="38" t="n">
        <v>80</v>
      </c>
      <c r="I12" s="41" t="n">
        <f aca="false">H12-G12</f>
        <v>2</v>
      </c>
      <c r="J12" s="38" t="n">
        <v>0.171</v>
      </c>
      <c r="K12" s="38" t="str">
        <f aca="false">_xlfn.UNICHAR(8593)</f>
        <v>↑</v>
      </c>
      <c r="L12" s="42" t="n">
        <f aca="false">F12*I12*J12</f>
        <v>18.77439438</v>
      </c>
      <c r="M12" s="41"/>
      <c r="N12" s="42" t="n">
        <f aca="false">L12+M12</f>
        <v>18.77439438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270</v>
      </c>
      <c r="B13" s="36" t="n">
        <v>1</v>
      </c>
      <c r="C13" s="39" t="s">
        <v>175</v>
      </c>
      <c r="D13" s="36" t="s">
        <v>90</v>
      </c>
      <c r="E13" s="38" t="s">
        <v>271</v>
      </c>
      <c r="F13" s="40" t="n">
        <f aca="false">10.7639 *(1.6*1.7)</f>
        <v>29.277808</v>
      </c>
      <c r="G13" s="38" t="n">
        <v>78</v>
      </c>
      <c r="H13" s="38" t="n">
        <v>85</v>
      </c>
      <c r="I13" s="41" t="n">
        <f aca="false">H13-G13</f>
        <v>7</v>
      </c>
      <c r="J13" s="38" t="n">
        <v>0.171</v>
      </c>
      <c r="K13" s="38" t="str">
        <f aca="false">_xlfn.UNICHAR(8593)</f>
        <v>↑</v>
      </c>
      <c r="L13" s="42" t="n">
        <f aca="false">F13*I13*J13</f>
        <v>35.045536176</v>
      </c>
      <c r="M13" s="41"/>
      <c r="N13" s="42" t="n">
        <f aca="false">L13+M13</f>
        <v>35.045536176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272</v>
      </c>
      <c r="B14" s="36" t="n">
        <v>1</v>
      </c>
      <c r="C14" s="39" t="s">
        <v>175</v>
      </c>
      <c r="D14" s="36" t="s">
        <v>90</v>
      </c>
      <c r="E14" s="38" t="s">
        <v>271</v>
      </c>
      <c r="F14" s="40" t="n">
        <f aca="false">10.7639 *(1.6*1.7)</f>
        <v>29.277808</v>
      </c>
      <c r="G14" s="38" t="n">
        <v>78</v>
      </c>
      <c r="H14" s="38" t="n">
        <v>85</v>
      </c>
      <c r="I14" s="41" t="n">
        <f aca="false">H14-G14</f>
        <v>7</v>
      </c>
      <c r="J14" s="38" t="n">
        <v>0.171</v>
      </c>
      <c r="K14" s="38" t="str">
        <f aca="false">_xlfn.UNICHAR(8593)</f>
        <v>↑</v>
      </c>
      <c r="L14" s="42" t="n">
        <f aca="false">F14*I14*J14</f>
        <v>35.045536176</v>
      </c>
      <c r="M14" s="41"/>
      <c r="N14" s="42" t="n">
        <f aca="false">L14+M14</f>
        <v>35.045536176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/>
      <c r="B15" s="36"/>
      <c r="C15" s="36"/>
      <c r="D15" s="36"/>
      <c r="E15" s="36"/>
      <c r="F15" s="46"/>
      <c r="G15" s="36"/>
      <c r="H15" s="36"/>
      <c r="I15" s="36"/>
      <c r="J15" s="36"/>
      <c r="K15" s="36"/>
      <c r="L15" s="46"/>
      <c r="M15" s="36"/>
      <c r="N15" s="46"/>
      <c r="O15" s="36"/>
      <c r="P15" s="36"/>
      <c r="Q15" s="36"/>
      <c r="R15" s="36"/>
      <c r="S15" s="36"/>
      <c r="T15" s="62"/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2682.4688495528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(0.6*0.5))*7</f>
        <v>22.60419</v>
      </c>
      <c r="G20" s="36"/>
      <c r="H20" s="36"/>
      <c r="I20" s="36"/>
      <c r="J20" s="36"/>
      <c r="K20" s="36"/>
      <c r="L20" s="38" t="n">
        <f aca="false">F20*160</f>
        <v>3616.6704</v>
      </c>
      <c r="M20" s="36"/>
      <c r="N20" s="42" t="n">
        <f aca="false">L20+M20</f>
        <v>3616.6704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36.46</f>
        <v>392.451794</v>
      </c>
      <c r="G21" s="36"/>
      <c r="H21" s="36"/>
      <c r="I21" s="36"/>
      <c r="J21" s="36"/>
      <c r="K21" s="36"/>
      <c r="L21" s="38" t="n">
        <f aca="false">8*F21</f>
        <v>3139.614352</v>
      </c>
      <c r="M21" s="36"/>
      <c r="N21" s="42" t="n">
        <f aca="false">L21+M21</f>
        <v>3139.614352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2" t="n">
        <f aca="false">L22+M22</f>
        <v>0</v>
      </c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2" t="n">
        <f aca="false">L23+M23</f>
        <v>0</v>
      </c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2" t="n">
        <f aca="false">L24+M24</f>
        <v>0</v>
      </c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 t="s">
        <v>113</v>
      </c>
      <c r="B25" s="36" t="n">
        <v>8</v>
      </c>
      <c r="C25" s="36"/>
      <c r="D25" s="36"/>
      <c r="E25" s="36"/>
      <c r="F25" s="36"/>
      <c r="G25" s="36"/>
      <c r="H25" s="36"/>
      <c r="I25" s="36"/>
      <c r="J25" s="36"/>
      <c r="K25" s="36"/>
      <c r="L25" s="38" t="n">
        <f aca="false">30*10</f>
        <v>300</v>
      </c>
      <c r="M25" s="38" t="n">
        <f aca="false">30*10</f>
        <v>300</v>
      </c>
      <c r="N25" s="42" t="n">
        <f aca="false">L25+M25</f>
        <v>600</v>
      </c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10*315</f>
        <v>3150</v>
      </c>
      <c r="M26" s="38" t="n">
        <f aca="false">10*485</f>
        <v>4850</v>
      </c>
      <c r="N26" s="42" t="n">
        <f aca="false">L26+M26</f>
        <v>8000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18038.7536015528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18038.7536015528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392.451794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3476.44316833279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115.881438944426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12888.7536015528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5150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18038.7536015528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477.361244501956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478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0.1400879858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0.714503556412197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K62" activeCellId="0" sqref="K62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265</v>
      </c>
      <c r="B2" s="35"/>
      <c r="C2" s="35" t="n">
        <v>5004</v>
      </c>
      <c r="D2" s="35"/>
      <c r="E2" s="35" t="s">
        <v>230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108</v>
      </c>
      <c r="B5" s="38" t="n">
        <v>3</v>
      </c>
      <c r="C5" s="39" t="s">
        <v>205</v>
      </c>
      <c r="D5" s="36" t="s">
        <v>99</v>
      </c>
      <c r="E5" s="38" t="s">
        <v>274</v>
      </c>
      <c r="F5" s="40" t="n">
        <f aca="false">10.7639 * (5.2*2.7)</f>
        <v>151.125156</v>
      </c>
      <c r="G5" s="38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187.546318596</v>
      </c>
      <c r="M5" s="41"/>
      <c r="N5" s="42" t="n">
        <f aca="false">L5+M5</f>
        <v>187.546318596</v>
      </c>
      <c r="O5" s="38" t="n">
        <v>70</v>
      </c>
      <c r="P5" s="38" t="n">
        <v>70</v>
      </c>
      <c r="Q5" s="41" t="n">
        <f aca="false">O5-P5</f>
        <v>0</v>
      </c>
      <c r="R5" s="41" t="n">
        <f aca="false">J5</f>
        <v>0.073</v>
      </c>
      <c r="S5" s="41" t="str">
        <f aca="false">K5</f>
        <v>↔</v>
      </c>
      <c r="T5" s="43" t="n">
        <f aca="false">F5*Q5*R5</f>
        <v>0</v>
      </c>
    </row>
    <row r="6" customFormat="false" ht="13.8" hidden="false" customHeight="false" outlineLevel="0" collapsed="false">
      <c r="A6" s="37" t="s">
        <v>190</v>
      </c>
      <c r="B6" s="38" t="n">
        <v>6</v>
      </c>
      <c r="C6" s="39" t="s">
        <v>175</v>
      </c>
      <c r="D6" s="36" t="s">
        <v>99</v>
      </c>
      <c r="E6" s="38" t="s">
        <v>275</v>
      </c>
      <c r="F6" s="40" t="n">
        <f aca="false">10.7639 *((1.1+1+1)*2.7)</f>
        <v>90.093843</v>
      </c>
      <c r="G6" s="38" t="n">
        <v>78</v>
      </c>
      <c r="H6" s="38" t="n">
        <v>80</v>
      </c>
      <c r="I6" s="41" t="n">
        <f aca="false">H6-G6</f>
        <v>2</v>
      </c>
      <c r="J6" s="38" t="n">
        <v>0.158</v>
      </c>
      <c r="K6" s="38" t="str">
        <f aca="false">_xlfn.UNICHAR(8596)</f>
        <v>↔</v>
      </c>
      <c r="L6" s="42" t="n">
        <f aca="false">F6*I6*J6</f>
        <v>28.469654388</v>
      </c>
      <c r="M6" s="41"/>
      <c r="N6" s="42" t="n">
        <f aca="false">L6+M6</f>
        <v>28.469654388</v>
      </c>
      <c r="O6" s="38" t="n">
        <v>70</v>
      </c>
      <c r="P6" s="38" t="n">
        <v>70</v>
      </c>
      <c r="Q6" s="41" t="n">
        <f aca="false">O6-P6</f>
        <v>0</v>
      </c>
      <c r="R6" s="41" t="n">
        <f aca="false">J6</f>
        <v>0.158</v>
      </c>
      <c r="S6" s="41" t="str">
        <f aca="false">K6</f>
        <v>↔</v>
      </c>
      <c r="T6" s="42" t="n">
        <f aca="false">F6*Q6*R6</f>
        <v>0</v>
      </c>
    </row>
    <row r="7" customFormat="false" ht="13.8" hidden="false" customHeight="false" outlineLevel="0" collapsed="false">
      <c r="A7" s="37" t="s">
        <v>210</v>
      </c>
      <c r="B7" s="38" t="n">
        <v>6</v>
      </c>
      <c r="C7" s="30" t="s">
        <v>175</v>
      </c>
      <c r="D7" s="36" t="s">
        <v>99</v>
      </c>
      <c r="E7" s="38" t="s">
        <v>276</v>
      </c>
      <c r="F7" s="40" t="n">
        <f aca="false">10.7639 *(3.1*2.7)</f>
        <v>90.093843</v>
      </c>
      <c r="G7" s="38" t="n">
        <v>78</v>
      </c>
      <c r="H7" s="38" t="n">
        <v>80</v>
      </c>
      <c r="I7" s="41" t="n">
        <f aca="false">H7-G7</f>
        <v>2</v>
      </c>
      <c r="J7" s="38" t="n">
        <v>0.158</v>
      </c>
      <c r="K7" s="38" t="str">
        <f aca="false">_xlfn.UNICHAR(8596)</f>
        <v>↔</v>
      </c>
      <c r="L7" s="42" t="n">
        <f aca="false">F7*I7*J7</f>
        <v>28.469654388</v>
      </c>
      <c r="M7" s="41"/>
      <c r="N7" s="42" t="n">
        <f aca="false">L7+M7</f>
        <v>28.469654388</v>
      </c>
      <c r="O7" s="38" t="n">
        <v>70</v>
      </c>
      <c r="P7" s="38" t="n">
        <v>70</v>
      </c>
      <c r="Q7" s="41" t="n">
        <f aca="false">O7-P7</f>
        <v>0</v>
      </c>
      <c r="R7" s="41" t="n">
        <f aca="false">J7</f>
        <v>0.158</v>
      </c>
      <c r="S7" s="41" t="str">
        <f aca="false">K7</f>
        <v>↔</v>
      </c>
      <c r="T7" s="43" t="n">
        <f aca="false">F7*Q7*R7</f>
        <v>0</v>
      </c>
    </row>
    <row r="8" customFormat="false" ht="13.8" hidden="false" customHeight="false" outlineLevel="0" collapsed="false">
      <c r="A8" s="37" t="s">
        <v>277</v>
      </c>
      <c r="B8" s="38" t="n">
        <v>6</v>
      </c>
      <c r="C8" s="30" t="s">
        <v>175</v>
      </c>
      <c r="D8" s="36" t="s">
        <v>99</v>
      </c>
      <c r="E8" s="38" t="s">
        <v>266</v>
      </c>
      <c r="F8" s="40" t="n">
        <f aca="false">10.7639 * (4.9*2.7)</f>
        <v>142.406397</v>
      </c>
      <c r="G8" s="38" t="n">
        <v>78</v>
      </c>
      <c r="H8" s="38" t="n">
        <v>78</v>
      </c>
      <c r="I8" s="41" t="n">
        <f aca="false">H8-G8</f>
        <v>0</v>
      </c>
      <c r="J8" s="38" t="n">
        <v>0.158</v>
      </c>
      <c r="K8" s="38" t="str">
        <f aca="false">_xlfn.UNICHAR(8596)</f>
        <v>↔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41" t="n">
        <f aca="false">J8</f>
        <v>0.158</v>
      </c>
      <c r="S8" s="41" t="str">
        <f aca="false">K8</f>
        <v>↔</v>
      </c>
      <c r="T8" s="43" t="n">
        <f aca="false">F8*Q8*R8</f>
        <v>0</v>
      </c>
    </row>
    <row r="9" customFormat="false" ht="13.8" hidden="false" customHeight="false" outlineLevel="0" collapsed="false">
      <c r="A9" s="37" t="s">
        <v>261</v>
      </c>
      <c r="B9" s="38" t="n">
        <v>6</v>
      </c>
      <c r="C9" s="39" t="s">
        <v>104</v>
      </c>
      <c r="D9" s="36" t="s">
        <v>99</v>
      </c>
      <c r="E9" s="38" t="s">
        <v>266</v>
      </c>
      <c r="F9" s="40" t="n">
        <f aca="false">10.7639 * (4.9*2.7)</f>
        <v>142.406397</v>
      </c>
      <c r="G9" s="38" t="n">
        <v>78</v>
      </c>
      <c r="H9" s="38" t="n">
        <v>78</v>
      </c>
      <c r="I9" s="41" t="n">
        <f aca="false">H9-G9</f>
        <v>0</v>
      </c>
      <c r="J9" s="38" t="n">
        <v>0.425</v>
      </c>
      <c r="K9" s="38" t="str">
        <f aca="false">_xlfn.UNICHAR(8596)</f>
        <v>↔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41" t="n">
        <f aca="false">J9</f>
        <v>0.425</v>
      </c>
      <c r="S9" s="41" t="str">
        <f aca="false">K9</f>
        <v>↔</v>
      </c>
      <c r="T9" s="43" t="n">
        <f aca="false">F9*Q9*R9</f>
        <v>0</v>
      </c>
    </row>
    <row r="10" customFormat="false" ht="13.8" hidden="false" customHeight="false" outlineLevel="0" collapsed="false">
      <c r="A10" s="37" t="s">
        <v>202</v>
      </c>
      <c r="B10" s="38" t="n">
        <v>2</v>
      </c>
      <c r="C10" s="39" t="s">
        <v>267</v>
      </c>
      <c r="D10" s="36" t="s">
        <v>106</v>
      </c>
      <c r="E10" s="36"/>
      <c r="F10" s="40" t="n">
        <f aca="false">10.7639 * (29.58)</f>
        <v>318.396162</v>
      </c>
      <c r="G10" s="38" t="n">
        <v>78</v>
      </c>
      <c r="H10" s="38" t="n">
        <v>78</v>
      </c>
      <c r="I10" s="41" t="n">
        <f aca="false">H10-G10</f>
        <v>0</v>
      </c>
      <c r="J10" s="38" t="n">
        <v>0.161</v>
      </c>
      <c r="K10" s="38" t="str">
        <f aca="false">_xlfn.UNICHAR(8595)</f>
        <v>↓</v>
      </c>
      <c r="L10" s="42" t="n">
        <f aca="false">F10*I10*J10</f>
        <v>0</v>
      </c>
      <c r="M10" s="41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41" t="n">
        <f aca="false">J10</f>
        <v>0.161</v>
      </c>
      <c r="S10" s="41" t="str">
        <f aca="false">K10</f>
        <v>↓</v>
      </c>
      <c r="T10" s="43" t="n">
        <f aca="false">F10*Q10*R10</f>
        <v>0</v>
      </c>
    </row>
    <row r="11" customFormat="false" ht="13.8" hidden="false" customHeight="false" outlineLevel="0" collapsed="false">
      <c r="A11" s="37" t="s">
        <v>278</v>
      </c>
      <c r="B11" s="38" t="n">
        <v>1</v>
      </c>
      <c r="C11" s="39" t="s">
        <v>175</v>
      </c>
      <c r="D11" s="36" t="s">
        <v>90</v>
      </c>
      <c r="E11" s="36"/>
      <c r="F11" s="40" t="n">
        <f aca="false">10.7639 * (9.27)</f>
        <v>99.781353</v>
      </c>
      <c r="G11" s="38" t="n">
        <v>78</v>
      </c>
      <c r="H11" s="38" t="n">
        <v>78</v>
      </c>
      <c r="I11" s="41" t="n">
        <f aca="false">H11-G11</f>
        <v>0</v>
      </c>
      <c r="J11" s="38" t="n">
        <v>0.171</v>
      </c>
      <c r="K11" s="38" t="str">
        <f aca="false">_xlfn.UNICHAR(8593)</f>
        <v>↑</v>
      </c>
      <c r="L11" s="42" t="n">
        <f aca="false">F11*I11*J11</f>
        <v>0</v>
      </c>
      <c r="M11" s="41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41" t="n">
        <f aca="false">J11</f>
        <v>0.171</v>
      </c>
      <c r="S11" s="41" t="str">
        <f aca="false">K11</f>
        <v>↑</v>
      </c>
      <c r="T11" s="43" t="n">
        <f aca="false">F11*Q11*R11</f>
        <v>0</v>
      </c>
    </row>
    <row r="12" customFormat="false" ht="13.8" hidden="false" customHeight="false" outlineLevel="0" collapsed="false">
      <c r="A12" s="37" t="s">
        <v>279</v>
      </c>
      <c r="B12" s="38" t="n">
        <v>1</v>
      </c>
      <c r="C12" s="39" t="s">
        <v>175</v>
      </c>
      <c r="D12" s="36" t="s">
        <v>90</v>
      </c>
      <c r="E12" s="38" t="s">
        <v>280</v>
      </c>
      <c r="F12" s="40" t="n">
        <f aca="false">10.7639 * (0.6*1.7)</f>
        <v>10.979178</v>
      </c>
      <c r="G12" s="38" t="n">
        <v>78</v>
      </c>
      <c r="H12" s="38" t="n">
        <v>85</v>
      </c>
      <c r="I12" s="41" t="n">
        <f aca="false">H12-G12</f>
        <v>7</v>
      </c>
      <c r="J12" s="38" t="n">
        <v>0.171</v>
      </c>
      <c r="K12" s="38" t="str">
        <f aca="false">_xlfn.UNICHAR(8593)</f>
        <v>↑</v>
      </c>
      <c r="L12" s="42" t="n">
        <f aca="false">F12*I12*J12</f>
        <v>13.142076066</v>
      </c>
      <c r="M12" s="41"/>
      <c r="N12" s="42" t="n">
        <f aca="false">L12+M12</f>
        <v>13.142076066</v>
      </c>
      <c r="O12" s="38" t="n">
        <v>70</v>
      </c>
      <c r="P12" s="38" t="n">
        <v>70</v>
      </c>
      <c r="Q12" s="41" t="n">
        <f aca="false">O12-P12</f>
        <v>0</v>
      </c>
      <c r="R12" s="41" t="n">
        <f aca="false">J12</f>
        <v>0.171</v>
      </c>
      <c r="S12" s="41" t="str">
        <f aca="false">K12</f>
        <v>↑</v>
      </c>
      <c r="T12" s="43" t="n">
        <f aca="false">F12*Q12*R12</f>
        <v>0</v>
      </c>
    </row>
    <row r="13" customFormat="false" ht="13.8" hidden="false" customHeight="false" outlineLevel="0" collapsed="false">
      <c r="A13" s="37" t="s">
        <v>281</v>
      </c>
      <c r="B13" s="38" t="n">
        <v>1</v>
      </c>
      <c r="C13" s="39" t="s">
        <v>175</v>
      </c>
      <c r="D13" s="36" t="s">
        <v>90</v>
      </c>
      <c r="E13" s="36"/>
      <c r="F13" s="40" t="n">
        <f aca="false">10.7639 * (12.47)</f>
        <v>134.225833</v>
      </c>
      <c r="G13" s="38" t="n">
        <v>78</v>
      </c>
      <c r="H13" s="38" t="n">
        <v>78</v>
      </c>
      <c r="I13" s="41" t="n">
        <f aca="false">H13-G13</f>
        <v>0</v>
      </c>
      <c r="J13" s="38" t="n">
        <v>0.171</v>
      </c>
      <c r="K13" s="38" t="str">
        <f aca="false">_xlfn.UNICHAR(8593)</f>
        <v>↑</v>
      </c>
      <c r="L13" s="42" t="n">
        <f aca="false">F13*I13*J13</f>
        <v>0</v>
      </c>
      <c r="M13" s="36"/>
      <c r="N13" s="42" t="n">
        <f aca="false">L13+M13</f>
        <v>0</v>
      </c>
      <c r="O13" s="38" t="n">
        <v>70</v>
      </c>
      <c r="P13" s="38" t="n">
        <v>70</v>
      </c>
      <c r="Q13" s="41" t="n">
        <f aca="false">O13-P13</f>
        <v>0</v>
      </c>
      <c r="R13" s="41" t="n">
        <f aca="false">J13</f>
        <v>0.171</v>
      </c>
      <c r="S13" s="41" t="str">
        <f aca="false">K13</f>
        <v>↑</v>
      </c>
      <c r="T13" s="43" t="n">
        <f aca="false">F13*Q13*R13</f>
        <v>0</v>
      </c>
    </row>
    <row r="14" customFormat="false" ht="13.8" hidden="false" customHeight="false" outlineLevel="0" collapsed="false">
      <c r="A14" s="37" t="s">
        <v>190</v>
      </c>
      <c r="B14" s="38" t="n">
        <v>1</v>
      </c>
      <c r="C14" s="39" t="s">
        <v>175</v>
      </c>
      <c r="D14" s="36" t="s">
        <v>90</v>
      </c>
      <c r="E14" s="36"/>
      <c r="F14" s="40" t="n">
        <f aca="false">10.7639 * (4.1)</f>
        <v>44.13199</v>
      </c>
      <c r="G14" s="38" t="n">
        <v>78</v>
      </c>
      <c r="H14" s="38" t="n">
        <v>80</v>
      </c>
      <c r="I14" s="41" t="n">
        <f aca="false">H14-G14</f>
        <v>2</v>
      </c>
      <c r="J14" s="38" t="n">
        <v>0.171</v>
      </c>
      <c r="K14" s="38" t="str">
        <f aca="false">_xlfn.UNICHAR(8593)</f>
        <v>↑</v>
      </c>
      <c r="L14" s="42" t="n">
        <f aca="false">F14*I14*J14</f>
        <v>15.09314058</v>
      </c>
      <c r="M14" s="36"/>
      <c r="N14" s="42" t="n">
        <f aca="false">L14+M14</f>
        <v>15.09314058</v>
      </c>
      <c r="O14" s="38" t="n">
        <v>70</v>
      </c>
      <c r="P14" s="38" t="n">
        <v>70</v>
      </c>
      <c r="Q14" s="41" t="n">
        <f aca="false">O14-P14</f>
        <v>0</v>
      </c>
      <c r="R14" s="41" t="n">
        <f aca="false">J14</f>
        <v>0.171</v>
      </c>
      <c r="S14" s="41" t="str">
        <f aca="false">K14</f>
        <v>↑</v>
      </c>
      <c r="T14" s="43" t="n">
        <f aca="false">F14*Q14*R14</f>
        <v>0</v>
      </c>
    </row>
    <row r="15" customFormat="false" ht="13.8" hidden="false" customHeight="false" outlineLevel="0" collapsed="false">
      <c r="A15" s="37" t="s">
        <v>282</v>
      </c>
      <c r="B15" s="38" t="n">
        <v>1</v>
      </c>
      <c r="C15" s="39" t="s">
        <v>175</v>
      </c>
      <c r="D15" s="36" t="s">
        <v>90</v>
      </c>
      <c r="E15" s="38" t="s">
        <v>283</v>
      </c>
      <c r="F15" s="40" t="n">
        <f aca="false">10.7639 * (1.7*1.6)</f>
        <v>29.277808</v>
      </c>
      <c r="G15" s="38" t="n">
        <v>78</v>
      </c>
      <c r="H15" s="38" t="n">
        <v>85</v>
      </c>
      <c r="I15" s="41" t="n">
        <f aca="false">H15-G15</f>
        <v>7</v>
      </c>
      <c r="J15" s="38" t="n">
        <v>0.171</v>
      </c>
      <c r="K15" s="38" t="str">
        <f aca="false">_xlfn.UNICHAR(8593)</f>
        <v>↑</v>
      </c>
      <c r="L15" s="42" t="n">
        <f aca="false">F15*I15*J15</f>
        <v>35.045536176</v>
      </c>
      <c r="M15" s="36"/>
      <c r="N15" s="42" t="n">
        <f aca="false">L15+M15</f>
        <v>35.045536176</v>
      </c>
      <c r="O15" s="38" t="n">
        <v>70</v>
      </c>
      <c r="P15" s="38" t="n">
        <v>70</v>
      </c>
      <c r="Q15" s="41" t="n">
        <f aca="false">O15-P15</f>
        <v>0</v>
      </c>
      <c r="R15" s="41" t="n">
        <f aca="false">J15</f>
        <v>0.171</v>
      </c>
      <c r="S15" s="41" t="str">
        <f aca="false">K15</f>
        <v>↑</v>
      </c>
      <c r="T15" s="43" t="n">
        <f aca="false">F15*Q15*R15</f>
        <v>0</v>
      </c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/>
    <row r="18" customFormat="false" ht="13.8" hidden="false" customHeight="false" outlineLevel="0" collapsed="false">
      <c r="A18" s="45"/>
      <c r="B18" s="36"/>
      <c r="C18" s="36"/>
      <c r="D18" s="36"/>
      <c r="E18" s="36"/>
      <c r="F18" s="46"/>
      <c r="G18" s="36"/>
      <c r="H18" s="36"/>
      <c r="I18" s="36"/>
      <c r="J18" s="36"/>
      <c r="K18" s="36"/>
      <c r="L18" s="46"/>
      <c r="M18" s="36"/>
      <c r="N18" s="46"/>
      <c r="O18" s="36"/>
      <c r="P18" s="36"/>
      <c r="Q18" s="36"/>
      <c r="R18" s="36"/>
      <c r="S18" s="36"/>
      <c r="T18" s="62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307.766380194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(0.6*0.5))*4</f>
        <v>12.91668</v>
      </c>
      <c r="G20" s="36"/>
      <c r="H20" s="36"/>
      <c r="I20" s="36"/>
      <c r="J20" s="36"/>
      <c r="K20" s="36"/>
      <c r="L20" s="38" t="n">
        <f aca="false">F20*160</f>
        <v>2066.6688</v>
      </c>
      <c r="M20" s="36"/>
      <c r="N20" s="42" t="n">
        <f aca="false">L20+M20</f>
        <v>2066.6688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29.58</f>
        <v>318.396162</v>
      </c>
      <c r="G21" s="36"/>
      <c r="H21" s="36"/>
      <c r="I21" s="36"/>
      <c r="J21" s="36"/>
      <c r="K21" s="36"/>
      <c r="L21" s="38" t="n">
        <f aca="false">8*F21</f>
        <v>2547.169296</v>
      </c>
      <c r="M21" s="36"/>
      <c r="N21" s="42" t="n">
        <f aca="false">L21+M21</f>
        <v>2547.169296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 t="s">
        <v>284</v>
      </c>
      <c r="B22" s="36" t="n">
        <v>8</v>
      </c>
      <c r="C22" s="36"/>
      <c r="D22" s="36"/>
      <c r="E22" s="36"/>
      <c r="F22" s="36"/>
      <c r="G22" s="36"/>
      <c r="H22" s="36"/>
      <c r="I22" s="36"/>
      <c r="J22" s="36"/>
      <c r="K22" s="36"/>
      <c r="L22" s="36" t="n">
        <f aca="false">3.412 * 150 * 4 * 0.9</f>
        <v>1842.48</v>
      </c>
      <c r="M22" s="36"/>
      <c r="N22" s="42" t="n">
        <f aca="false">L22+M22</f>
        <v>1842.48</v>
      </c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 t="s">
        <v>285</v>
      </c>
      <c r="B23" s="36" t="n">
        <v>8</v>
      </c>
      <c r="C23" s="36"/>
      <c r="D23" s="36"/>
      <c r="E23" s="36"/>
      <c r="F23" s="36"/>
      <c r="G23" s="36"/>
      <c r="H23" s="36"/>
      <c r="I23" s="36"/>
      <c r="J23" s="36"/>
      <c r="K23" s="36"/>
      <c r="L23" s="36" t="n">
        <f aca="false">3.412 * 40 * 4 * 0.9</f>
        <v>491.328</v>
      </c>
      <c r="M23" s="36"/>
      <c r="N23" s="42" t="n">
        <f aca="false">L23+M23</f>
        <v>491.328</v>
      </c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 t="s">
        <v>286</v>
      </c>
      <c r="B24" s="36" t="n">
        <v>8</v>
      </c>
      <c r="C24" s="36"/>
      <c r="D24" s="36"/>
      <c r="E24" s="36"/>
      <c r="F24" s="36"/>
      <c r="G24" s="36"/>
      <c r="H24" s="36"/>
      <c r="I24" s="36"/>
      <c r="J24" s="36"/>
      <c r="K24" s="36"/>
      <c r="L24" s="36" t="n">
        <f aca="false">3.412 * 100 * 1 * 0.9</f>
        <v>307.08</v>
      </c>
      <c r="M24" s="36"/>
      <c r="N24" s="42" t="n">
        <f aca="false">L24+M24</f>
        <v>307.08</v>
      </c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 t="s">
        <v>287</v>
      </c>
      <c r="B25" s="36" t="n">
        <v>8</v>
      </c>
      <c r="C25" s="36"/>
      <c r="D25" s="36"/>
      <c r="E25" s="36"/>
      <c r="F25" s="36"/>
      <c r="G25" s="36"/>
      <c r="H25" s="36"/>
      <c r="I25" s="36"/>
      <c r="J25" s="36"/>
      <c r="K25" s="36"/>
      <c r="L25" s="36" t="n">
        <f aca="false">3.412 * 10 * 2 * 0.9</f>
        <v>61.416</v>
      </c>
      <c r="M25" s="36"/>
      <c r="N25" s="42" t="n">
        <f aca="false">L25+M25</f>
        <v>61.416</v>
      </c>
      <c r="O25" s="36"/>
      <c r="P25" s="36"/>
      <c r="Q25" s="36"/>
      <c r="R25" s="36"/>
      <c r="S25" s="36"/>
      <c r="T25" s="46"/>
    </row>
    <row r="26" customFormat="false" ht="13.8" hidden="false" customHeight="false" outlineLevel="0" collapsed="false">
      <c r="A26" s="45" t="s">
        <v>288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</row>
    <row r="27" customFormat="false" ht="13.8" hidden="false" customHeight="false" outlineLevel="0" collapsed="false">
      <c r="A27" s="45" t="s">
        <v>114</v>
      </c>
      <c r="B27" s="36" t="n">
        <v>9</v>
      </c>
      <c r="C27" s="36"/>
      <c r="D27" s="36"/>
      <c r="E27" s="36"/>
      <c r="F27" s="36"/>
      <c r="G27" s="36"/>
      <c r="H27" s="36"/>
      <c r="I27" s="36"/>
      <c r="J27" s="36"/>
      <c r="K27" s="36"/>
      <c r="L27" s="38" t="n">
        <f aca="false">2*315</f>
        <v>630</v>
      </c>
      <c r="M27" s="38" t="n">
        <f aca="false">2*485</f>
        <v>970</v>
      </c>
      <c r="N27" s="43" t="n">
        <f aca="false">L27+M27</f>
        <v>1600</v>
      </c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 t="s">
        <v>201</v>
      </c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9223.908476194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9223.908476194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318.396162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2820.43853316742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94.0146177722472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8253.908476194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970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9223.908476194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305.700313933111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306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0.0896797566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0.894838505552882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277</v>
      </c>
      <c r="B2" s="35"/>
      <c r="C2" s="35" t="n">
        <v>5005</v>
      </c>
      <c r="D2" s="35"/>
      <c r="E2" s="35" t="s">
        <v>230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108</v>
      </c>
      <c r="B5" s="38" t="n">
        <v>3</v>
      </c>
      <c r="C5" s="39" t="s">
        <v>205</v>
      </c>
      <c r="D5" s="36" t="s">
        <v>99</v>
      </c>
      <c r="E5" s="38" t="s">
        <v>289</v>
      </c>
      <c r="F5" s="40" t="n">
        <f aca="false">10.7639 * ((4.2+5.9)*2.7)</f>
        <v>293.531553</v>
      </c>
      <c r="G5" s="38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364.272657273</v>
      </c>
      <c r="M5" s="41"/>
      <c r="N5" s="42" t="n">
        <f aca="false">L5+M5</f>
        <v>364.272657273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190</v>
      </c>
      <c r="B6" s="38" t="n">
        <v>6</v>
      </c>
      <c r="C6" s="39" t="s">
        <v>175</v>
      </c>
      <c r="D6" s="36" t="s">
        <v>99</v>
      </c>
      <c r="E6" s="38" t="s">
        <v>290</v>
      </c>
      <c r="F6" s="40" t="n">
        <f aca="false">10.7639 *((3.1+1+1.1)*2.7)</f>
        <v>151.125156</v>
      </c>
      <c r="G6" s="38" t="n">
        <v>78</v>
      </c>
      <c r="H6" s="38" t="n">
        <v>80</v>
      </c>
      <c r="I6" s="41" t="n">
        <f aca="false">H6-G6</f>
        <v>2</v>
      </c>
      <c r="J6" s="38" t="n">
        <v>0.158</v>
      </c>
      <c r="K6" s="38" t="str">
        <f aca="false">_xlfn.UNICHAR(8596)</f>
        <v>↔</v>
      </c>
      <c r="L6" s="42" t="n">
        <f aca="false">F6*I6*J6</f>
        <v>47.755549296</v>
      </c>
      <c r="M6" s="41"/>
      <c r="N6" s="42" t="n">
        <f aca="false">L6+M6</f>
        <v>47.755549296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265</v>
      </c>
      <c r="B7" s="38" t="n">
        <v>6</v>
      </c>
      <c r="C7" s="30" t="s">
        <v>175</v>
      </c>
      <c r="D7" s="36" t="s">
        <v>99</v>
      </c>
      <c r="E7" s="38" t="s">
        <v>266</v>
      </c>
      <c r="F7" s="40" t="n">
        <f aca="false">10.7639 *(4.9*2.7)</f>
        <v>142.406397</v>
      </c>
      <c r="G7" s="38" t="n">
        <v>78</v>
      </c>
      <c r="H7" s="38" t="n">
        <v>78</v>
      </c>
      <c r="I7" s="41" t="n">
        <f aca="false">H7-G7</f>
        <v>0</v>
      </c>
      <c r="J7" s="38" t="n">
        <v>0.158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202</v>
      </c>
      <c r="B8" s="38" t="n">
        <v>2</v>
      </c>
      <c r="C8" s="39" t="s">
        <v>267</v>
      </c>
      <c r="D8" s="36" t="s">
        <v>106</v>
      </c>
      <c r="E8" s="36"/>
      <c r="F8" s="40" t="n">
        <f aca="false">10.7639 * (15.42)</f>
        <v>165.979338</v>
      </c>
      <c r="G8" s="38" t="n">
        <v>78</v>
      </c>
      <c r="H8" s="38" t="n">
        <v>78</v>
      </c>
      <c r="I8" s="41" t="n">
        <f aca="false">H8-G8</f>
        <v>0</v>
      </c>
      <c r="J8" s="38" t="n">
        <v>0.161</v>
      </c>
      <c r="K8" s="38" t="str">
        <f aca="false">_xlfn.UNICHAR(8595)</f>
        <v>↓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291</v>
      </c>
      <c r="B9" s="38" t="n">
        <v>2</v>
      </c>
      <c r="C9" s="39" t="s">
        <v>255</v>
      </c>
      <c r="D9" s="36" t="s">
        <v>106</v>
      </c>
      <c r="E9" s="38" t="s">
        <v>292</v>
      </c>
      <c r="F9" s="40" t="n">
        <f aca="false">10.7639 * (1.4*5.9)</f>
        <v>88.909814</v>
      </c>
      <c r="G9" s="38" t="n">
        <v>78</v>
      </c>
      <c r="H9" s="38" t="n">
        <v>110</v>
      </c>
      <c r="I9" s="41" t="n">
        <f aca="false">H9-G9</f>
        <v>32</v>
      </c>
      <c r="J9" s="38" t="n">
        <v>0.199</v>
      </c>
      <c r="K9" s="38" t="str">
        <f aca="false">_xlfn.UNICHAR(8595)</f>
        <v>↓</v>
      </c>
      <c r="L9" s="42" t="n">
        <f aca="false">F9*I9*J9</f>
        <v>566.177695552</v>
      </c>
      <c r="M9" s="41"/>
      <c r="N9" s="42" t="n">
        <f aca="false">L9+M9</f>
        <v>566.177695552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293</v>
      </c>
      <c r="B10" s="38" t="n">
        <v>1</v>
      </c>
      <c r="C10" s="39" t="s">
        <v>175</v>
      </c>
      <c r="D10" s="36" t="s">
        <v>90</v>
      </c>
      <c r="E10" s="36"/>
      <c r="F10" s="40" t="n">
        <f aca="false">10.7639 * (12.96)</f>
        <v>139.500144</v>
      </c>
      <c r="G10" s="38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41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294</v>
      </c>
      <c r="B11" s="38" t="n">
        <v>1</v>
      </c>
      <c r="C11" s="39" t="s">
        <v>175</v>
      </c>
      <c r="D11" s="36" t="s">
        <v>90</v>
      </c>
      <c r="E11" s="36"/>
      <c r="F11" s="40" t="n">
        <f aca="false">10.7639 * (2.42)</f>
        <v>26.048638</v>
      </c>
      <c r="G11" s="38" t="n">
        <v>78</v>
      </c>
      <c r="H11" s="38" t="n">
        <v>85</v>
      </c>
      <c r="I11" s="41" t="n">
        <f aca="false">H11-G11</f>
        <v>7</v>
      </c>
      <c r="J11" s="38" t="n">
        <v>0.171</v>
      </c>
      <c r="K11" s="38" t="str">
        <f aca="false">_xlfn.UNICHAR(8593)</f>
        <v>↑</v>
      </c>
      <c r="L11" s="42" t="n">
        <f aca="false">F11*I11*J11</f>
        <v>31.180219686</v>
      </c>
      <c r="M11" s="41"/>
      <c r="N11" s="42" t="n">
        <f aca="false">L11+M11</f>
        <v>31.180219686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190</v>
      </c>
      <c r="B12" s="38" t="n">
        <v>1</v>
      </c>
      <c r="C12" s="39" t="s">
        <v>175</v>
      </c>
      <c r="D12" s="36" t="s">
        <v>90</v>
      </c>
      <c r="E12" s="36"/>
      <c r="F12" s="40" t="n">
        <f aca="false">10.7639 * (3.1)</f>
        <v>33.36809</v>
      </c>
      <c r="G12" s="38" t="n">
        <v>78</v>
      </c>
      <c r="H12" s="38" t="n">
        <v>80</v>
      </c>
      <c r="I12" s="41" t="n">
        <f aca="false">H12-G12</f>
        <v>2</v>
      </c>
      <c r="J12" s="38" t="n">
        <v>0.171</v>
      </c>
      <c r="K12" s="38" t="str">
        <f aca="false">_xlfn.UNICHAR(8593)</f>
        <v>↑</v>
      </c>
      <c r="L12" s="42" t="n">
        <f aca="false">F12*I12*J12</f>
        <v>11.41188678</v>
      </c>
      <c r="M12" s="41"/>
      <c r="N12" s="42" t="n">
        <f aca="false">L12+M12</f>
        <v>11.41188678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37" t="s">
        <v>278</v>
      </c>
      <c r="B13" s="38" t="n">
        <v>1</v>
      </c>
      <c r="C13" s="39" t="s">
        <v>175</v>
      </c>
      <c r="D13" s="36" t="s">
        <v>90</v>
      </c>
      <c r="E13" s="38" t="s">
        <v>295</v>
      </c>
      <c r="F13" s="40" t="n">
        <f aca="false">10.7639 * (3.2*1)</f>
        <v>34.44448</v>
      </c>
      <c r="G13" s="38" t="n">
        <v>78</v>
      </c>
      <c r="H13" s="38" t="n">
        <v>78</v>
      </c>
      <c r="I13" s="41" t="n">
        <f aca="false">H13-G13</f>
        <v>0</v>
      </c>
      <c r="J13" s="38" t="n">
        <v>0.171</v>
      </c>
      <c r="K13" s="38" t="str">
        <f aca="false">_xlfn.UNICHAR(8593)</f>
        <v>↑</v>
      </c>
      <c r="L13" s="42" t="n">
        <f aca="false">F13*I13*J13</f>
        <v>0</v>
      </c>
      <c r="M13" s="36"/>
      <c r="N13" s="42" t="n">
        <f aca="false">L13+M13</f>
        <v>0</v>
      </c>
      <c r="O13" s="38" t="n">
        <v>70</v>
      </c>
      <c r="P13" s="38" t="n">
        <v>70</v>
      </c>
      <c r="Q13" s="41" t="n">
        <f aca="false">O13-P13</f>
        <v>0</v>
      </c>
      <c r="R13" s="36"/>
      <c r="S13" s="36"/>
      <c r="T13" s="43" t="n">
        <f aca="false">F13*Q13*R13</f>
        <v>0</v>
      </c>
    </row>
    <row r="14" customFormat="false" ht="13.8" hidden="false" customHeight="false" outlineLevel="0" collapsed="false">
      <c r="A14" s="37" t="s">
        <v>279</v>
      </c>
      <c r="B14" s="38" t="n">
        <v>1</v>
      </c>
      <c r="C14" s="39" t="s">
        <v>175</v>
      </c>
      <c r="D14" s="36" t="s">
        <v>90</v>
      </c>
      <c r="E14" s="38" t="s">
        <v>296</v>
      </c>
      <c r="F14" s="40" t="n">
        <f aca="false">10.7639 * (1.7*1)</f>
        <v>18.29863</v>
      </c>
      <c r="G14" s="38" t="n">
        <v>78</v>
      </c>
      <c r="H14" s="38" t="n">
        <v>85</v>
      </c>
      <c r="I14" s="41" t="n">
        <f aca="false">H14-G14</f>
        <v>7</v>
      </c>
      <c r="J14" s="38" t="n">
        <v>0.171</v>
      </c>
      <c r="K14" s="38" t="str">
        <f aca="false">_xlfn.UNICHAR(8593)</f>
        <v>↑</v>
      </c>
      <c r="L14" s="42" t="n">
        <f aca="false">F14*I14*J14</f>
        <v>21.90346011</v>
      </c>
      <c r="M14" s="36"/>
      <c r="N14" s="42" t="n">
        <f aca="false">L14+M14</f>
        <v>21.90346011</v>
      </c>
      <c r="O14" s="38" t="n">
        <v>70</v>
      </c>
      <c r="P14" s="38" t="n">
        <v>70</v>
      </c>
      <c r="Q14" s="41" t="n">
        <f aca="false">O14-P14</f>
        <v>0</v>
      </c>
      <c r="R14" s="36"/>
      <c r="S14" s="36"/>
      <c r="T14" s="43" t="n">
        <f aca="false">F14*Q14*R14</f>
        <v>0</v>
      </c>
    </row>
    <row r="15" customFormat="false" ht="13.8" hidden="false" customHeight="false" outlineLevel="0" collapsed="false">
      <c r="A15" s="37" t="s">
        <v>297</v>
      </c>
      <c r="B15" s="38" t="n">
        <v>1</v>
      </c>
      <c r="C15" s="60" t="s">
        <v>175</v>
      </c>
      <c r="D15" s="38" t="s">
        <v>90</v>
      </c>
      <c r="E15" s="36"/>
      <c r="F15" s="40" t="n">
        <f aca="false">10.7639 * (0.3)</f>
        <v>3.22917</v>
      </c>
      <c r="G15" s="38" t="n">
        <v>78</v>
      </c>
      <c r="H15" s="38" t="n">
        <v>120</v>
      </c>
      <c r="I15" s="41" t="n">
        <f aca="false">H15-G15</f>
        <v>42</v>
      </c>
      <c r="J15" s="38" t="n">
        <v>0.171</v>
      </c>
      <c r="K15" s="38" t="str">
        <f aca="false">_xlfn.UNICHAR(8593)</f>
        <v>↑</v>
      </c>
      <c r="L15" s="42" t="n">
        <f aca="false">F15*I15*J15</f>
        <v>23.19189894</v>
      </c>
      <c r="M15" s="36"/>
      <c r="N15" s="42" t="n">
        <f aca="false">L15+M15</f>
        <v>23.19189894</v>
      </c>
      <c r="O15" s="38" t="n">
        <v>70</v>
      </c>
      <c r="P15" s="38" t="n">
        <v>70</v>
      </c>
      <c r="Q15" s="41" t="n">
        <f aca="false">O15-P15</f>
        <v>0</v>
      </c>
      <c r="R15" s="36"/>
      <c r="S15" s="36"/>
      <c r="T15" s="43" t="n">
        <f aca="false">F15*Q15*R15</f>
        <v>0</v>
      </c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1065.893367637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 t="s">
        <v>298</v>
      </c>
      <c r="B20" s="36"/>
      <c r="C20" s="36"/>
      <c r="D20" s="36"/>
      <c r="E20" s="36"/>
      <c r="F20" s="38" t="n">
        <f aca="false">(10.7639 * (0.6*0.5))*4</f>
        <v>12.91668</v>
      </c>
      <c r="G20" s="36"/>
      <c r="H20" s="36"/>
      <c r="I20" s="36"/>
      <c r="J20" s="36"/>
      <c r="K20" s="36"/>
      <c r="L20" s="38" t="n">
        <f aca="false">F20*160</f>
        <v>2066.6688</v>
      </c>
      <c r="M20" s="36"/>
      <c r="N20" s="42" t="n">
        <f aca="false">L20+M20</f>
        <v>2066.6688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23.68</f>
        <v>254.889152</v>
      </c>
      <c r="G21" s="36"/>
      <c r="H21" s="36"/>
      <c r="I21" s="36"/>
      <c r="J21" s="36"/>
      <c r="K21" s="36"/>
      <c r="L21" s="38" t="n">
        <f aca="false">8*F21</f>
        <v>2039.113216</v>
      </c>
      <c r="M21" s="36"/>
      <c r="N21" s="42" t="n">
        <f aca="false">L21+M21</f>
        <v>2039.113216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 t="s">
        <v>299</v>
      </c>
      <c r="B22" s="36" t="n">
        <v>8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 t="s">
        <v>300</v>
      </c>
      <c r="B23" s="36" t="n">
        <v>8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 t="s">
        <v>284</v>
      </c>
      <c r="B24" s="36" t="n">
        <v>8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 t="s">
        <v>301</v>
      </c>
      <c r="B25" s="36" t="n">
        <v>8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46"/>
      <c r="O25" s="36"/>
      <c r="P25" s="36"/>
      <c r="Q25" s="36"/>
      <c r="R25" s="36"/>
      <c r="S25" s="36"/>
      <c r="T25" s="4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2*315</f>
        <v>630</v>
      </c>
      <c r="M26" s="38" t="n">
        <f aca="false">2*485</f>
        <v>970</v>
      </c>
      <c r="N26" s="43" t="n">
        <f aca="false">L26+M26</f>
        <v>1600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6771.675383637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6771.675383637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254.889152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2257.87641870874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75.2625472902912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5801.675383637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970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6771.675383637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214.87686606063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215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0.0630102865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0.856756275951458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235</v>
      </c>
      <c r="B2" s="35"/>
      <c r="C2" s="35" t="n">
        <v>5006</v>
      </c>
      <c r="D2" s="35"/>
      <c r="E2" s="35" t="s">
        <v>230</v>
      </c>
      <c r="F2" s="35" t="s">
        <v>302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190</v>
      </c>
      <c r="B5" s="38" t="n">
        <v>6</v>
      </c>
      <c r="C5" s="30" t="s">
        <v>175</v>
      </c>
      <c r="D5" s="36" t="s">
        <v>99</v>
      </c>
      <c r="E5" s="38" t="s">
        <v>236</v>
      </c>
      <c r="F5" s="40" t="n">
        <f aca="false">10.7639 * (2.8*2.7)</f>
        <v>81.375084</v>
      </c>
      <c r="G5" s="38" t="n">
        <v>78</v>
      </c>
      <c r="H5" s="38" t="n">
        <v>80</v>
      </c>
      <c r="I5" s="41" t="n">
        <f aca="false">H5-G5</f>
        <v>2</v>
      </c>
      <c r="J5" s="38" t="n">
        <v>0.158</v>
      </c>
      <c r="K5" s="38" t="str">
        <f aca="false">_xlfn.UNICHAR(8596)</f>
        <v>↔</v>
      </c>
      <c r="L5" s="42" t="n">
        <f aca="false">F5*I5*J5</f>
        <v>25.714526544</v>
      </c>
      <c r="M5" s="41"/>
      <c r="N5" s="42" t="n">
        <f aca="false">L5+M5</f>
        <v>25.714526544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233</v>
      </c>
      <c r="B6" s="38" t="n">
        <v>6</v>
      </c>
      <c r="C6" s="39" t="s">
        <v>104</v>
      </c>
      <c r="D6" s="36" t="s">
        <v>99</v>
      </c>
      <c r="E6" s="38" t="s">
        <v>303</v>
      </c>
      <c r="F6" s="40" t="n">
        <f aca="false">10.7639 *(2.2*2.7)</f>
        <v>63.937566</v>
      </c>
      <c r="G6" s="38" t="n">
        <v>78</v>
      </c>
      <c r="H6" s="38" t="n">
        <v>78</v>
      </c>
      <c r="I6" s="41" t="n">
        <f aca="false">H6-G6</f>
        <v>0</v>
      </c>
      <c r="J6" s="38" t="n">
        <v>0.425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210</v>
      </c>
      <c r="B7" s="38" t="n">
        <v>6</v>
      </c>
      <c r="C7" s="36" t="s">
        <v>175</v>
      </c>
      <c r="D7" s="36" t="s">
        <v>99</v>
      </c>
      <c r="E7" s="38" t="s">
        <v>303</v>
      </c>
      <c r="F7" s="40" t="n">
        <f aca="false">10.7639 *(2.2*2.7)</f>
        <v>63.937566</v>
      </c>
      <c r="G7" s="38" t="n">
        <v>78</v>
      </c>
      <c r="H7" s="38" t="n">
        <v>80</v>
      </c>
      <c r="I7" s="41" t="n">
        <f aca="false">H7-G7</f>
        <v>2</v>
      </c>
      <c r="J7" s="38" t="n">
        <v>0.158</v>
      </c>
      <c r="K7" s="38" t="str">
        <f aca="false">_xlfn.UNICHAR(8596)</f>
        <v>↔</v>
      </c>
      <c r="L7" s="42" t="n">
        <f aca="false">F7*I7*J7</f>
        <v>20.204270856</v>
      </c>
      <c r="M7" s="41"/>
      <c r="N7" s="42" t="n">
        <f aca="false">L7+M7</f>
        <v>20.204270856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229</v>
      </c>
      <c r="B8" s="38" t="n">
        <v>6</v>
      </c>
      <c r="C8" s="36" t="s">
        <v>175</v>
      </c>
      <c r="D8" s="36" t="s">
        <v>99</v>
      </c>
      <c r="E8" s="38" t="s">
        <v>236</v>
      </c>
      <c r="F8" s="40" t="n">
        <f aca="false">10.7639 * (2.8*2.7)</f>
        <v>81.375084</v>
      </c>
      <c r="G8" s="38" t="n">
        <v>78</v>
      </c>
      <c r="H8" s="38" t="n">
        <v>78</v>
      </c>
      <c r="I8" s="41" t="n">
        <f aca="false">H8-G8</f>
        <v>0</v>
      </c>
      <c r="J8" s="38" t="n">
        <v>0.158</v>
      </c>
      <c r="K8" s="38" t="str">
        <f aca="false">_xlfn.UNICHAR(8596)</f>
        <v>↔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178</v>
      </c>
      <c r="B9" s="38" t="n">
        <v>2</v>
      </c>
      <c r="C9" s="39" t="s">
        <v>98</v>
      </c>
      <c r="D9" s="36" t="s">
        <v>106</v>
      </c>
      <c r="E9" s="38" t="s">
        <v>304</v>
      </c>
      <c r="F9" s="40" t="n">
        <f aca="false">10.7639 * (4.78)</f>
        <v>51.451442</v>
      </c>
      <c r="G9" s="38" t="n">
        <v>78</v>
      </c>
      <c r="H9" s="38" t="n">
        <v>130</v>
      </c>
      <c r="I9" s="41" t="n">
        <f aca="false">H9-G9</f>
        <v>52</v>
      </c>
      <c r="J9" s="38" t="n">
        <v>0.801</v>
      </c>
      <c r="K9" s="38" t="str">
        <f aca="false">_xlfn.UNICHAR(8595)</f>
        <v>↓</v>
      </c>
      <c r="L9" s="42" t="n">
        <f aca="false">F9*I9*J9</f>
        <v>2143.055462184</v>
      </c>
      <c r="M9" s="41"/>
      <c r="N9" s="42" t="n">
        <f aca="false">L9+M9</f>
        <v>2143.055462184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305</v>
      </c>
      <c r="B10" s="38" t="n">
        <v>1</v>
      </c>
      <c r="C10" s="39" t="s">
        <v>175</v>
      </c>
      <c r="D10" s="36" t="s">
        <v>90</v>
      </c>
      <c r="E10" s="38"/>
      <c r="F10" s="40" t="n">
        <f aca="false">10.7639 * (5.61)</f>
        <v>60.385479</v>
      </c>
      <c r="G10" s="38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41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306</v>
      </c>
      <c r="B11" s="38" t="n">
        <v>1</v>
      </c>
      <c r="C11" s="39" t="s">
        <v>175</v>
      </c>
      <c r="D11" s="36" t="s">
        <v>90</v>
      </c>
      <c r="E11" s="38"/>
      <c r="F11" s="40" t="n">
        <f aca="false">10.7639 * (0.3*1.98)</f>
        <v>6.3937566</v>
      </c>
      <c r="G11" s="38" t="n">
        <v>78</v>
      </c>
      <c r="H11" s="38" t="n">
        <v>85</v>
      </c>
      <c r="I11" s="41" t="n">
        <f aca="false">H11-G11</f>
        <v>7</v>
      </c>
      <c r="J11" s="38" t="n">
        <v>0.171</v>
      </c>
      <c r="K11" s="38" t="str">
        <f aca="false">_xlfn.UNICHAR(8593)</f>
        <v>↑</v>
      </c>
      <c r="L11" s="42" t="n">
        <f aca="false">F11*I11*J11</f>
        <v>7.6533266502</v>
      </c>
      <c r="M11" s="41"/>
      <c r="N11" s="42" t="n">
        <f aca="false">L11+M11</f>
        <v>7.6533266502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307</v>
      </c>
      <c r="B12" s="38" t="n">
        <v>1</v>
      </c>
      <c r="C12" s="39" t="s">
        <v>175</v>
      </c>
      <c r="D12" s="36" t="s">
        <v>90</v>
      </c>
      <c r="E12" s="38"/>
      <c r="F12" s="40" t="n">
        <f aca="false">10.7639 * (0.3*0.12)</f>
        <v>0.3875004</v>
      </c>
      <c r="G12" s="38" t="n">
        <v>78</v>
      </c>
      <c r="H12" s="38" t="n">
        <v>120</v>
      </c>
      <c r="I12" s="41" t="n">
        <f aca="false">H12-G12</f>
        <v>42</v>
      </c>
      <c r="J12" s="38" t="n">
        <v>0.171</v>
      </c>
      <c r="K12" s="38" t="str">
        <f aca="false">_xlfn.UNICHAR(8593)</f>
        <v>↑</v>
      </c>
      <c r="L12" s="42" t="n">
        <f aca="false">F12*I12*J12</f>
        <v>2.7830278728</v>
      </c>
      <c r="M12" s="41"/>
      <c r="N12" s="42" t="n">
        <f aca="false">L12+M12</f>
        <v>2.7830278728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37" t="s">
        <v>308</v>
      </c>
      <c r="B13" s="36" t="n">
        <v>2</v>
      </c>
      <c r="C13" s="39" t="s">
        <v>98</v>
      </c>
      <c r="D13" s="36" t="s">
        <v>106</v>
      </c>
      <c r="E13" s="36"/>
      <c r="F13" s="40" t="n">
        <f aca="false">10.7639 * (1.46)</f>
        <v>15.715294</v>
      </c>
      <c r="G13" s="38" t="n">
        <v>78</v>
      </c>
      <c r="H13" s="38" t="n">
        <v>120</v>
      </c>
      <c r="I13" s="41" t="n">
        <f aca="false">H13-G13</f>
        <v>42</v>
      </c>
      <c r="J13" s="38" t="n">
        <v>1.113</v>
      </c>
      <c r="K13" s="38" t="str">
        <f aca="false">_xlfn.UNICHAR(8593)</f>
        <v>↑</v>
      </c>
      <c r="L13" s="42" t="n">
        <f aca="false">F13*I13*J13</f>
        <v>734.627133324</v>
      </c>
      <c r="M13" s="41"/>
      <c r="N13" s="42" t="n">
        <f aca="false">L13+M13</f>
        <v>734.627133324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/>
      <c r="B14" s="36"/>
      <c r="C14" s="39"/>
      <c r="D14" s="36"/>
      <c r="E14" s="36"/>
      <c r="F14" s="46"/>
      <c r="G14" s="36"/>
      <c r="H14" s="36"/>
      <c r="I14" s="36"/>
      <c r="J14" s="36"/>
      <c r="K14" s="36"/>
      <c r="L14" s="46"/>
      <c r="M14" s="36"/>
      <c r="N14" s="46"/>
      <c r="O14" s="36"/>
      <c r="P14" s="36"/>
      <c r="Q14" s="36"/>
      <c r="R14" s="36"/>
      <c r="S14" s="36"/>
      <c r="T14" s="62"/>
    </row>
    <row r="15" customFormat="false" ht="13.8" hidden="false" customHeight="false" outlineLevel="0" collapsed="false">
      <c r="A15" s="45"/>
      <c r="B15" s="36"/>
      <c r="C15" s="39"/>
      <c r="D15" s="36"/>
      <c r="E15" s="36"/>
      <c r="F15" s="46"/>
      <c r="G15" s="36"/>
      <c r="H15" s="36"/>
      <c r="I15" s="36"/>
      <c r="J15" s="36"/>
      <c r="K15" s="36"/>
      <c r="L15" s="46"/>
      <c r="M15" s="36"/>
      <c r="N15" s="46"/>
      <c r="O15" s="36"/>
      <c r="P15" s="36"/>
      <c r="Q15" s="36"/>
      <c r="R15" s="36"/>
      <c r="S15" s="36"/>
      <c r="T15" s="62"/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2934.037747431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42"/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(2.6*2.4)</f>
        <v>67.166736</v>
      </c>
      <c r="G21" s="36"/>
      <c r="H21" s="36"/>
      <c r="I21" s="36"/>
      <c r="J21" s="36"/>
      <c r="K21" s="36"/>
      <c r="L21" s="38" t="n">
        <f aca="false">4*$F$21</f>
        <v>268.666944</v>
      </c>
      <c r="M21" s="36"/>
      <c r="N21" s="42" t="n">
        <f aca="false">L21+M21</f>
        <v>268.666944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 t="n">
        <v>8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 t="n">
        <v>8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 t="n">
        <v>8</v>
      </c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4*315</f>
        <v>1260</v>
      </c>
      <c r="M26" s="38" t="n">
        <f aca="false">4*485</f>
        <v>1940</v>
      </c>
      <c r="N26" s="43" t="n">
        <f aca="false">L26+M26</f>
        <v>3200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6402.704691431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6402.704691431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67.166736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594.980948173248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19.8326982724416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4462.704691431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1940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6402.704691431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165.285358941889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166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0.0486498026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0.697003048946427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233</v>
      </c>
      <c r="B2" s="35"/>
      <c r="C2" s="35" t="n">
        <v>5007</v>
      </c>
      <c r="D2" s="35"/>
      <c r="E2" s="35" t="s">
        <v>230</v>
      </c>
      <c r="F2" s="35" t="s">
        <v>302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/>
      <c r="B5" s="38"/>
      <c r="C5" s="39"/>
      <c r="D5" s="38"/>
      <c r="E5" s="38"/>
      <c r="F5" s="40"/>
      <c r="G5" s="38"/>
      <c r="H5" s="38"/>
      <c r="I5" s="41"/>
      <c r="J5" s="38"/>
      <c r="K5" s="38"/>
      <c r="L5" s="42"/>
      <c r="M5" s="41"/>
      <c r="N5" s="42"/>
      <c r="O5" s="38"/>
      <c r="P5" s="38"/>
      <c r="Q5" s="41"/>
      <c r="R5" s="38"/>
      <c r="S5" s="38"/>
      <c r="T5" s="43"/>
    </row>
    <row r="6" customFormat="false" ht="13.8" hidden="false" customHeight="false" outlineLevel="0" collapsed="false">
      <c r="A6" s="37"/>
      <c r="B6" s="38"/>
      <c r="C6" s="38"/>
      <c r="D6" s="38"/>
      <c r="E6" s="38"/>
      <c r="F6" s="40"/>
      <c r="G6" s="38"/>
      <c r="H6" s="38"/>
      <c r="I6" s="41"/>
      <c r="J6" s="38"/>
      <c r="K6" s="38"/>
      <c r="L6" s="42"/>
      <c r="M6" s="41"/>
      <c r="N6" s="42"/>
      <c r="O6" s="38"/>
      <c r="P6" s="38"/>
      <c r="Q6" s="41"/>
      <c r="R6" s="38"/>
      <c r="S6" s="38"/>
      <c r="T6" s="42"/>
    </row>
    <row r="7" customFormat="false" ht="13.8" hidden="false" customHeight="false" outlineLevel="0" collapsed="false">
      <c r="A7" s="37" t="s">
        <v>190</v>
      </c>
      <c r="B7" s="38" t="n">
        <v>6</v>
      </c>
      <c r="C7" s="38" t="s">
        <v>175</v>
      </c>
      <c r="D7" s="38" t="s">
        <v>99</v>
      </c>
      <c r="E7" s="38" t="s">
        <v>309</v>
      </c>
      <c r="F7" s="40" t="n">
        <f aca="false">10.7639 *((1.2+1.7)*2.7)</f>
        <v>84.281337</v>
      </c>
      <c r="G7" s="38" t="n">
        <v>78</v>
      </c>
      <c r="H7" s="38" t="n">
        <v>80</v>
      </c>
      <c r="I7" s="41" t="n">
        <f aca="false">H7-G7</f>
        <v>2</v>
      </c>
      <c r="J7" s="38" t="n">
        <v>0.158</v>
      </c>
      <c r="K7" s="38" t="str">
        <f aca="false">_xlfn.UNICHAR(8596)</f>
        <v>↔</v>
      </c>
      <c r="L7" s="42" t="n">
        <f aca="false">F7*I7*J7</f>
        <v>26.632902492</v>
      </c>
      <c r="M7" s="41"/>
      <c r="N7" s="42" t="n">
        <f aca="false">L7+M7</f>
        <v>26.632902492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178</v>
      </c>
      <c r="B8" s="38" t="n">
        <v>2</v>
      </c>
      <c r="C8" s="60" t="s">
        <v>98</v>
      </c>
      <c r="D8" s="38" t="s">
        <v>106</v>
      </c>
      <c r="E8" s="38" t="s">
        <v>310</v>
      </c>
      <c r="F8" s="40" t="n">
        <f aca="false">10.7639 * (2.4*1.2)</f>
        <v>31.000032</v>
      </c>
      <c r="G8" s="38" t="n">
        <v>78</v>
      </c>
      <c r="H8" s="38" t="n">
        <v>130</v>
      </c>
      <c r="I8" s="41" t="n">
        <f aca="false">H8-G8</f>
        <v>52</v>
      </c>
      <c r="J8" s="38" t="n">
        <v>0.801</v>
      </c>
      <c r="K8" s="38" t="str">
        <f aca="false">_xlfn.UNICHAR(8595)</f>
        <v>↓</v>
      </c>
      <c r="L8" s="42" t="n">
        <f aca="false">F8*I8*J8</f>
        <v>1291.213332864</v>
      </c>
      <c r="M8" s="41"/>
      <c r="N8" s="42" t="n">
        <f aca="false">L8+M8</f>
        <v>1291.213332864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306</v>
      </c>
      <c r="B9" s="38" t="n">
        <v>1</v>
      </c>
      <c r="C9" s="60" t="s">
        <v>175</v>
      </c>
      <c r="D9" s="38" t="s">
        <v>90</v>
      </c>
      <c r="E9" s="38"/>
      <c r="F9" s="40" t="n">
        <f aca="false">10.7639 * (1.898)</f>
        <v>20.4298822</v>
      </c>
      <c r="G9" s="38" t="n">
        <v>78</v>
      </c>
      <c r="H9" s="38" t="n">
        <v>85</v>
      </c>
      <c r="I9" s="41" t="n">
        <f aca="false">H9-G9</f>
        <v>7</v>
      </c>
      <c r="J9" s="38" t="n">
        <v>0.171</v>
      </c>
      <c r="K9" s="38" t="str">
        <f aca="false">_xlfn.UNICHAR(8593)</f>
        <v>↑</v>
      </c>
      <c r="L9" s="42" t="n">
        <f aca="false">F9*I9*J9</f>
        <v>24.4545689934</v>
      </c>
      <c r="M9" s="41"/>
      <c r="N9" s="42" t="n">
        <f aca="false">L9+M9</f>
        <v>24.4545689934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307</v>
      </c>
      <c r="B10" s="36" t="n">
        <v>1</v>
      </c>
      <c r="C10" s="60" t="s">
        <v>175</v>
      </c>
      <c r="D10" s="36" t="s">
        <v>90</v>
      </c>
      <c r="E10" s="38"/>
      <c r="F10" s="40" t="n">
        <f aca="false">10.7639 * (0.6219)</f>
        <v>6.69406941</v>
      </c>
      <c r="G10" s="38" t="n">
        <v>78</v>
      </c>
      <c r="H10" s="38" t="n">
        <v>120</v>
      </c>
      <c r="I10" s="41" t="n">
        <f aca="false">H10-G10</f>
        <v>42</v>
      </c>
      <c r="J10" s="38" t="n">
        <v>1.171</v>
      </c>
      <c r="K10" s="38" t="str">
        <f aca="false">_xlfn.UNICHAR(8593)</f>
        <v>↑</v>
      </c>
      <c r="L10" s="42" t="n">
        <f aca="false">F10*I10*J10</f>
        <v>329.22772172262</v>
      </c>
      <c r="M10" s="41"/>
      <c r="N10" s="42" t="n">
        <f aca="false">L10+M10</f>
        <v>329.22772172262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/>
      <c r="B11" s="36"/>
      <c r="C11" s="39"/>
      <c r="D11" s="36"/>
      <c r="E11" s="36"/>
      <c r="F11" s="46"/>
      <c r="G11" s="36"/>
      <c r="H11" s="36"/>
      <c r="I11" s="36"/>
      <c r="J11" s="36"/>
      <c r="K11" s="36"/>
      <c r="L11" s="46"/>
      <c r="M11" s="36"/>
      <c r="N11" s="46"/>
      <c r="O11" s="36"/>
      <c r="P11" s="36"/>
      <c r="Q11" s="36"/>
      <c r="R11" s="36"/>
      <c r="S11" s="36"/>
      <c r="T11" s="62"/>
    </row>
    <row r="12" customFormat="false" ht="13.8" hidden="false" customHeight="false" outlineLevel="0" collapsed="false">
      <c r="A12" s="45"/>
      <c r="B12" s="36"/>
      <c r="C12" s="39"/>
      <c r="D12" s="36"/>
      <c r="E12" s="36"/>
      <c r="F12" s="46"/>
      <c r="G12" s="36"/>
      <c r="H12" s="36"/>
      <c r="I12" s="36"/>
      <c r="J12" s="36"/>
      <c r="K12" s="36"/>
      <c r="L12" s="46"/>
      <c r="M12" s="36"/>
      <c r="N12" s="46"/>
      <c r="O12" s="36"/>
      <c r="P12" s="36"/>
      <c r="Q12" s="36"/>
      <c r="R12" s="36"/>
      <c r="S12" s="36"/>
      <c r="T12" s="62"/>
    </row>
    <row r="13" customFormat="false" ht="13.8" hidden="false" customHeight="false" outlineLevel="0" collapsed="false">
      <c r="A13" s="45"/>
      <c r="B13" s="36"/>
      <c r="C13" s="39"/>
      <c r="D13" s="36"/>
      <c r="E13" s="36"/>
      <c r="F13" s="46"/>
      <c r="G13" s="36"/>
      <c r="H13" s="36"/>
      <c r="I13" s="36"/>
      <c r="J13" s="36"/>
      <c r="K13" s="36"/>
      <c r="L13" s="46"/>
      <c r="M13" s="36"/>
      <c r="N13" s="46"/>
      <c r="O13" s="36"/>
      <c r="P13" s="36"/>
      <c r="Q13" s="36"/>
      <c r="R13" s="36"/>
      <c r="S13" s="36"/>
      <c r="T13" s="62"/>
    </row>
    <row r="14" customFormat="false" ht="13.8" hidden="false" customHeight="false" outlineLevel="0" collapsed="false">
      <c r="A14" s="45"/>
      <c r="B14" s="36"/>
      <c r="C14" s="39"/>
      <c r="D14" s="36"/>
      <c r="E14" s="36"/>
      <c r="F14" s="46"/>
      <c r="G14" s="36"/>
      <c r="H14" s="36"/>
      <c r="I14" s="36"/>
      <c r="J14" s="36"/>
      <c r="K14" s="36"/>
      <c r="L14" s="46"/>
      <c r="M14" s="36"/>
      <c r="N14" s="46"/>
      <c r="O14" s="36"/>
      <c r="P14" s="36"/>
      <c r="Q14" s="36"/>
      <c r="R14" s="36"/>
      <c r="S14" s="36"/>
      <c r="T14" s="62"/>
    </row>
    <row r="15" customFormat="false" ht="13.8" hidden="false" customHeight="false" outlineLevel="0" collapsed="false">
      <c r="A15" s="45"/>
      <c r="B15" s="36"/>
      <c r="C15" s="39"/>
      <c r="D15" s="36"/>
      <c r="E15" s="36"/>
      <c r="F15" s="46"/>
      <c r="G15" s="36"/>
      <c r="H15" s="36"/>
      <c r="I15" s="36"/>
      <c r="J15" s="36"/>
      <c r="K15" s="36"/>
      <c r="L15" s="46"/>
      <c r="M15" s="36"/>
      <c r="N15" s="46"/>
      <c r="O15" s="36"/>
      <c r="P15" s="36"/>
      <c r="Q15" s="36"/>
      <c r="R15" s="36"/>
      <c r="S15" s="36"/>
      <c r="T15" s="62"/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1671.52852607202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42"/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(2.4*1.2)</f>
        <v>31.000032</v>
      </c>
      <c r="G21" s="36"/>
      <c r="H21" s="36"/>
      <c r="I21" s="36"/>
      <c r="J21" s="36"/>
      <c r="K21" s="36"/>
      <c r="L21" s="38" t="n">
        <f aca="false">4*$F$21</f>
        <v>124.000128</v>
      </c>
      <c r="M21" s="36"/>
      <c r="N21" s="42" t="n">
        <f aca="false">L21+M21</f>
        <v>124.000128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2595.52865407202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2595.52865407202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31.000032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274.606591464576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9.1535530488192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2110.52865407202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2595.52865407202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78.1677279285933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79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0.0231526169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0.813140186590079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293</v>
      </c>
      <c r="B2" s="35"/>
      <c r="C2" s="35" t="n">
        <v>6001</v>
      </c>
      <c r="D2" s="35"/>
      <c r="E2" s="35" t="s">
        <v>311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294</v>
      </c>
      <c r="B5" s="38" t="n">
        <v>6</v>
      </c>
      <c r="C5" s="39" t="s">
        <v>104</v>
      </c>
      <c r="D5" s="38" t="s">
        <v>99</v>
      </c>
      <c r="E5" s="38" t="s">
        <v>312</v>
      </c>
      <c r="F5" s="40" t="n">
        <f aca="false">10.7639 * ((1.6+0.9)*2.7)</f>
        <v>72.656325</v>
      </c>
      <c r="G5" s="38" t="n">
        <v>78</v>
      </c>
      <c r="H5" s="38" t="n">
        <v>85</v>
      </c>
      <c r="I5" s="41" t="n">
        <f aca="false">H5-G5</f>
        <v>7</v>
      </c>
      <c r="J5" s="38" t="n">
        <v>0.425</v>
      </c>
      <c r="K5" s="38" t="str">
        <f aca="false">_xlfn.UNICHAR(8596)</f>
        <v>↔</v>
      </c>
      <c r="L5" s="42" t="n">
        <f aca="false">F5*I5*J5</f>
        <v>216.152566875</v>
      </c>
      <c r="M5" s="41"/>
      <c r="N5" s="42" t="n">
        <f aca="false">L5+M5</f>
        <v>216.152566875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190</v>
      </c>
      <c r="B6" s="38" t="n">
        <v>6</v>
      </c>
      <c r="C6" s="39" t="s">
        <v>104</v>
      </c>
      <c r="D6" s="38" t="s">
        <v>99</v>
      </c>
      <c r="E6" s="38" t="s">
        <v>313</v>
      </c>
      <c r="F6" s="40" t="n">
        <f aca="false">10.7639 *(1.6*2.7)</f>
        <v>46.500048</v>
      </c>
      <c r="G6" s="38" t="n">
        <v>78</v>
      </c>
      <c r="H6" s="38" t="n">
        <v>80</v>
      </c>
      <c r="I6" s="41" t="n">
        <f aca="false">H6-G6</f>
        <v>2</v>
      </c>
      <c r="J6" s="38" t="n">
        <v>0.425</v>
      </c>
      <c r="K6" s="38" t="str">
        <f aca="false">_xlfn.UNICHAR(8596)</f>
        <v>↔</v>
      </c>
      <c r="L6" s="42" t="n">
        <f aca="false">F6*I6*J6</f>
        <v>39.5250408</v>
      </c>
      <c r="M6" s="41"/>
      <c r="N6" s="42" t="n">
        <f aca="false">L6+M6</f>
        <v>39.5250408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/>
      <c r="B7" s="38"/>
      <c r="C7" s="60"/>
      <c r="D7" s="38"/>
      <c r="E7" s="38"/>
      <c r="F7" s="40"/>
      <c r="G7" s="38"/>
      <c r="H7" s="38"/>
      <c r="I7" s="41"/>
      <c r="J7" s="38"/>
      <c r="K7" s="38"/>
      <c r="L7" s="42"/>
      <c r="M7" s="41"/>
      <c r="N7" s="42"/>
      <c r="O7" s="38"/>
      <c r="P7" s="38"/>
      <c r="Q7" s="41"/>
      <c r="R7" s="38"/>
      <c r="S7" s="38"/>
      <c r="T7" s="43"/>
    </row>
    <row r="8" customFormat="false" ht="13.8" hidden="false" customHeight="false" outlineLevel="0" collapsed="false">
      <c r="A8" s="37" t="s">
        <v>279</v>
      </c>
      <c r="B8" s="38" t="n">
        <v>6</v>
      </c>
      <c r="C8" s="39" t="s">
        <v>104</v>
      </c>
      <c r="D8" s="38" t="s">
        <v>99</v>
      </c>
      <c r="E8" s="38" t="s">
        <v>314</v>
      </c>
      <c r="F8" s="40" t="n">
        <f aca="false">10.7639 * (1.7*2.7)</f>
        <v>49.406301</v>
      </c>
      <c r="G8" s="38" t="n">
        <v>78</v>
      </c>
      <c r="H8" s="38" t="n">
        <v>85</v>
      </c>
      <c r="I8" s="41" t="n">
        <f aca="false">H8-G8</f>
        <v>7</v>
      </c>
      <c r="J8" s="38" t="n">
        <v>0.425</v>
      </c>
      <c r="K8" s="38" t="str">
        <f aca="false">_xlfn.UNICHAR(8596)</f>
        <v>↔</v>
      </c>
      <c r="L8" s="42" t="n">
        <f aca="false">F8*I8*J8</f>
        <v>146.983745475</v>
      </c>
      <c r="M8" s="41"/>
      <c r="N8" s="42" t="n">
        <f aca="false">L8+M8</f>
        <v>146.983745475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108</v>
      </c>
      <c r="B9" s="38" t="n">
        <v>3</v>
      </c>
      <c r="C9" s="39" t="s">
        <v>205</v>
      </c>
      <c r="D9" s="38" t="s">
        <v>99</v>
      </c>
      <c r="E9" s="38" t="s">
        <v>315</v>
      </c>
      <c r="F9" s="40" t="n">
        <f aca="false">10.7639 * ((3+2.7)*2.7)</f>
        <v>165.656421</v>
      </c>
      <c r="G9" s="38" t="n">
        <v>78</v>
      </c>
      <c r="H9" s="38" t="n">
        <v>95</v>
      </c>
      <c r="I9" s="41" t="n">
        <f aca="false">H9-G9</f>
        <v>17</v>
      </c>
      <c r="J9" s="38" t="n">
        <v>0.073</v>
      </c>
      <c r="K9" s="38" t="str">
        <f aca="false">_xlfn.UNICHAR(8596)</f>
        <v>↔</v>
      </c>
      <c r="L9" s="42" t="n">
        <f aca="false">F9*I9*J9</f>
        <v>205.579618461</v>
      </c>
      <c r="M9" s="41"/>
      <c r="N9" s="42" t="n">
        <f aca="false">L9+M9</f>
        <v>205.579618461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/>
      <c r="B10" s="38"/>
      <c r="C10" s="60"/>
      <c r="D10" s="38"/>
      <c r="E10" s="36"/>
      <c r="F10" s="40"/>
      <c r="G10" s="38"/>
      <c r="H10" s="38"/>
      <c r="I10" s="41"/>
      <c r="J10" s="38"/>
      <c r="K10" s="38"/>
      <c r="L10" s="42"/>
      <c r="M10" s="41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37" t="s">
        <v>297</v>
      </c>
      <c r="B11" s="38" t="n">
        <v>6</v>
      </c>
      <c r="C11" s="39" t="s">
        <v>104</v>
      </c>
      <c r="D11" s="38" t="s">
        <v>99</v>
      </c>
      <c r="E11" s="38" t="s">
        <v>240</v>
      </c>
      <c r="F11" s="40" t="n">
        <f aca="false">10.7639 * (0.8*2.7)</f>
        <v>23.250024</v>
      </c>
      <c r="G11" s="38" t="n">
        <v>78</v>
      </c>
      <c r="H11" s="38" t="n">
        <v>120</v>
      </c>
      <c r="I11" s="41" t="n">
        <f aca="false">H11-G11</f>
        <v>42</v>
      </c>
      <c r="J11" s="38" t="n">
        <v>0.425</v>
      </c>
      <c r="K11" s="38" t="str">
        <f aca="false">_xlfn.UNICHAR(8596)</f>
        <v>↔</v>
      </c>
      <c r="L11" s="42" t="n">
        <f aca="false">F11*I11*J11</f>
        <v>415.0129284</v>
      </c>
      <c r="M11" s="41"/>
      <c r="N11" s="42" t="n">
        <f aca="false">L11+M11</f>
        <v>415.0129284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/>
      <c r="B12" s="36"/>
      <c r="C12" s="39"/>
      <c r="D12" s="36"/>
      <c r="E12" s="36"/>
      <c r="F12" s="46"/>
      <c r="G12" s="36"/>
      <c r="H12" s="36"/>
      <c r="I12" s="36"/>
      <c r="J12" s="36"/>
      <c r="K12" s="36"/>
      <c r="L12" s="46"/>
      <c r="M12" s="36"/>
      <c r="N12" s="46"/>
      <c r="O12" s="36"/>
      <c r="P12" s="36"/>
      <c r="Q12" s="36"/>
      <c r="R12" s="36"/>
      <c r="S12" s="36"/>
      <c r="T12" s="62"/>
    </row>
    <row r="13" customFormat="false" ht="13.8" hidden="false" customHeight="false" outlineLevel="0" collapsed="false">
      <c r="A13" s="45"/>
      <c r="B13" s="36"/>
      <c r="C13" s="39"/>
      <c r="D13" s="36"/>
      <c r="E13" s="36"/>
      <c r="F13" s="46"/>
      <c r="G13" s="36"/>
      <c r="H13" s="36"/>
      <c r="I13" s="36"/>
      <c r="J13" s="36"/>
      <c r="K13" s="36"/>
      <c r="L13" s="46"/>
      <c r="M13" s="36"/>
      <c r="N13" s="46"/>
      <c r="O13" s="36"/>
      <c r="P13" s="36"/>
      <c r="Q13" s="36"/>
      <c r="R13" s="36"/>
      <c r="S13" s="36"/>
      <c r="T13" s="62"/>
    </row>
    <row r="14" customFormat="false" ht="13.8" hidden="false" customHeight="false" outlineLevel="0" collapsed="false">
      <c r="A14" s="45"/>
      <c r="B14" s="36"/>
      <c r="C14" s="39"/>
      <c r="D14" s="36"/>
      <c r="E14" s="36"/>
      <c r="F14" s="46"/>
      <c r="G14" s="36"/>
      <c r="H14" s="36"/>
      <c r="I14" s="36"/>
      <c r="J14" s="36"/>
      <c r="K14" s="36"/>
      <c r="L14" s="46"/>
      <c r="M14" s="36"/>
      <c r="N14" s="46"/>
      <c r="O14" s="36"/>
      <c r="P14" s="36"/>
      <c r="Q14" s="36"/>
      <c r="R14" s="36"/>
      <c r="S14" s="36"/>
      <c r="T14" s="62"/>
    </row>
    <row r="15" customFormat="false" ht="13.8" hidden="false" customHeight="false" outlineLevel="0" collapsed="false">
      <c r="A15" s="45"/>
      <c r="B15" s="36"/>
      <c r="C15" s="39"/>
      <c r="D15" s="36"/>
      <c r="E15" s="36"/>
      <c r="F15" s="46"/>
      <c r="G15" s="36"/>
      <c r="H15" s="36"/>
      <c r="I15" s="36"/>
      <c r="J15" s="36"/>
      <c r="K15" s="36"/>
      <c r="L15" s="46"/>
      <c r="M15" s="36"/>
      <c r="N15" s="46"/>
      <c r="O15" s="36"/>
      <c r="P15" s="36"/>
      <c r="Q15" s="36"/>
      <c r="R15" s="36"/>
      <c r="S15" s="36"/>
      <c r="T15" s="62"/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/>
    <row r="18" customFormat="false" ht="13.8" hidden="false" customHeight="false" outlineLevel="0" collapsed="false">
      <c r="A18" s="45"/>
      <c r="B18" s="36"/>
      <c r="C18" s="36"/>
      <c r="D18" s="36"/>
      <c r="E18" s="36"/>
      <c r="F18" s="46"/>
      <c r="G18" s="36"/>
      <c r="H18" s="36"/>
      <c r="I18" s="36"/>
      <c r="J18" s="36"/>
      <c r="K18" s="36"/>
      <c r="L18" s="46"/>
      <c r="M18" s="36"/>
      <c r="N18" s="46"/>
      <c r="O18" s="36"/>
      <c r="P18" s="36"/>
      <c r="Q18" s="36"/>
      <c r="R18" s="36"/>
      <c r="S18" s="36"/>
      <c r="T18" s="62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1023.253900011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12.96</f>
        <v>139.500144</v>
      </c>
      <c r="G21" s="36"/>
      <c r="H21" s="36"/>
      <c r="I21" s="36"/>
      <c r="J21" s="36"/>
      <c r="K21" s="36"/>
      <c r="L21" s="38" t="n">
        <f aca="false">4*F21</f>
        <v>558.000576</v>
      </c>
      <c r="M21" s="36"/>
      <c r="N21" s="42" t="n">
        <f aca="false">L21+M21</f>
        <v>558.000576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46"/>
      <c r="M29" s="36"/>
      <c r="N29" s="42" t="n">
        <f aca="false">SUM(N19:N28)</f>
        <v>3414.588876011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3414.588876011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139.500144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1235.72966159059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41.1909887196864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2929.588876011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3414.588876011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108.503291704111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109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0.0319447499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0.857962402616801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278</v>
      </c>
      <c r="B2" s="35"/>
      <c r="C2" s="35" t="n">
        <v>6002</v>
      </c>
      <c r="D2" s="35"/>
      <c r="E2" s="35" t="s">
        <v>311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108</v>
      </c>
      <c r="B5" s="38" t="n">
        <v>6</v>
      </c>
      <c r="C5" s="39" t="s">
        <v>104</v>
      </c>
      <c r="D5" s="38" t="s">
        <v>316</v>
      </c>
      <c r="E5" s="38" t="s">
        <v>276</v>
      </c>
      <c r="F5" s="40" t="n">
        <f aca="false">10.7639 * (3.1*2.7)</f>
        <v>90.093843</v>
      </c>
      <c r="G5" s="38" t="n">
        <v>78</v>
      </c>
      <c r="H5" s="38" t="n">
        <v>95</v>
      </c>
      <c r="I5" s="41" t="n">
        <f aca="false">H5-G5</f>
        <v>17</v>
      </c>
      <c r="J5" s="38" t="n">
        <v>0.313</v>
      </c>
      <c r="K5" s="38" t="str">
        <f aca="false">_xlfn.UNICHAR(8596)</f>
        <v>↔</v>
      </c>
      <c r="L5" s="42" t="n">
        <f aca="false">F5*I5*J5</f>
        <v>479.389338603</v>
      </c>
      <c r="M5" s="41"/>
      <c r="N5" s="42" t="n">
        <f aca="false">L5+M5</f>
        <v>479.389338603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279</v>
      </c>
      <c r="B6" s="38" t="n">
        <v>6</v>
      </c>
      <c r="C6" s="39" t="s">
        <v>104</v>
      </c>
      <c r="D6" s="38" t="s">
        <v>316</v>
      </c>
      <c r="E6" s="38" t="s">
        <v>317</v>
      </c>
      <c r="F6" s="40" t="n">
        <f aca="false">10.7639 *((1.6+1.7)*2.7)</f>
        <v>95.906349</v>
      </c>
      <c r="G6" s="38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210.130810659</v>
      </c>
      <c r="M6" s="41"/>
      <c r="N6" s="42" t="n">
        <f aca="false">L6+M6</f>
        <v>210.130810659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282</v>
      </c>
      <c r="B7" s="38" t="n">
        <v>6</v>
      </c>
      <c r="C7" s="39" t="s">
        <v>104</v>
      </c>
      <c r="D7" s="38" t="s">
        <v>316</v>
      </c>
      <c r="E7" s="38" t="s">
        <v>314</v>
      </c>
      <c r="F7" s="40" t="n">
        <f aca="false">10.7639 *(1.7*2.7)</f>
        <v>49.406301</v>
      </c>
      <c r="G7" s="38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108.249205491</v>
      </c>
      <c r="M7" s="41"/>
      <c r="N7" s="42" t="n">
        <f aca="false">L7+M7</f>
        <v>108.249205491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/>
      <c r="B8" s="38"/>
      <c r="C8" s="39"/>
      <c r="D8" s="38"/>
      <c r="E8" s="38"/>
      <c r="F8" s="40"/>
      <c r="G8" s="38"/>
      <c r="H8" s="38"/>
      <c r="I8" s="41"/>
      <c r="J8" s="38"/>
      <c r="K8" s="38"/>
      <c r="L8" s="42"/>
      <c r="M8" s="41"/>
      <c r="N8" s="42"/>
      <c r="O8" s="38"/>
      <c r="P8" s="38"/>
      <c r="Q8" s="41"/>
      <c r="R8" s="38"/>
      <c r="S8" s="38"/>
      <c r="T8" s="43"/>
    </row>
    <row r="9" customFormat="false" ht="13.8" hidden="false" customHeight="false" outlineLevel="0" collapsed="false">
      <c r="A9" s="37"/>
      <c r="B9" s="38"/>
      <c r="C9" s="39"/>
      <c r="D9" s="38"/>
      <c r="E9" s="38"/>
      <c r="F9" s="40"/>
      <c r="G9" s="38"/>
      <c r="H9" s="38"/>
      <c r="I9" s="41"/>
      <c r="J9" s="38"/>
      <c r="K9" s="38"/>
      <c r="L9" s="42"/>
      <c r="M9" s="41"/>
      <c r="N9" s="42"/>
      <c r="O9" s="38"/>
      <c r="P9" s="38"/>
      <c r="Q9" s="41"/>
      <c r="R9" s="38"/>
      <c r="S9" s="38"/>
      <c r="T9" s="43"/>
    </row>
    <row r="10" customFormat="false" ht="13.8" hidden="false" customHeight="false" outlineLevel="0" collapsed="false">
      <c r="A10" s="37" t="s">
        <v>190</v>
      </c>
      <c r="B10" s="38" t="n">
        <v>2</v>
      </c>
      <c r="C10" s="60" t="s">
        <v>175</v>
      </c>
      <c r="D10" s="38" t="s">
        <v>318</v>
      </c>
      <c r="E10" s="38" t="s">
        <v>319</v>
      </c>
      <c r="F10" s="40" t="n">
        <f aca="false">10.7639 * (1.5*2.7)</f>
        <v>43.593795</v>
      </c>
      <c r="G10" s="38" t="n">
        <v>78</v>
      </c>
      <c r="H10" s="38" t="n">
        <v>80</v>
      </c>
      <c r="I10" s="41" t="n">
        <f aca="false">H10-G10</f>
        <v>2</v>
      </c>
      <c r="J10" s="38" t="n">
        <v>0.144</v>
      </c>
      <c r="K10" s="38" t="str">
        <f aca="false">_xlfn.UNICHAR(8595)</f>
        <v>↓</v>
      </c>
      <c r="L10" s="42" t="n">
        <f aca="false">F10*I10*J10</f>
        <v>12.55501296</v>
      </c>
      <c r="M10" s="36"/>
      <c r="N10" s="42" t="n">
        <f aca="false">L10+M10</f>
        <v>12.55501296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/>
      <c r="B11" s="38"/>
      <c r="C11" s="60"/>
      <c r="D11" s="38"/>
      <c r="E11" s="36"/>
      <c r="F11" s="40"/>
      <c r="G11" s="38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37"/>
      <c r="B12" s="38"/>
      <c r="C12" s="60"/>
      <c r="D12" s="38"/>
      <c r="E12" s="38"/>
      <c r="F12" s="40"/>
      <c r="G12" s="38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6"/>
      <c r="S12" s="36"/>
      <c r="T12" s="43"/>
    </row>
    <row r="13" customFormat="false" ht="13.8" hidden="false" customHeight="false" outlineLevel="0" collapsed="false">
      <c r="A13" s="37"/>
      <c r="B13" s="38"/>
      <c r="C13" s="60"/>
      <c r="D13" s="38"/>
      <c r="E13" s="38"/>
      <c r="F13" s="40"/>
      <c r="G13" s="38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6"/>
      <c r="S13" s="36"/>
      <c r="T13" s="43"/>
    </row>
    <row r="14" customFormat="false" ht="13.8" hidden="false" customHeight="false" outlineLevel="0" collapsed="false">
      <c r="A14" s="37"/>
      <c r="B14" s="38"/>
      <c r="C14" s="60"/>
      <c r="D14" s="38"/>
      <c r="E14" s="36"/>
      <c r="F14" s="40"/>
      <c r="G14" s="38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6"/>
      <c r="S14" s="36"/>
      <c r="T14" s="43"/>
    </row>
    <row r="15" customFormat="false" ht="13.8" hidden="false" customHeight="false" outlineLevel="0" collapsed="false">
      <c r="A15" s="37" t="s">
        <v>320</v>
      </c>
      <c r="B15" s="38" t="n">
        <v>1</v>
      </c>
      <c r="C15" s="60" t="s">
        <v>175</v>
      </c>
      <c r="D15" s="38" t="s">
        <v>321</v>
      </c>
      <c r="E15" s="38" t="s">
        <v>322</v>
      </c>
      <c r="F15" s="40" t="n">
        <f aca="false">10.7639 * (1.5*2.1)</f>
        <v>33.906285</v>
      </c>
      <c r="G15" s="38" t="n">
        <v>78</v>
      </c>
      <c r="H15" s="38" t="n">
        <v>85</v>
      </c>
      <c r="I15" s="41" t="n">
        <f aca="false">H15-G15</f>
        <v>7</v>
      </c>
      <c r="J15" s="38" t="n">
        <v>0.171</v>
      </c>
      <c r="K15" s="38" t="str">
        <f aca="false">_xlfn.UNICHAR(8593)</f>
        <v>↑</v>
      </c>
      <c r="L15" s="42" t="n">
        <f aca="false">F15*I15*J15</f>
        <v>40.585823145</v>
      </c>
      <c r="M15" s="36"/>
      <c r="N15" s="42" t="n">
        <f aca="false">L15+M15</f>
        <v>40.585823145</v>
      </c>
      <c r="O15" s="38" t="n">
        <v>70</v>
      </c>
      <c r="P15" s="38" t="n">
        <v>70</v>
      </c>
      <c r="Q15" s="41" t="n">
        <f aca="false">O15-P15</f>
        <v>0</v>
      </c>
      <c r="R15" s="36"/>
      <c r="S15" s="36"/>
      <c r="T15" s="43" t="n">
        <f aca="false">F15*Q15*R15</f>
        <v>0</v>
      </c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850.910190858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(12.47)</f>
        <v>134.225833</v>
      </c>
      <c r="G21" s="36"/>
      <c r="H21" s="36"/>
      <c r="I21" s="36"/>
      <c r="J21" s="36"/>
      <c r="K21" s="36"/>
      <c r="L21" s="36" t="n">
        <f aca="false">4*F21</f>
        <v>536.903332</v>
      </c>
      <c r="M21" s="36"/>
      <c r="N21" s="42" t="n">
        <f aca="false">L21+M21</f>
        <v>536.903332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3221.147922858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3221.147922858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134.225833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1189.00840123724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39.6336133745748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2736.147922858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3221.147922858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101.338811957704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102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0.0298932522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0.849432558946353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281</v>
      </c>
      <c r="B2" s="35"/>
      <c r="C2" s="35" t="n">
        <v>6003</v>
      </c>
      <c r="D2" s="35"/>
      <c r="E2" s="35" t="s">
        <v>311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282</v>
      </c>
      <c r="B5" s="36" t="n">
        <v>6</v>
      </c>
      <c r="C5" s="39" t="s">
        <v>104</v>
      </c>
      <c r="D5" s="36" t="s">
        <v>99</v>
      </c>
      <c r="E5" s="38" t="s">
        <v>317</v>
      </c>
      <c r="F5" s="40" t="n">
        <f aca="false">10.7639 *((1.6+1.7)*2.7)</f>
        <v>95.906349</v>
      </c>
      <c r="G5" s="36" t="n">
        <v>78</v>
      </c>
      <c r="H5" s="38" t="n">
        <v>85</v>
      </c>
      <c r="I5" s="41" t="n">
        <f aca="false">H5-G5</f>
        <v>7</v>
      </c>
      <c r="J5" s="38" t="n">
        <v>0.313</v>
      </c>
      <c r="K5" s="38" t="str">
        <f aca="false">_xlfn.UNICHAR(8596)</f>
        <v>↔</v>
      </c>
      <c r="L5" s="42" t="n">
        <f aca="false">F5*I5*J5</f>
        <v>210.130810659</v>
      </c>
      <c r="M5" s="41"/>
      <c r="N5" s="42" t="n">
        <f aca="false">L5+M5</f>
        <v>210.130810659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269</v>
      </c>
      <c r="B6" s="36" t="n">
        <v>6</v>
      </c>
      <c r="C6" s="39" t="s">
        <v>104</v>
      </c>
      <c r="D6" s="36" t="s">
        <v>99</v>
      </c>
      <c r="E6" s="38" t="s">
        <v>266</v>
      </c>
      <c r="F6" s="40" t="n">
        <f aca="false">10.7639 *(4.9*2.7)</f>
        <v>142.406397</v>
      </c>
      <c r="G6" s="36" t="n">
        <v>78</v>
      </c>
      <c r="H6" s="38" t="n">
        <v>78</v>
      </c>
      <c r="I6" s="41" t="n">
        <f aca="false">H6-G6</f>
        <v>0</v>
      </c>
      <c r="J6" s="38" t="n">
        <v>0.313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278</v>
      </c>
      <c r="B7" s="36" t="n">
        <v>6</v>
      </c>
      <c r="C7" s="39" t="s">
        <v>104</v>
      </c>
      <c r="D7" s="36" t="s">
        <v>99</v>
      </c>
      <c r="E7" s="38" t="s">
        <v>323</v>
      </c>
      <c r="F7" s="40" t="n">
        <f aca="false">10.7639 *(3.2*2.7)</f>
        <v>93.000096</v>
      </c>
      <c r="G7" s="36" t="n">
        <v>78</v>
      </c>
      <c r="H7" s="38" t="n">
        <v>78</v>
      </c>
      <c r="I7" s="41" t="n">
        <f aca="false">H7-G7</f>
        <v>0</v>
      </c>
      <c r="J7" s="38" t="n">
        <v>0.313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190</v>
      </c>
      <c r="B8" s="36" t="n">
        <v>6</v>
      </c>
      <c r="C8" s="39" t="s">
        <v>104</v>
      </c>
      <c r="D8" s="36" t="s">
        <v>99</v>
      </c>
      <c r="E8" s="38" t="s">
        <v>319</v>
      </c>
      <c r="F8" s="40" t="n">
        <f aca="false">10.7639 * (1.5*2.7)</f>
        <v>43.593795</v>
      </c>
      <c r="G8" s="36" t="n">
        <v>78</v>
      </c>
      <c r="H8" s="38" t="n">
        <v>80</v>
      </c>
      <c r="I8" s="41" t="n">
        <f aca="false">H8-G8</f>
        <v>2</v>
      </c>
      <c r="J8" s="38" t="n">
        <v>0.313</v>
      </c>
      <c r="K8" s="38" t="str">
        <f aca="false">_xlfn.UNICHAR(8596)</f>
        <v>↔</v>
      </c>
      <c r="L8" s="42" t="n">
        <f aca="false">F8*I8*J8</f>
        <v>27.28971567</v>
      </c>
      <c r="M8" s="41"/>
      <c r="N8" s="42" t="n">
        <f aca="false">L8+M8</f>
        <v>27.28971567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108</v>
      </c>
      <c r="B9" s="36" t="n">
        <v>3</v>
      </c>
      <c r="C9" s="39" t="s">
        <v>205</v>
      </c>
      <c r="D9" s="36" t="s">
        <v>99</v>
      </c>
      <c r="E9" s="38" t="s">
        <v>276</v>
      </c>
      <c r="F9" s="40" t="n">
        <f aca="false">10.7639 * (3.1*2.7)</f>
        <v>90.093843</v>
      </c>
      <c r="G9" s="36" t="n">
        <v>78</v>
      </c>
      <c r="H9" s="38" t="n">
        <v>95</v>
      </c>
      <c r="I9" s="41" t="n">
        <f aca="false">H9-G9</f>
        <v>17</v>
      </c>
      <c r="J9" s="38" t="n">
        <v>0.063</v>
      </c>
      <c r="K9" s="38" t="str">
        <f aca="false">_xlfn.UNICHAR(8596)</f>
        <v>↔</v>
      </c>
      <c r="L9" s="42" t="n">
        <f aca="false">F9*I9*J9</f>
        <v>96.490505853</v>
      </c>
      <c r="M9" s="41"/>
      <c r="N9" s="42" t="n">
        <f aca="false">L9+M9</f>
        <v>96.490505853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190</v>
      </c>
      <c r="B10" s="36" t="n">
        <v>1</v>
      </c>
      <c r="C10" s="39" t="s">
        <v>175</v>
      </c>
      <c r="D10" s="36" t="s">
        <v>90</v>
      </c>
      <c r="E10" s="38" t="s">
        <v>324</v>
      </c>
      <c r="F10" s="40" t="n">
        <f aca="false">10.7639 * (0.3*1.5)</f>
        <v>4.843755</v>
      </c>
      <c r="G10" s="36" t="n">
        <v>78</v>
      </c>
      <c r="H10" s="38" t="n">
        <v>80</v>
      </c>
      <c r="I10" s="41" t="n">
        <f aca="false">H10-G10</f>
        <v>2</v>
      </c>
      <c r="J10" s="38" t="n">
        <v>0.171</v>
      </c>
      <c r="K10" s="38" t="str">
        <f aca="false">_xlfn.UNICHAR(8593)</f>
        <v>↑</v>
      </c>
      <c r="L10" s="42" t="n">
        <f aca="false">F10*I10*J10</f>
        <v>1.65656421</v>
      </c>
      <c r="M10" s="36"/>
      <c r="N10" s="42" t="n">
        <f aca="false">L10+M10</f>
        <v>1.65656421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325</v>
      </c>
      <c r="B11" s="36" t="n">
        <v>1</v>
      </c>
      <c r="C11" s="39" t="s">
        <v>175</v>
      </c>
      <c r="D11" s="36" t="s">
        <v>90</v>
      </c>
      <c r="E11" s="36"/>
      <c r="F11" s="40" t="n">
        <f aca="false">10.7639 * (10.82)</f>
        <v>116.465398</v>
      </c>
      <c r="G11" s="36" t="n">
        <v>78</v>
      </c>
      <c r="H11" s="38" t="n">
        <v>78</v>
      </c>
      <c r="I11" s="41" t="n">
        <f aca="false">H11-G11</f>
        <v>0</v>
      </c>
      <c r="J11" s="38" t="n">
        <v>0.171</v>
      </c>
      <c r="K11" s="38" t="str">
        <f aca="false">_xlfn.UNICHAR(8593)</f>
        <v>↑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265</v>
      </c>
      <c r="B12" s="36" t="n">
        <v>2</v>
      </c>
      <c r="C12" s="39" t="s">
        <v>175</v>
      </c>
      <c r="D12" s="36" t="s">
        <v>106</v>
      </c>
      <c r="E12" s="36"/>
      <c r="F12" s="40" t="n">
        <f aca="false">10.7639 * (12.47)</f>
        <v>134.225833</v>
      </c>
      <c r="G12" s="36" t="n">
        <v>78</v>
      </c>
      <c r="H12" s="38" t="n">
        <v>78</v>
      </c>
      <c r="I12" s="41" t="n">
        <f aca="false">H12-G12</f>
        <v>0</v>
      </c>
      <c r="J12" s="38" t="n">
        <v>0.144</v>
      </c>
      <c r="K12" s="38" t="str">
        <f aca="false">_xlfn.UNICHAR(8595)</f>
        <v>↓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6"/>
      <c r="S12" s="36"/>
      <c r="T12" s="43" t="n">
        <f aca="false">F12*Q12*R12</f>
        <v>0</v>
      </c>
    </row>
    <row r="13" customFormat="false" ht="13.8" hidden="false" customHeight="false" outlineLevel="0" collapsed="false">
      <c r="A13" s="45"/>
      <c r="B13" s="36"/>
      <c r="C13" s="39"/>
      <c r="D13" s="36"/>
      <c r="E13" s="36"/>
      <c r="F13" s="46"/>
      <c r="G13" s="36"/>
      <c r="H13" s="36"/>
      <c r="I13" s="41"/>
      <c r="J13" s="38"/>
      <c r="K13" s="38"/>
      <c r="L13" s="42"/>
      <c r="M13" s="36"/>
      <c r="N13" s="42"/>
      <c r="O13" s="38"/>
      <c r="P13" s="38"/>
      <c r="Q13" s="41"/>
      <c r="R13" s="36"/>
      <c r="S13" s="36"/>
      <c r="T13" s="43"/>
    </row>
    <row r="14" customFormat="false" ht="13.8" hidden="false" customHeight="false" outlineLevel="0" collapsed="false">
      <c r="A14" s="45"/>
      <c r="B14" s="36"/>
      <c r="C14" s="39"/>
      <c r="D14" s="36"/>
      <c r="E14" s="36"/>
      <c r="F14" s="46"/>
      <c r="G14" s="36"/>
      <c r="H14" s="36"/>
      <c r="I14" s="41"/>
      <c r="J14" s="38"/>
      <c r="K14" s="38"/>
      <c r="L14" s="42"/>
      <c r="M14" s="36"/>
      <c r="N14" s="42"/>
      <c r="O14" s="38"/>
      <c r="P14" s="38"/>
      <c r="Q14" s="41"/>
      <c r="R14" s="36"/>
      <c r="S14" s="36"/>
      <c r="T14" s="43"/>
    </row>
    <row r="15" customFormat="false" ht="13.8" hidden="false" customHeight="false" outlineLevel="0" collapsed="false">
      <c r="A15" s="45"/>
      <c r="B15" s="36"/>
      <c r="C15" s="39"/>
      <c r="D15" s="36"/>
      <c r="E15" s="36"/>
      <c r="F15" s="46"/>
      <c r="G15" s="36"/>
      <c r="H15" s="36"/>
      <c r="I15" s="41"/>
      <c r="J15" s="38"/>
      <c r="K15" s="38"/>
      <c r="L15" s="42"/>
      <c r="M15" s="36"/>
      <c r="N15" s="42"/>
      <c r="O15" s="38"/>
      <c r="P15" s="38"/>
      <c r="Q15" s="41"/>
      <c r="R15" s="36"/>
      <c r="S15" s="36"/>
      <c r="T15" s="43"/>
    </row>
    <row r="16" customFormat="false" ht="13.8" hidden="false" customHeight="false" outlineLevel="0" collapsed="false">
      <c r="A16" s="45"/>
      <c r="B16" s="36"/>
      <c r="C16" s="36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6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/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SUM(N5:N17)</f>
        <v>335.567596392</v>
      </c>
      <c r="O19" s="36"/>
      <c r="P19" s="36"/>
      <c r="Q19" s="36"/>
      <c r="R19" s="36"/>
      <c r="S19" s="36"/>
      <c r="T19" s="42" t="n">
        <f aca="false">SUM(T5:T17)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(12.47)</f>
        <v>134.225833</v>
      </c>
      <c r="G21" s="36"/>
      <c r="H21" s="36"/>
      <c r="I21" s="36"/>
      <c r="J21" s="36"/>
      <c r="K21" s="36"/>
      <c r="L21" s="36" t="n">
        <f aca="false">8*F21</f>
        <v>1073.806664</v>
      </c>
      <c r="M21" s="36"/>
      <c r="N21" s="42" t="n">
        <f aca="false">L21+M21</f>
        <v>1073.806664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3242.708660392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3242.708660392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134.225833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1189.00840123724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39.6336133745748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2757.708660392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3242.708660392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102.137357792296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103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0.0301863233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0.850433680359872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305</v>
      </c>
      <c r="B2" s="35"/>
      <c r="C2" s="35" t="n">
        <v>6004</v>
      </c>
      <c r="D2" s="35"/>
      <c r="E2" s="35" t="s">
        <v>311</v>
      </c>
      <c r="F2" s="35" t="s">
        <v>326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306</v>
      </c>
      <c r="B5" s="36" t="n">
        <v>6</v>
      </c>
      <c r="C5" s="39" t="s">
        <v>104</v>
      </c>
      <c r="D5" s="36" t="s">
        <v>99</v>
      </c>
      <c r="E5" s="36" t="s">
        <v>317</v>
      </c>
      <c r="F5" s="40" t="n">
        <f aca="false">10.7639 *((1.6+1.7)*2.7)</f>
        <v>95.906349</v>
      </c>
      <c r="G5" s="36" t="n">
        <v>78</v>
      </c>
      <c r="H5" s="38" t="n">
        <v>85</v>
      </c>
      <c r="I5" s="41" t="n">
        <f aca="false">H5-G5</f>
        <v>7</v>
      </c>
      <c r="J5" s="38" t="n">
        <v>0.313</v>
      </c>
      <c r="K5" s="38" t="str">
        <f aca="false">_xlfn.UNICHAR(8596)</f>
        <v>↔</v>
      </c>
      <c r="L5" s="42" t="n">
        <f aca="false">F5*I5*J5</f>
        <v>210.130810659</v>
      </c>
      <c r="M5" s="41"/>
      <c r="N5" s="42" t="n">
        <f aca="false">L5+M5</f>
        <v>210.130810659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190</v>
      </c>
      <c r="B6" s="36" t="n">
        <v>6</v>
      </c>
      <c r="C6" s="39" t="s">
        <v>104</v>
      </c>
      <c r="D6" s="36" t="s">
        <v>99</v>
      </c>
      <c r="E6" s="36" t="s">
        <v>266</v>
      </c>
      <c r="F6" s="40" t="n">
        <f aca="false">10.7639 *(4.9*2.7)</f>
        <v>142.406397</v>
      </c>
      <c r="G6" s="36" t="n">
        <v>78</v>
      </c>
      <c r="H6" s="38" t="n">
        <v>80</v>
      </c>
      <c r="I6" s="41" t="n">
        <f aca="false">H6-G6</f>
        <v>2</v>
      </c>
      <c r="J6" s="38" t="n">
        <v>0.313</v>
      </c>
      <c r="K6" s="38" t="str">
        <f aca="false">_xlfn.UNICHAR(8596)</f>
        <v>↔</v>
      </c>
      <c r="L6" s="42" t="n">
        <f aca="false">F6*I6*J6</f>
        <v>89.146404522</v>
      </c>
      <c r="M6" s="41"/>
      <c r="N6" s="42" t="n">
        <f aca="false">L6+M6</f>
        <v>89.146404522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245</v>
      </c>
      <c r="B7" s="36" t="n">
        <v>6</v>
      </c>
      <c r="C7" s="39" t="s">
        <v>104</v>
      </c>
      <c r="D7" s="36" t="s">
        <v>99</v>
      </c>
      <c r="E7" s="36" t="s">
        <v>323</v>
      </c>
      <c r="F7" s="40" t="n">
        <f aca="false">10.7639 *(3.2*2.7)</f>
        <v>93.000096</v>
      </c>
      <c r="G7" s="36" t="n">
        <v>78</v>
      </c>
      <c r="H7" s="38" t="n">
        <v>78</v>
      </c>
      <c r="I7" s="41" t="n">
        <f aca="false">H7-G7</f>
        <v>0</v>
      </c>
      <c r="J7" s="38" t="n">
        <v>0.313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190</v>
      </c>
      <c r="B8" s="36" t="n">
        <v>6</v>
      </c>
      <c r="C8" s="39" t="s">
        <v>104</v>
      </c>
      <c r="D8" s="36" t="s">
        <v>99</v>
      </c>
      <c r="E8" s="36" t="s">
        <v>319</v>
      </c>
      <c r="F8" s="40" t="n">
        <f aca="false">10.7639 * (1.5*2.7)</f>
        <v>43.593795</v>
      </c>
      <c r="G8" s="36" t="n">
        <v>78</v>
      </c>
      <c r="H8" s="38" t="n">
        <v>80</v>
      </c>
      <c r="I8" s="41" t="n">
        <f aca="false">H8-G8</f>
        <v>2</v>
      </c>
      <c r="J8" s="38" t="n">
        <v>0.313</v>
      </c>
      <c r="K8" s="38" t="str">
        <f aca="false">_xlfn.UNICHAR(8596)</f>
        <v>↔</v>
      </c>
      <c r="L8" s="42" t="n">
        <f aca="false">F8*I8*J8</f>
        <v>27.28971567</v>
      </c>
      <c r="M8" s="41"/>
      <c r="N8" s="42" t="n">
        <f aca="false">L8+M8</f>
        <v>27.28971567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108</v>
      </c>
      <c r="B9" s="36" t="n">
        <v>3</v>
      </c>
      <c r="C9" s="39" t="s">
        <v>205</v>
      </c>
      <c r="D9" s="36" t="s">
        <v>99</v>
      </c>
      <c r="E9" s="36" t="s">
        <v>276</v>
      </c>
      <c r="F9" s="40" t="n">
        <f aca="false">10.7639 * (3.1*2.7)</f>
        <v>90.093843</v>
      </c>
      <c r="G9" s="36" t="n">
        <v>78</v>
      </c>
      <c r="H9" s="38" t="n">
        <v>95</v>
      </c>
      <c r="I9" s="41" t="n">
        <f aca="false">H9-G9</f>
        <v>17</v>
      </c>
      <c r="J9" s="38" t="n">
        <v>0.063</v>
      </c>
      <c r="K9" s="38" t="str">
        <f aca="false">_xlfn.UNICHAR(8596)</f>
        <v>↔</v>
      </c>
      <c r="L9" s="42" t="n">
        <f aca="false">F9*I9*J9</f>
        <v>96.490505853</v>
      </c>
      <c r="M9" s="41"/>
      <c r="N9" s="42" t="n">
        <f aca="false">L9+M9</f>
        <v>96.490505853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190</v>
      </c>
      <c r="B10" s="36" t="n">
        <v>1</v>
      </c>
      <c r="C10" s="39" t="s">
        <v>175</v>
      </c>
      <c r="D10" s="36" t="s">
        <v>90</v>
      </c>
      <c r="E10" s="38" t="s">
        <v>327</v>
      </c>
      <c r="F10" s="40" t="n">
        <f aca="false">10.7639 * (0.1*1.3)</f>
        <v>1.399307</v>
      </c>
      <c r="G10" s="36" t="n">
        <v>78</v>
      </c>
      <c r="H10" s="38" t="n">
        <v>80</v>
      </c>
      <c r="I10" s="41" t="n">
        <f aca="false">H10-G10</f>
        <v>2</v>
      </c>
      <c r="J10" s="38" t="n">
        <v>0.171</v>
      </c>
      <c r="K10" s="38" t="str">
        <f aca="false">_xlfn.UNICHAR(8593)</f>
        <v>↑</v>
      </c>
      <c r="L10" s="42" t="n">
        <f aca="false">F10*I10*J10</f>
        <v>0.478562994</v>
      </c>
      <c r="M10" s="36"/>
      <c r="N10" s="42" t="n">
        <f aca="false">L10+M10</f>
        <v>0.478562994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328</v>
      </c>
      <c r="B11" s="36" t="n">
        <v>1</v>
      </c>
      <c r="C11" s="39" t="s">
        <v>175</v>
      </c>
      <c r="D11" s="36" t="s">
        <v>90</v>
      </c>
      <c r="E11" s="36"/>
      <c r="F11" s="40" t="n">
        <f aca="false">10.7639 * (10.82)</f>
        <v>116.465398</v>
      </c>
      <c r="G11" s="36" t="n">
        <v>78</v>
      </c>
      <c r="H11" s="38" t="n">
        <v>78</v>
      </c>
      <c r="I11" s="41" t="n">
        <f aca="false">H11-G11</f>
        <v>0</v>
      </c>
      <c r="J11" s="38" t="n">
        <v>0.171</v>
      </c>
      <c r="K11" s="38" t="str">
        <f aca="false">_xlfn.UNICHAR(8593)</f>
        <v>↑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329</v>
      </c>
      <c r="B12" s="36" t="n">
        <v>1</v>
      </c>
      <c r="C12" s="39" t="s">
        <v>175</v>
      </c>
      <c r="D12" s="36" t="s">
        <v>90</v>
      </c>
      <c r="E12" s="36"/>
      <c r="F12" s="40" t="n">
        <f aca="false">10.7639 * (12.47)</f>
        <v>134.225833</v>
      </c>
      <c r="G12" s="36" t="n">
        <v>78</v>
      </c>
      <c r="H12" s="38" t="n">
        <v>78</v>
      </c>
      <c r="I12" s="41" t="n">
        <f aca="false">H12-G12</f>
        <v>0</v>
      </c>
      <c r="J12" s="38" t="n">
        <v>0.171</v>
      </c>
      <c r="K12" s="38" t="str">
        <f aca="false">_xlfn.UNICHAR(8593)</f>
        <v>↑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6"/>
      <c r="S12" s="36"/>
      <c r="T12" s="43" t="n">
        <f aca="false">F12*Q12*R12</f>
        <v>0</v>
      </c>
    </row>
    <row r="13" customFormat="false" ht="13.8" hidden="false" customHeight="false" outlineLevel="0" collapsed="false">
      <c r="A13" s="45" t="s">
        <v>330</v>
      </c>
      <c r="B13" s="36" t="n">
        <v>1</v>
      </c>
      <c r="C13" s="39" t="s">
        <v>175</v>
      </c>
      <c r="D13" s="36" t="s">
        <v>90</v>
      </c>
      <c r="E13" s="36"/>
      <c r="F13" s="40" t="n">
        <f aca="false">10.7639 * (1.74)</f>
        <v>18.729186</v>
      </c>
      <c r="G13" s="36" t="n">
        <v>78</v>
      </c>
      <c r="H13" s="38" t="n">
        <v>85</v>
      </c>
      <c r="I13" s="41" t="n">
        <f aca="false">H13-G13</f>
        <v>7</v>
      </c>
      <c r="J13" s="38" t="n">
        <v>0.171</v>
      </c>
      <c r="K13" s="38" t="str">
        <f aca="false">_xlfn.UNICHAR(8593)</f>
        <v>↑</v>
      </c>
      <c r="L13" s="42" t="n">
        <f aca="false">F13*I13*J13</f>
        <v>22.418835642</v>
      </c>
      <c r="M13" s="36"/>
      <c r="N13" s="42" t="n">
        <f aca="false">L13+M13</f>
        <v>22.418835642</v>
      </c>
      <c r="O13" s="38" t="n">
        <v>70</v>
      </c>
      <c r="P13" s="38" t="n">
        <v>70</v>
      </c>
      <c r="Q13" s="41" t="n">
        <f aca="false">O13-P13</f>
        <v>0</v>
      </c>
      <c r="R13" s="36"/>
      <c r="S13" s="36"/>
      <c r="T13" s="43" t="n">
        <f aca="false">F13*Q13*R13</f>
        <v>0</v>
      </c>
    </row>
    <row r="14" customFormat="false" ht="13.8" hidden="false" customHeight="false" outlineLevel="0" collapsed="false">
      <c r="A14" s="45" t="s">
        <v>331</v>
      </c>
      <c r="B14" s="36" t="n">
        <v>1</v>
      </c>
      <c r="C14" s="39" t="s">
        <v>175</v>
      </c>
      <c r="D14" s="36" t="s">
        <v>90</v>
      </c>
      <c r="E14" s="36"/>
      <c r="F14" s="40" t="n">
        <f aca="false">10.7639 * (0.28)</f>
        <v>3.013892</v>
      </c>
      <c r="G14" s="36" t="n">
        <v>78</v>
      </c>
      <c r="H14" s="38" t="n">
        <v>85</v>
      </c>
      <c r="I14" s="41" t="n">
        <f aca="false">H14-G14</f>
        <v>7</v>
      </c>
      <c r="J14" s="38" t="n">
        <v>0.171</v>
      </c>
      <c r="K14" s="38" t="str">
        <f aca="false">_xlfn.UNICHAR(8593)</f>
        <v>↑</v>
      </c>
      <c r="L14" s="42" t="n">
        <f aca="false">F14*I14*J14</f>
        <v>3.607628724</v>
      </c>
      <c r="M14" s="36"/>
      <c r="N14" s="42" t="n">
        <f aca="false">L14+M14</f>
        <v>3.607628724</v>
      </c>
      <c r="O14" s="38" t="n">
        <v>70</v>
      </c>
      <c r="P14" s="38" t="n">
        <v>70</v>
      </c>
      <c r="Q14" s="41" t="n">
        <f aca="false">O14-P14</f>
        <v>0</v>
      </c>
      <c r="R14" s="36"/>
      <c r="S14" s="36"/>
      <c r="T14" s="43" t="n">
        <f aca="false">F14*Q14*R14</f>
        <v>0</v>
      </c>
    </row>
    <row r="15" customFormat="false" ht="13.8" hidden="false" customHeight="false" outlineLevel="0" collapsed="false">
      <c r="A15" s="45" t="s">
        <v>190</v>
      </c>
      <c r="B15" s="36" t="n">
        <v>2</v>
      </c>
      <c r="C15" s="39" t="s">
        <v>175</v>
      </c>
      <c r="D15" s="36" t="s">
        <v>106</v>
      </c>
      <c r="E15" s="36"/>
      <c r="F15" s="40" t="n">
        <f aca="false">10.7639 * (5.2)</f>
        <v>55.97228</v>
      </c>
      <c r="G15" s="36" t="n">
        <v>78</v>
      </c>
      <c r="H15" s="38" t="n">
        <v>80</v>
      </c>
      <c r="I15" s="41" t="n">
        <f aca="false">H15-G15</f>
        <v>2</v>
      </c>
      <c r="J15" s="38" t="n">
        <v>0.144</v>
      </c>
      <c r="K15" s="38" t="str">
        <f aca="false">_xlfn.UNICHAR(8595)</f>
        <v>↓</v>
      </c>
      <c r="L15" s="42" t="n">
        <f aca="false">F15*I15*J15</f>
        <v>16.12001664</v>
      </c>
      <c r="M15" s="36"/>
      <c r="N15" s="42" t="n">
        <f aca="false">L15+M15</f>
        <v>16.12001664</v>
      </c>
      <c r="O15" s="38" t="n">
        <v>70</v>
      </c>
      <c r="P15" s="38" t="n">
        <v>70</v>
      </c>
      <c r="Q15" s="41" t="n">
        <f aca="false">O15-P15</f>
        <v>0</v>
      </c>
      <c r="R15" s="36"/>
      <c r="S15" s="36"/>
      <c r="T15" s="43" t="n">
        <f aca="false">F15*Q15*R15</f>
        <v>0</v>
      </c>
    </row>
    <row r="16" customFormat="false" ht="13.8" hidden="false" customHeight="false" outlineLevel="0" collapsed="false">
      <c r="A16" s="45" t="s">
        <v>235</v>
      </c>
      <c r="B16" s="36" t="n">
        <v>2</v>
      </c>
      <c r="C16" s="39" t="s">
        <v>175</v>
      </c>
      <c r="D16" s="36" t="s">
        <v>106</v>
      </c>
      <c r="E16" s="36"/>
      <c r="F16" s="40" t="n">
        <f aca="false">10.7639 * (5.61)</f>
        <v>60.385479</v>
      </c>
      <c r="G16" s="36" t="n">
        <v>78</v>
      </c>
      <c r="H16" s="38" t="n">
        <v>78</v>
      </c>
      <c r="I16" s="41" t="n">
        <f aca="false">H16-G16</f>
        <v>0</v>
      </c>
      <c r="J16" s="38" t="n">
        <v>0.144</v>
      </c>
      <c r="K16" s="38" t="str">
        <f aca="false">_xlfn.UNICHAR(8595)</f>
        <v>↓</v>
      </c>
      <c r="L16" s="42" t="n">
        <f aca="false">F16*I16*J16</f>
        <v>0</v>
      </c>
      <c r="M16" s="36"/>
      <c r="N16" s="42" t="n">
        <f aca="false">L16+M16</f>
        <v>0</v>
      </c>
      <c r="O16" s="38" t="n">
        <v>70</v>
      </c>
      <c r="P16" s="38" t="n">
        <v>70</v>
      </c>
      <c r="Q16" s="41" t="n">
        <f aca="false">O16-P16</f>
        <v>0</v>
      </c>
      <c r="R16" s="36"/>
      <c r="S16" s="36"/>
      <c r="T16" s="43" t="n">
        <f aca="false">F16*Q16*R16</f>
        <v>0</v>
      </c>
    </row>
    <row r="17" customFormat="false" ht="13.8" hidden="false" customHeight="false" outlineLevel="0" collapsed="false">
      <c r="A17" s="45" t="s">
        <v>210</v>
      </c>
      <c r="B17" s="36" t="n">
        <v>2</v>
      </c>
      <c r="C17" s="39" t="s">
        <v>175</v>
      </c>
      <c r="D17" s="36" t="s">
        <v>106</v>
      </c>
      <c r="E17" s="36"/>
      <c r="F17" s="40" t="n">
        <f aca="false">10.7639 * (3.36)</f>
        <v>36.166704</v>
      </c>
      <c r="G17" s="36" t="n">
        <v>78</v>
      </c>
      <c r="H17" s="38" t="n">
        <v>80</v>
      </c>
      <c r="I17" s="41" t="n">
        <f aca="false">H17-G17</f>
        <v>2</v>
      </c>
      <c r="J17" s="38" t="n">
        <v>0.144</v>
      </c>
      <c r="K17" s="38" t="str">
        <f aca="false">_xlfn.UNICHAR(8595)</f>
        <v>↓</v>
      </c>
      <c r="L17" s="42" t="n">
        <f aca="false">F17*I17*J17</f>
        <v>10.416010752</v>
      </c>
      <c r="M17" s="36"/>
      <c r="N17" s="42" t="n">
        <f aca="false">L17+M17</f>
        <v>10.416010752</v>
      </c>
      <c r="O17" s="38" t="n">
        <v>70</v>
      </c>
      <c r="P17" s="38" t="n">
        <v>70</v>
      </c>
      <c r="Q17" s="41" t="n">
        <f aca="false">O17-P17</f>
        <v>0</v>
      </c>
      <c r="R17" s="36"/>
      <c r="S17" s="36"/>
      <c r="T17" s="43" t="n">
        <f aca="false">F17*Q17*R17</f>
        <v>0</v>
      </c>
    </row>
    <row r="18" customFormat="false" ht="13.8" hidden="false" customHeight="false" outlineLevel="0" collapsed="false">
      <c r="A18" s="29" t="s">
        <v>233</v>
      </c>
      <c r="B18" s="30" t="n">
        <v>2</v>
      </c>
      <c r="C18" s="39" t="s">
        <v>175</v>
      </c>
      <c r="D18" s="30" t="s">
        <v>106</v>
      </c>
      <c r="F18" s="40" t="n">
        <f aca="false">10.7639 * (0.36)</f>
        <v>3.875004</v>
      </c>
      <c r="G18" s="36" t="n">
        <v>78</v>
      </c>
      <c r="H18" s="38" t="n">
        <v>78</v>
      </c>
      <c r="I18" s="41" t="n">
        <f aca="false">H18-G18</f>
        <v>0</v>
      </c>
      <c r="J18" s="38" t="n">
        <v>0.144</v>
      </c>
      <c r="K18" s="38" t="str">
        <f aca="false">_xlfn.UNICHAR(8595)</f>
        <v>↓</v>
      </c>
      <c r="L18" s="42" t="n">
        <f aca="false">F18*I18*J18</f>
        <v>0</v>
      </c>
      <c r="M18" s="36"/>
      <c r="N18" s="42" t="n">
        <f aca="false">L18+M18</f>
        <v>0</v>
      </c>
      <c r="O18" s="38" t="n">
        <v>70</v>
      </c>
      <c r="P18" s="38" t="n">
        <v>70</v>
      </c>
      <c r="Q18" s="41" t="n">
        <f aca="false">O18-P18</f>
        <v>0</v>
      </c>
      <c r="R18" s="36"/>
      <c r="S18" s="36"/>
      <c r="T18" s="43" t="n">
        <f aca="false">F18*Q18*R18</f>
        <v>0</v>
      </c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476.098491456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(14.53)</f>
        <v>156.399467</v>
      </c>
      <c r="G21" s="36"/>
      <c r="H21" s="36"/>
      <c r="I21" s="36"/>
      <c r="J21" s="36"/>
      <c r="K21" s="36"/>
      <c r="L21" s="36" t="n">
        <f aca="false">4*F21</f>
        <v>625.597868</v>
      </c>
      <c r="M21" s="36"/>
      <c r="N21" s="42" t="n">
        <f aca="false">L21+M21</f>
        <v>625.597868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2418.363559456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2418.363559456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156.399467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1385.42839374316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46.1809464581052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1933.363559456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2418.363559456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71.6060577576296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72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0.0211011192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0.799451162707274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259</v>
      </c>
      <c r="B2" s="35"/>
      <c r="C2" s="35" t="n">
        <v>6005</v>
      </c>
      <c r="D2" s="35"/>
      <c r="E2" s="35" t="s">
        <v>311</v>
      </c>
      <c r="F2" s="35" t="s">
        <v>326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6" t="n">
        <v>6</v>
      </c>
      <c r="C5" s="39" t="s">
        <v>104</v>
      </c>
      <c r="D5" s="36" t="s">
        <v>99</v>
      </c>
      <c r="E5" s="36" t="s">
        <v>332</v>
      </c>
      <c r="F5" s="40" t="n">
        <f aca="false">10.7639 *((5+1.4)*2.7)</f>
        <v>186.000192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116.436120192</v>
      </c>
      <c r="M5" s="41"/>
      <c r="N5" s="42" t="n">
        <f aca="false">L5+M5</f>
        <v>116.436120192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333</v>
      </c>
      <c r="B6" s="36" t="n">
        <v>6</v>
      </c>
      <c r="C6" s="39" t="s">
        <v>175</v>
      </c>
      <c r="D6" s="36" t="s">
        <v>99</v>
      </c>
      <c r="E6" s="36" t="s">
        <v>334</v>
      </c>
      <c r="F6" s="40" t="n">
        <f aca="false">10.7639 *(3.5*2.7)</f>
        <v>101.718855</v>
      </c>
      <c r="G6" s="36" t="n">
        <v>78</v>
      </c>
      <c r="H6" s="38" t="n">
        <v>110</v>
      </c>
      <c r="I6" s="41" t="n">
        <f aca="false">H6-G6</f>
        <v>32</v>
      </c>
      <c r="J6" s="38" t="n">
        <v>0.158</v>
      </c>
      <c r="K6" s="38" t="str">
        <f aca="false">_xlfn.UNICHAR(8596)</f>
        <v>↔</v>
      </c>
      <c r="L6" s="42" t="n">
        <f aca="false">F6*I6*J6</f>
        <v>514.29053088</v>
      </c>
      <c r="M6" s="41"/>
      <c r="N6" s="42" t="n">
        <f aca="false">L6+M6</f>
        <v>514.29053088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6" t="n">
        <v>3</v>
      </c>
      <c r="C7" s="39" t="s">
        <v>205</v>
      </c>
      <c r="D7" s="36" t="s">
        <v>99</v>
      </c>
      <c r="E7" s="36" t="s">
        <v>334</v>
      </c>
      <c r="F7" s="40" t="n">
        <f aca="false">10.7639 *(3.5*2.7)</f>
        <v>101.718855</v>
      </c>
      <c r="G7" s="36" t="n">
        <v>78</v>
      </c>
      <c r="H7" s="38" t="n">
        <v>95</v>
      </c>
      <c r="I7" s="41" t="n">
        <f aca="false">H7-G7</f>
        <v>17</v>
      </c>
      <c r="J7" s="38" t="n">
        <v>0.063</v>
      </c>
      <c r="K7" s="38" t="str">
        <f aca="false">_xlfn.UNICHAR(8596)</f>
        <v>↔</v>
      </c>
      <c r="L7" s="42" t="n">
        <f aca="false">F7*I7*J7</f>
        <v>108.940893705</v>
      </c>
      <c r="M7" s="41"/>
      <c r="N7" s="42" t="n">
        <f aca="false">L7+M7</f>
        <v>108.940893705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260</v>
      </c>
      <c r="B8" s="36" t="n">
        <v>6</v>
      </c>
      <c r="C8" s="39" t="s">
        <v>104</v>
      </c>
      <c r="D8" s="36" t="s">
        <v>99</v>
      </c>
      <c r="E8" s="36" t="s">
        <v>335</v>
      </c>
      <c r="F8" s="40" t="n">
        <f aca="false">10.7639 * ((1.5+2.1)*2.7)</f>
        <v>104.625108</v>
      </c>
      <c r="G8" s="36" t="n">
        <v>78</v>
      </c>
      <c r="H8" s="38" t="n">
        <v>85</v>
      </c>
      <c r="I8" s="41" t="n">
        <f aca="false">H8-G8</f>
        <v>7</v>
      </c>
      <c r="J8" s="38" t="n">
        <v>0.313</v>
      </c>
      <c r="K8" s="38" t="str">
        <f aca="false">_xlfn.UNICHAR(8596)</f>
        <v>↔</v>
      </c>
      <c r="L8" s="42" t="n">
        <f aca="false">F8*I8*J8</f>
        <v>229.233611628</v>
      </c>
      <c r="M8" s="41"/>
      <c r="N8" s="42" t="n">
        <f aca="false">L8+M8</f>
        <v>229.233611628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336</v>
      </c>
      <c r="B9" s="36" t="n">
        <v>1</v>
      </c>
      <c r="C9" s="39" t="s">
        <v>175</v>
      </c>
      <c r="D9" s="36" t="s">
        <v>90</v>
      </c>
      <c r="E9" s="36"/>
      <c r="F9" s="40" t="n">
        <f aca="false">10.7639 * (7.45)</f>
        <v>80.191055</v>
      </c>
      <c r="G9" s="36" t="n">
        <v>78</v>
      </c>
      <c r="H9" s="38" t="n">
        <v>78</v>
      </c>
      <c r="I9" s="41" t="n">
        <f aca="false">H9-G9</f>
        <v>0</v>
      </c>
      <c r="J9" s="38" t="n">
        <v>0.171</v>
      </c>
      <c r="K9" s="38" t="str">
        <f aca="false">_xlfn.UNICHAR(8593)</f>
        <v>↑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337</v>
      </c>
      <c r="B10" s="36" t="n">
        <v>1</v>
      </c>
      <c r="C10" s="39" t="s">
        <v>175</v>
      </c>
      <c r="D10" s="36" t="s">
        <v>90</v>
      </c>
      <c r="E10" s="36"/>
      <c r="F10" s="40" t="n">
        <f aca="false">10.7639 * (1.65)</f>
        <v>17.760435</v>
      </c>
      <c r="G10" s="36" t="n">
        <v>78</v>
      </c>
      <c r="H10" s="38" t="n">
        <v>85</v>
      </c>
      <c r="I10" s="41" t="n">
        <f aca="false">H10-G10</f>
        <v>7</v>
      </c>
      <c r="J10" s="38" t="n">
        <v>0.171</v>
      </c>
      <c r="K10" s="38" t="str">
        <f aca="false">_xlfn.UNICHAR(8593)</f>
        <v>↑</v>
      </c>
      <c r="L10" s="42" t="n">
        <f aca="false">F10*I10*J10</f>
        <v>21.259240695</v>
      </c>
      <c r="M10" s="36"/>
      <c r="N10" s="42" t="n">
        <f aca="false">L10+M10</f>
        <v>21.259240695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338</v>
      </c>
      <c r="B11" s="36" t="n">
        <v>1</v>
      </c>
      <c r="C11" s="39" t="s">
        <v>175</v>
      </c>
      <c r="D11" s="36" t="s">
        <v>90</v>
      </c>
      <c r="E11" s="36"/>
      <c r="F11" s="40" t="n">
        <f aca="false">10.7639 * (5.25)</f>
        <v>56.510475</v>
      </c>
      <c r="G11" s="36" t="n">
        <v>78</v>
      </c>
      <c r="H11" s="38" t="n">
        <v>78</v>
      </c>
      <c r="I11" s="41" t="n">
        <f aca="false">H11-G11</f>
        <v>0</v>
      </c>
      <c r="J11" s="38" t="n">
        <v>0.171</v>
      </c>
      <c r="K11" s="38" t="str">
        <f aca="false">_xlfn.UNICHAR(8593)</f>
        <v>↑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190</v>
      </c>
      <c r="B12" s="36" t="n">
        <v>2</v>
      </c>
      <c r="C12" s="39" t="s">
        <v>175</v>
      </c>
      <c r="D12" s="36" t="s">
        <v>106</v>
      </c>
      <c r="E12" s="36"/>
      <c r="F12" s="40" t="n">
        <f aca="false">10.7639 * (5)</f>
        <v>53.8195</v>
      </c>
      <c r="G12" s="36" t="n">
        <v>78</v>
      </c>
      <c r="H12" s="38" t="n">
        <v>80</v>
      </c>
      <c r="I12" s="41" t="n">
        <f aca="false">H12-G12</f>
        <v>2</v>
      </c>
      <c r="J12" s="38" t="n">
        <v>0.144</v>
      </c>
      <c r="K12" s="38" t="str">
        <f aca="false">_xlfn.UNICHAR(8595)</f>
        <v>↓</v>
      </c>
      <c r="L12" s="42" t="n">
        <f aca="false">F12*I12*J12</f>
        <v>15.500016</v>
      </c>
      <c r="M12" s="36"/>
      <c r="N12" s="42" t="n">
        <f aca="false">L12+M12</f>
        <v>15.500016</v>
      </c>
      <c r="O12" s="38" t="n">
        <v>70</v>
      </c>
      <c r="P12" s="38" t="n">
        <v>70</v>
      </c>
      <c r="Q12" s="41" t="n">
        <f aca="false">O12-P12</f>
        <v>0</v>
      </c>
      <c r="R12" s="36"/>
      <c r="S12" s="36"/>
      <c r="T12" s="43" t="n">
        <f aca="false">F12*Q12*R12</f>
        <v>0</v>
      </c>
    </row>
    <row r="13" customFormat="false" ht="13.8" hidden="false" customHeight="false" outlineLevel="0" collapsed="false">
      <c r="A13" s="45" t="s">
        <v>180</v>
      </c>
      <c r="B13" s="36" t="n">
        <v>2</v>
      </c>
      <c r="C13" s="39" t="s">
        <v>175</v>
      </c>
      <c r="D13" s="36" t="s">
        <v>106</v>
      </c>
      <c r="E13" s="36"/>
      <c r="F13" s="40" t="n">
        <f aca="false">10.7639 * (2.85)</f>
        <v>30.677115</v>
      </c>
      <c r="G13" s="36" t="n">
        <v>78</v>
      </c>
      <c r="H13" s="38" t="n">
        <v>85</v>
      </c>
      <c r="I13" s="41" t="n">
        <f aca="false">H13-G13</f>
        <v>7</v>
      </c>
      <c r="J13" s="38" t="n">
        <v>0.144</v>
      </c>
      <c r="K13" s="38" t="str">
        <f aca="false">_xlfn.UNICHAR(8595)</f>
        <v>↓</v>
      </c>
      <c r="L13" s="42" t="n">
        <f aca="false">F13*I13*J13</f>
        <v>30.92253192</v>
      </c>
      <c r="M13" s="36"/>
      <c r="N13" s="42" t="n">
        <f aca="false">L13+M13</f>
        <v>30.92253192</v>
      </c>
      <c r="O13" s="38" t="n">
        <v>70</v>
      </c>
      <c r="P13" s="38" t="n">
        <v>70</v>
      </c>
      <c r="Q13" s="41" t="n">
        <f aca="false">O13-P13</f>
        <v>0</v>
      </c>
      <c r="R13" s="36"/>
      <c r="S13" s="36"/>
      <c r="T13" s="43" t="n">
        <f aca="false">F13*Q13*R13</f>
        <v>0</v>
      </c>
    </row>
    <row r="14" customFormat="false" ht="13.8" hidden="false" customHeight="false" outlineLevel="0" collapsed="false">
      <c r="A14" s="45" t="s">
        <v>339</v>
      </c>
      <c r="B14" s="36" t="n">
        <v>2</v>
      </c>
      <c r="C14" s="39" t="s">
        <v>175</v>
      </c>
      <c r="D14" s="36" t="s">
        <v>106</v>
      </c>
      <c r="E14" s="36"/>
      <c r="F14" s="40" t="n">
        <f aca="false">10.7639 * (5.95)</f>
        <v>64.045205</v>
      </c>
      <c r="G14" s="36" t="n">
        <v>78</v>
      </c>
      <c r="H14" s="38" t="n">
        <v>78</v>
      </c>
      <c r="I14" s="41" t="n">
        <f aca="false">H14-G14</f>
        <v>0</v>
      </c>
      <c r="J14" s="38" t="n">
        <v>0.144</v>
      </c>
      <c r="K14" s="38" t="str">
        <f aca="false">_xlfn.UNICHAR(8595)</f>
        <v>↓</v>
      </c>
      <c r="L14" s="42" t="n">
        <f aca="false">F14*I14*J14</f>
        <v>0</v>
      </c>
      <c r="M14" s="36"/>
      <c r="N14" s="42" t="n">
        <f aca="false">L14+M14</f>
        <v>0</v>
      </c>
      <c r="O14" s="38" t="n">
        <v>70</v>
      </c>
      <c r="P14" s="38" t="n">
        <v>70</v>
      </c>
      <c r="Q14" s="41" t="n">
        <f aca="false">O14-P14</f>
        <v>0</v>
      </c>
      <c r="R14" s="36"/>
      <c r="S14" s="36"/>
      <c r="T14" s="43" t="n">
        <f aca="false">F14*Q14*R14</f>
        <v>0</v>
      </c>
    </row>
    <row r="15" customFormat="false" ht="13.8" hidden="false" customHeight="false" outlineLevel="0" collapsed="false">
      <c r="A15" s="45" t="s">
        <v>340</v>
      </c>
      <c r="B15" s="36" t="n">
        <v>2</v>
      </c>
      <c r="C15" s="39" t="s">
        <v>175</v>
      </c>
      <c r="D15" s="36" t="s">
        <v>106</v>
      </c>
      <c r="E15" s="36"/>
      <c r="F15" s="40" t="n">
        <f aca="false">10.7639 * (0.5 * 1.1)</f>
        <v>5.920145</v>
      </c>
      <c r="G15" s="36" t="n">
        <v>78</v>
      </c>
      <c r="H15" s="38" t="n">
        <v>78</v>
      </c>
      <c r="I15" s="41" t="n">
        <f aca="false">H15-G15</f>
        <v>0</v>
      </c>
      <c r="J15" s="38" t="n">
        <v>0.144</v>
      </c>
      <c r="K15" s="38" t="str">
        <f aca="false">_xlfn.UNICHAR(8595)</f>
        <v>↓</v>
      </c>
      <c r="L15" s="42" t="n">
        <f aca="false">F15*I15*J15</f>
        <v>0</v>
      </c>
      <c r="M15" s="36"/>
      <c r="N15" s="42" t="n">
        <f aca="false">L15+M15</f>
        <v>0</v>
      </c>
      <c r="O15" s="38" t="n">
        <v>70</v>
      </c>
      <c r="P15" s="38" t="n">
        <v>70</v>
      </c>
      <c r="Q15" s="41" t="n">
        <f aca="false">O15-P15</f>
        <v>0</v>
      </c>
      <c r="R15" s="36"/>
      <c r="S15" s="36"/>
      <c r="T15" s="43" t="n">
        <f aca="false">F15*Q15*R15</f>
        <v>0</v>
      </c>
    </row>
    <row r="16" customFormat="false" ht="13.8" hidden="false" customHeight="false" outlineLevel="0" collapsed="false">
      <c r="A16" s="45"/>
      <c r="B16" s="36"/>
      <c r="C16" s="39"/>
      <c r="D16" s="36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6"/>
      <c r="S16" s="36"/>
      <c r="T16" s="43"/>
    </row>
    <row r="17" customFormat="false" ht="13.8" hidden="false" customHeight="false" outlineLevel="0" collapsed="false">
      <c r="A17" s="45"/>
      <c r="B17" s="36"/>
      <c r="C17" s="39"/>
      <c r="D17" s="36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6"/>
      <c r="S17" s="36"/>
      <c r="T17" s="43"/>
    </row>
    <row r="18" customFormat="false" ht="13.8" hidden="false" customHeight="false" outlineLevel="0" collapsed="false">
      <c r="C18" s="39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6"/>
      <c r="S18" s="36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1036.58294502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(14.35)</f>
        <v>154.461965</v>
      </c>
      <c r="G21" s="36"/>
      <c r="H21" s="36"/>
      <c r="I21" s="36"/>
      <c r="J21" s="36"/>
      <c r="K21" s="36"/>
      <c r="L21" s="36" t="n">
        <f aca="false">4*F21</f>
        <v>617.84786</v>
      </c>
      <c r="M21" s="36"/>
      <c r="N21" s="42" t="n">
        <f aca="false">L21+M21</f>
        <v>617.84786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2971.09800502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2971.09800502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154.461965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1368.26548177662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45.608849392554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2486.09800502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2971.09800502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92.0777038896296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93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0.0272556123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0.83676068605595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268</v>
      </c>
      <c r="B2" s="35"/>
      <c r="C2" s="35" t="n">
        <v>6006</v>
      </c>
      <c r="D2" s="35"/>
      <c r="E2" s="35" t="s">
        <v>311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6" t="n">
        <v>6</v>
      </c>
      <c r="C5" s="39" t="s">
        <v>104</v>
      </c>
      <c r="D5" s="36" t="s">
        <v>99</v>
      </c>
      <c r="E5" s="36" t="s">
        <v>314</v>
      </c>
      <c r="F5" s="40" t="n">
        <f aca="false">10.7639 *(1.7*2.7)</f>
        <v>49.406301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30.928344426</v>
      </c>
      <c r="M5" s="41"/>
      <c r="N5" s="42" t="n">
        <f aca="false">L5+M5</f>
        <v>30.928344426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269</v>
      </c>
      <c r="B6" s="36" t="n">
        <v>6</v>
      </c>
      <c r="C6" s="39" t="s">
        <v>104</v>
      </c>
      <c r="D6" s="36" t="s">
        <v>99</v>
      </c>
      <c r="E6" s="36" t="s">
        <v>323</v>
      </c>
      <c r="F6" s="40" t="n">
        <f aca="false">10.7639 *(3.2*2.7)</f>
        <v>93.000096</v>
      </c>
      <c r="G6" s="36" t="n">
        <v>78</v>
      </c>
      <c r="H6" s="38" t="n">
        <v>78</v>
      </c>
      <c r="I6" s="41" t="n">
        <f aca="false">H6-G6</f>
        <v>0</v>
      </c>
      <c r="J6" s="38" t="n">
        <v>0.313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270</v>
      </c>
      <c r="B7" s="36" t="n">
        <v>6</v>
      </c>
      <c r="C7" s="39" t="s">
        <v>104</v>
      </c>
      <c r="D7" s="36" t="s">
        <v>99</v>
      </c>
      <c r="E7" s="36" t="s">
        <v>317</v>
      </c>
      <c r="F7" s="40" t="n">
        <f aca="false">10.7639 *((1.6 + 1.7)*2.7)</f>
        <v>95.906349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210.130810659</v>
      </c>
      <c r="M7" s="41"/>
      <c r="N7" s="42" t="n">
        <f aca="false">L7+M7</f>
        <v>210.130810659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341</v>
      </c>
      <c r="B8" s="36" t="n">
        <v>6</v>
      </c>
      <c r="C8" s="39" t="s">
        <v>104</v>
      </c>
      <c r="D8" s="36" t="s">
        <v>99</v>
      </c>
      <c r="E8" s="36" t="s">
        <v>314</v>
      </c>
      <c r="F8" s="40" t="n">
        <f aca="false">10.7639 * (1.7*2.7)</f>
        <v>49.406301</v>
      </c>
      <c r="G8" s="36" t="n">
        <v>78</v>
      </c>
      <c r="H8" s="38" t="n">
        <v>85</v>
      </c>
      <c r="I8" s="41" t="n">
        <f aca="false">H8-G8</f>
        <v>7</v>
      </c>
      <c r="J8" s="38" t="n">
        <v>0.313</v>
      </c>
      <c r="K8" s="38" t="str">
        <f aca="false">_xlfn.UNICHAR(8596)</f>
        <v>↔</v>
      </c>
      <c r="L8" s="42" t="n">
        <f aca="false">F8*I8*J8</f>
        <v>108.249205491</v>
      </c>
      <c r="M8" s="41"/>
      <c r="N8" s="42" t="n">
        <f aca="false">L8+M8</f>
        <v>108.249205491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342</v>
      </c>
      <c r="B9" s="36" t="n">
        <v>1</v>
      </c>
      <c r="C9" s="39" t="s">
        <v>175</v>
      </c>
      <c r="D9" s="36" t="s">
        <v>90</v>
      </c>
      <c r="E9" s="36"/>
      <c r="F9" s="40" t="n">
        <f aca="false">10.7639 * (12.94)</f>
        <v>139.284866</v>
      </c>
      <c r="G9" s="36" t="n">
        <v>78</v>
      </c>
      <c r="H9" s="38" t="n">
        <v>78</v>
      </c>
      <c r="I9" s="41" t="n">
        <f aca="false">H9-G9</f>
        <v>0</v>
      </c>
      <c r="J9" s="38" t="n">
        <v>0.171</v>
      </c>
      <c r="K9" s="38" t="str">
        <f aca="false">_xlfn.UNICHAR(8593)</f>
        <v>↑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336</v>
      </c>
      <c r="B10" s="36" t="n">
        <v>1</v>
      </c>
      <c r="C10" s="39" t="s">
        <v>175</v>
      </c>
      <c r="D10" s="36" t="s">
        <v>90</v>
      </c>
      <c r="E10" s="36"/>
      <c r="F10" s="40" t="n">
        <f aca="false">10.7639 * (0.51)</f>
        <v>5.489589</v>
      </c>
      <c r="G10" s="36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261</v>
      </c>
      <c r="B11" s="36" t="n">
        <v>2</v>
      </c>
      <c r="C11" s="39" t="s">
        <v>175</v>
      </c>
      <c r="D11" s="36" t="s">
        <v>106</v>
      </c>
      <c r="E11" s="36"/>
      <c r="F11" s="40" t="n">
        <f aca="false">10.7639 * (13.45)</f>
        <v>144.774455</v>
      </c>
      <c r="G11" s="36" t="n">
        <v>78</v>
      </c>
      <c r="H11" s="38" t="n">
        <v>78</v>
      </c>
      <c r="I11" s="41" t="n">
        <f aca="false">H11-G11</f>
        <v>0</v>
      </c>
      <c r="J11" s="38" t="n">
        <v>0.144</v>
      </c>
      <c r="K11" s="38" t="str">
        <f aca="false">_xlfn.UNICHAR(8595)</f>
        <v>↓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108</v>
      </c>
      <c r="B12" s="36" t="n">
        <v>3</v>
      </c>
      <c r="C12" s="39" t="s">
        <v>205</v>
      </c>
      <c r="D12" s="36" t="s">
        <v>99</v>
      </c>
      <c r="E12" s="36" t="s">
        <v>343</v>
      </c>
      <c r="F12" s="40" t="n">
        <f aca="false">10.7639 * ((3.2+3.3)*2.7)</f>
        <v>188.906445</v>
      </c>
      <c r="G12" s="36" t="n">
        <v>78</v>
      </c>
      <c r="H12" s="38" t="n">
        <v>95</v>
      </c>
      <c r="I12" s="41" t="n">
        <f aca="false">H12-G12</f>
        <v>17</v>
      </c>
      <c r="J12" s="38" t="n">
        <v>0.063</v>
      </c>
      <c r="K12" s="38" t="str">
        <f aca="false">_xlfn.UNICHAR(8596)</f>
        <v>↔</v>
      </c>
      <c r="L12" s="42" t="n">
        <f aca="false">F12*I12*J12</f>
        <v>202.318802595</v>
      </c>
      <c r="M12" s="36"/>
      <c r="N12" s="42" t="n">
        <f aca="false">L12+M12</f>
        <v>202.318802595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/>
      <c r="B13" s="36"/>
      <c r="C13" s="39"/>
      <c r="D13" s="36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6"/>
      <c r="S13" s="36"/>
      <c r="T13" s="43"/>
    </row>
    <row r="14" customFormat="false" ht="13.8" hidden="false" customHeight="false" outlineLevel="0" collapsed="false">
      <c r="A14" s="45"/>
      <c r="B14" s="36"/>
      <c r="C14" s="39"/>
      <c r="D14" s="36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6"/>
      <c r="S14" s="36"/>
      <c r="T14" s="43"/>
    </row>
    <row r="15" customFormat="false" ht="13.8" hidden="false" customHeight="false" outlineLevel="0" collapsed="false">
      <c r="A15" s="45"/>
      <c r="B15" s="36"/>
      <c r="C15" s="39"/>
      <c r="D15" s="36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6"/>
      <c r="S15" s="36"/>
      <c r="T15" s="43"/>
    </row>
    <row r="16" customFormat="false" ht="13.8" hidden="false" customHeight="false" outlineLevel="0" collapsed="false">
      <c r="A16" s="45"/>
      <c r="B16" s="36"/>
      <c r="C16" s="39"/>
      <c r="D16" s="36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6"/>
      <c r="S16" s="36"/>
      <c r="T16" s="43"/>
    </row>
    <row r="17" customFormat="false" ht="13.8" hidden="false" customHeight="false" outlineLevel="0" collapsed="false">
      <c r="A17" s="45"/>
      <c r="B17" s="36"/>
      <c r="C17" s="39"/>
      <c r="D17" s="36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6"/>
      <c r="S17" s="36"/>
      <c r="T17" s="43"/>
    </row>
    <row r="18" customFormat="false" ht="13.8" hidden="false" customHeight="false" outlineLevel="0" collapsed="false">
      <c r="C18" s="39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6"/>
      <c r="S18" s="36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551.627163171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(13.45)</f>
        <v>144.774455</v>
      </c>
      <c r="G21" s="36"/>
      <c r="H21" s="36"/>
      <c r="I21" s="36"/>
      <c r="J21" s="36"/>
      <c r="K21" s="36"/>
      <c r="L21" s="36" t="n">
        <f aca="false">4*F21</f>
        <v>579.09782</v>
      </c>
      <c r="M21" s="36"/>
      <c r="N21" s="42" t="n">
        <f aca="false">L21+M21</f>
        <v>579.09782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2447.392183171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2447.392183171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144.774455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1282.45092194394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42.748364064798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1962.392183171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2447.392183171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72.6811919692963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73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0.0213941903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0.801829881073003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269</v>
      </c>
      <c r="B2" s="35"/>
      <c r="C2" s="35" t="n">
        <v>6007</v>
      </c>
      <c r="D2" s="35"/>
      <c r="E2" s="35" t="s">
        <v>311</v>
      </c>
      <c r="F2" s="35" t="s">
        <v>273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6" t="n">
        <v>6</v>
      </c>
      <c r="C5" s="39" t="s">
        <v>104</v>
      </c>
      <c r="D5" s="36" t="s">
        <v>99</v>
      </c>
      <c r="E5" s="36" t="s">
        <v>319</v>
      </c>
      <c r="F5" s="40" t="n">
        <f aca="false">10.7639 *(1.5*2.7)</f>
        <v>43.593795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27.28971567</v>
      </c>
      <c r="M5" s="41"/>
      <c r="N5" s="42" t="n">
        <f aca="false">L5+M5</f>
        <v>27.28971567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6" t="n">
        <v>3</v>
      </c>
      <c r="C6" s="39" t="s">
        <v>205</v>
      </c>
      <c r="D6" s="36" t="s">
        <v>99</v>
      </c>
      <c r="E6" s="36" t="s">
        <v>276</v>
      </c>
      <c r="F6" s="40" t="n">
        <f aca="false">10.7639 *(3.1*2.7)</f>
        <v>90.093843</v>
      </c>
      <c r="G6" s="36" t="n">
        <v>78</v>
      </c>
      <c r="H6" s="38" t="n">
        <v>95</v>
      </c>
      <c r="I6" s="41" t="n">
        <f aca="false">H6-G6</f>
        <v>17</v>
      </c>
      <c r="J6" s="38" t="n">
        <v>0.063</v>
      </c>
      <c r="K6" s="38" t="str">
        <f aca="false">_xlfn.UNICHAR(8596)</f>
        <v>↔</v>
      </c>
      <c r="L6" s="42" t="n">
        <f aca="false">F6*I6*J6</f>
        <v>96.490505853</v>
      </c>
      <c r="M6" s="41"/>
      <c r="N6" s="42" t="n">
        <f aca="false">L6+M6</f>
        <v>96.490505853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341</v>
      </c>
      <c r="B7" s="36" t="n">
        <v>6</v>
      </c>
      <c r="C7" s="39" t="s">
        <v>104</v>
      </c>
      <c r="D7" s="36" t="s">
        <v>99</v>
      </c>
      <c r="E7" s="36" t="s">
        <v>317</v>
      </c>
      <c r="F7" s="40" t="n">
        <f aca="false">10.7639 *((1.6 + 1.7)*2.7)</f>
        <v>95.906349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210.130810659</v>
      </c>
      <c r="M7" s="41"/>
      <c r="N7" s="42" t="n">
        <f aca="false">L7+M7</f>
        <v>210.130810659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268</v>
      </c>
      <c r="B8" s="36" t="n">
        <v>6</v>
      </c>
      <c r="C8" s="39" t="s">
        <v>104</v>
      </c>
      <c r="D8" s="36" t="s">
        <v>99</v>
      </c>
      <c r="E8" s="36" t="s">
        <v>323</v>
      </c>
      <c r="F8" s="40" t="n">
        <f aca="false">10.7639 * (3.2*2.7)</f>
        <v>93.000096</v>
      </c>
      <c r="G8" s="36" t="n">
        <v>78</v>
      </c>
      <c r="H8" s="38" t="n">
        <v>78</v>
      </c>
      <c r="I8" s="41" t="n">
        <f aca="false">H8-G8</f>
        <v>0</v>
      </c>
      <c r="J8" s="38" t="n">
        <v>0.313</v>
      </c>
      <c r="K8" s="38" t="str">
        <f aca="false">_xlfn.UNICHAR(8596)</f>
        <v>↔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281</v>
      </c>
      <c r="B9" s="36" t="n">
        <v>6</v>
      </c>
      <c r="C9" s="39" t="s">
        <v>104</v>
      </c>
      <c r="D9" s="36" t="s">
        <v>99</v>
      </c>
      <c r="E9" s="36" t="s">
        <v>266</v>
      </c>
      <c r="F9" s="40" t="n">
        <f aca="false">10.7639 * (4.9*2.7)</f>
        <v>142.406397</v>
      </c>
      <c r="G9" s="36" t="n">
        <v>78</v>
      </c>
      <c r="H9" s="38" t="n">
        <v>78</v>
      </c>
      <c r="I9" s="41" t="n">
        <f aca="false">H9-G9</f>
        <v>0</v>
      </c>
      <c r="J9" s="38" t="n">
        <v>0.313</v>
      </c>
      <c r="K9" s="38" t="str">
        <f aca="false">_xlfn.UNICHAR(8596)</f>
        <v>↔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342</v>
      </c>
      <c r="B10" s="36" t="n">
        <v>1</v>
      </c>
      <c r="C10" s="39" t="s">
        <v>175</v>
      </c>
      <c r="D10" s="36" t="s">
        <v>90</v>
      </c>
      <c r="E10" s="36"/>
      <c r="F10" s="40" t="n">
        <f aca="false">10.7639 * (4.33)</f>
        <v>46.607687</v>
      </c>
      <c r="G10" s="36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344</v>
      </c>
      <c r="B11" s="36" t="n">
        <v>1</v>
      </c>
      <c r="C11" s="39" t="s">
        <v>175</v>
      </c>
      <c r="D11" s="36" t="s">
        <v>90</v>
      </c>
      <c r="E11" s="36"/>
      <c r="F11" s="40" t="n">
        <f aca="false">10.7639 * (3.15)</f>
        <v>33.906285</v>
      </c>
      <c r="G11" s="36" t="n">
        <v>78</v>
      </c>
      <c r="H11" s="38" t="n">
        <v>85</v>
      </c>
      <c r="I11" s="41" t="n">
        <f aca="false">H11-G11</f>
        <v>7</v>
      </c>
      <c r="J11" s="38" t="n">
        <v>0.171</v>
      </c>
      <c r="K11" s="38" t="str">
        <f aca="false">_xlfn.UNICHAR(8593)</f>
        <v>↑</v>
      </c>
      <c r="L11" s="42" t="n">
        <f aca="false">F11*I11*J11</f>
        <v>40.585823145</v>
      </c>
      <c r="M11" s="36"/>
      <c r="N11" s="42" t="n">
        <f aca="false">L11+M11</f>
        <v>40.585823145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345</v>
      </c>
      <c r="B12" s="36" t="n">
        <v>1</v>
      </c>
      <c r="C12" s="39" t="s">
        <v>175</v>
      </c>
      <c r="D12" s="36" t="s">
        <v>90</v>
      </c>
      <c r="E12" s="36"/>
      <c r="F12" s="40" t="n">
        <f aca="false">10.7639 * (2.59)</f>
        <v>27.878501</v>
      </c>
      <c r="G12" s="36" t="n">
        <v>78</v>
      </c>
      <c r="H12" s="38" t="n">
        <v>78</v>
      </c>
      <c r="I12" s="41" t="n">
        <f aca="false">H12-G12</f>
        <v>0</v>
      </c>
      <c r="J12" s="38" t="n">
        <v>0.171</v>
      </c>
      <c r="K12" s="38" t="str">
        <f aca="false">_xlfn.UNICHAR(8593)</f>
        <v>↑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346</v>
      </c>
      <c r="B13" s="36" t="n">
        <v>1</v>
      </c>
      <c r="C13" s="39" t="s">
        <v>175</v>
      </c>
      <c r="D13" s="36" t="s">
        <v>90</v>
      </c>
      <c r="E13" s="36"/>
      <c r="F13" s="40" t="n">
        <f aca="false">10.7639 * (1.95)</f>
        <v>20.989605</v>
      </c>
      <c r="G13" s="36" t="n">
        <v>78</v>
      </c>
      <c r="H13" s="38" t="n">
        <v>85</v>
      </c>
      <c r="I13" s="41" t="n">
        <f aca="false">H13-G13</f>
        <v>7</v>
      </c>
      <c r="J13" s="38" t="n">
        <v>0.171</v>
      </c>
      <c r="K13" s="38" t="str">
        <f aca="false">_xlfn.UNICHAR(8593)</f>
        <v>↑</v>
      </c>
      <c r="L13" s="42" t="n">
        <f aca="false">F13*I13*J13</f>
        <v>25.124557185</v>
      </c>
      <c r="M13" s="36"/>
      <c r="N13" s="42" t="n">
        <f aca="false">L13+M13</f>
        <v>25.124557185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336</v>
      </c>
      <c r="B14" s="36" t="n">
        <v>1</v>
      </c>
      <c r="C14" s="39" t="s">
        <v>175</v>
      </c>
      <c r="D14" s="36" t="s">
        <v>90</v>
      </c>
      <c r="E14" s="36" t="s">
        <v>347</v>
      </c>
      <c r="F14" s="40" t="n">
        <f aca="false">10.7639*((0.2+0.3)*2.7)</f>
        <v>14.531265</v>
      </c>
      <c r="G14" s="36" t="n">
        <v>78</v>
      </c>
      <c r="H14" s="38" t="n">
        <v>78</v>
      </c>
      <c r="I14" s="41" t="n">
        <f aca="false">H14-G14</f>
        <v>0</v>
      </c>
      <c r="J14" s="38" t="n">
        <v>0.171</v>
      </c>
      <c r="K14" s="38" t="str">
        <f aca="false">_xlfn.UNICHAR(8593)</f>
        <v>↑</v>
      </c>
      <c r="L14" s="42" t="n">
        <f aca="false">F14*I14*J14</f>
        <v>0</v>
      </c>
      <c r="M14" s="36"/>
      <c r="N14" s="42" t="n">
        <f aca="false">L14+M14</f>
        <v>0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 t="s">
        <v>190</v>
      </c>
      <c r="B15" s="36" t="n">
        <v>1</v>
      </c>
      <c r="C15" s="39" t="s">
        <v>175</v>
      </c>
      <c r="D15" s="36" t="s">
        <v>90</v>
      </c>
      <c r="E15" s="36"/>
      <c r="F15" s="40" t="n">
        <f aca="false">10.7639*(0.39)</f>
        <v>4.197921</v>
      </c>
      <c r="G15" s="36" t="n">
        <v>78</v>
      </c>
      <c r="H15" s="38" t="n">
        <v>85</v>
      </c>
      <c r="I15" s="41" t="n">
        <f aca="false">H15-G15</f>
        <v>7</v>
      </c>
      <c r="J15" s="38" t="n">
        <v>0.171</v>
      </c>
      <c r="K15" s="38" t="str">
        <f aca="false">_xlfn.UNICHAR(8593)</f>
        <v>↑</v>
      </c>
      <c r="L15" s="42" t="n">
        <f aca="false">F15*I15*J15</f>
        <v>5.024911437</v>
      </c>
      <c r="M15" s="36"/>
      <c r="N15" s="42" t="n">
        <f aca="false">L15+M15</f>
        <v>5.024911437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45" t="s">
        <v>261</v>
      </c>
      <c r="B16" s="36" t="n">
        <v>2</v>
      </c>
      <c r="C16" s="39" t="s">
        <v>175</v>
      </c>
      <c r="D16" s="36" t="s">
        <v>106</v>
      </c>
      <c r="E16" s="36"/>
      <c r="F16" s="40" t="n">
        <f aca="false">10.7639*(12.47)</f>
        <v>134.225833</v>
      </c>
      <c r="G16" s="36" t="n">
        <v>78</v>
      </c>
      <c r="H16" s="38" t="n">
        <v>78</v>
      </c>
      <c r="I16" s="41" t="n">
        <f aca="false">H16-G16</f>
        <v>0</v>
      </c>
      <c r="J16" s="38" t="n">
        <v>0.144</v>
      </c>
      <c r="K16" s="38" t="str">
        <f aca="false">_xlfn.UNICHAR(8595)</f>
        <v>↓</v>
      </c>
      <c r="L16" s="42" t="n">
        <f aca="false">F16*I16*J16</f>
        <v>0</v>
      </c>
      <c r="M16" s="36"/>
      <c r="N16" s="42" t="n">
        <f aca="false">L16+M16</f>
        <v>0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/>
      <c r="B17" s="36"/>
      <c r="C17" s="39"/>
      <c r="D17" s="36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6"/>
      <c r="S17" s="36"/>
      <c r="T17" s="43"/>
    </row>
    <row r="18" customFormat="false" ht="13.8" hidden="false" customHeight="false" outlineLevel="0" collapsed="false">
      <c r="C18" s="39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6"/>
      <c r="S18" s="36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404.646323949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298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(12.47)</f>
        <v>134.225833</v>
      </c>
      <c r="G21" s="36"/>
      <c r="H21" s="36"/>
      <c r="I21" s="36"/>
      <c r="J21" s="36"/>
      <c r="K21" s="36"/>
      <c r="L21" s="36" t="n">
        <f aca="false">4*F21</f>
        <v>536.903332</v>
      </c>
      <c r="M21" s="36"/>
      <c r="N21" s="42" t="n">
        <f aca="false">L21+M21</f>
        <v>536.903332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2258.216855949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2258.216855949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134.225833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1189.00840123724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39.6336133745748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1773.216855949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2258.216855949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65.6746983684815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66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0.0193426926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0.785228775207161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348</v>
      </c>
      <c r="B2" s="35"/>
      <c r="C2" s="35" t="n">
        <v>6008</v>
      </c>
      <c r="D2" s="35"/>
      <c r="E2" s="35" t="s">
        <v>311</v>
      </c>
      <c r="F2" s="35" t="s">
        <v>349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190</v>
      </c>
      <c r="B5" s="38" t="n">
        <v>6</v>
      </c>
      <c r="C5" s="60" t="s">
        <v>175</v>
      </c>
      <c r="D5" s="38" t="s">
        <v>99</v>
      </c>
      <c r="E5" s="38" t="s">
        <v>350</v>
      </c>
      <c r="F5" s="40" t="n">
        <f aca="false">10.7639 *(5.6*2.7)</f>
        <v>162.750168</v>
      </c>
      <c r="G5" s="36" t="n">
        <v>78</v>
      </c>
      <c r="H5" s="38" t="n">
        <v>110</v>
      </c>
      <c r="I5" s="41" t="n">
        <f aca="false">H5-G5</f>
        <v>32</v>
      </c>
      <c r="J5" s="38" t="n">
        <v>0.158</v>
      </c>
      <c r="K5" s="38" t="str">
        <f aca="false">_xlfn.UNICHAR(8596)</f>
        <v>↔</v>
      </c>
      <c r="L5" s="42" t="n">
        <f aca="false">F5*I5*J5</f>
        <v>822.864849408</v>
      </c>
      <c r="M5" s="41"/>
      <c r="N5" s="42" t="n">
        <f aca="false">L5+M5</f>
        <v>822.864849408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108</v>
      </c>
      <c r="B6" s="38" t="n">
        <v>3</v>
      </c>
      <c r="C6" s="39" t="s">
        <v>205</v>
      </c>
      <c r="D6" s="38" t="s">
        <v>99</v>
      </c>
      <c r="E6" s="38" t="s">
        <v>319</v>
      </c>
      <c r="F6" s="40" t="n">
        <f aca="false">10.7639 *(1.5*2.7)</f>
        <v>43.593795</v>
      </c>
      <c r="G6" s="36" t="n">
        <v>78</v>
      </c>
      <c r="H6" s="38" t="n">
        <v>95</v>
      </c>
      <c r="I6" s="41" t="n">
        <f aca="false">H6-G6</f>
        <v>17</v>
      </c>
      <c r="J6" s="38" t="n">
        <v>0.073</v>
      </c>
      <c r="K6" s="38" t="str">
        <f aca="false">_xlfn.UNICHAR(8596)</f>
        <v>↔</v>
      </c>
      <c r="L6" s="42" t="n">
        <f aca="false">F6*I6*J6</f>
        <v>54.099899595</v>
      </c>
      <c r="M6" s="41"/>
      <c r="N6" s="42" t="n">
        <f aca="false">L6+M6</f>
        <v>54.099899595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244</v>
      </c>
      <c r="B7" s="38" t="n">
        <v>6</v>
      </c>
      <c r="C7" s="60" t="s">
        <v>175</v>
      </c>
      <c r="D7" s="38" t="s">
        <v>99</v>
      </c>
      <c r="E7" s="38" t="s">
        <v>351</v>
      </c>
      <c r="F7" s="40" t="n">
        <f aca="false">10.7639 *((1.6 + 2.4)*2.7)</f>
        <v>116.25012</v>
      </c>
      <c r="G7" s="36" t="n">
        <v>78</v>
      </c>
      <c r="H7" s="38" t="n">
        <v>110</v>
      </c>
      <c r="I7" s="41" t="n">
        <f aca="false">H7-G7</f>
        <v>32</v>
      </c>
      <c r="J7" s="38" t="n">
        <v>0.158</v>
      </c>
      <c r="K7" s="38" t="str">
        <f aca="false">_xlfn.UNICHAR(8596)</f>
        <v>↔</v>
      </c>
      <c r="L7" s="42" t="n">
        <f aca="false">F7*I7*J7</f>
        <v>587.76060672</v>
      </c>
      <c r="M7" s="41"/>
      <c r="N7" s="42" t="n">
        <f aca="false">L7+M7</f>
        <v>587.76060672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210</v>
      </c>
      <c r="B8" s="38" t="n">
        <v>6</v>
      </c>
      <c r="C8" s="60" t="s">
        <v>175</v>
      </c>
      <c r="D8" s="38" t="s">
        <v>99</v>
      </c>
      <c r="E8" s="38" t="s">
        <v>352</v>
      </c>
      <c r="F8" s="40" t="n">
        <f aca="false">10.7639 * (2.1*2.7)</f>
        <v>61.031313</v>
      </c>
      <c r="G8" s="36" t="n">
        <v>78</v>
      </c>
      <c r="H8" s="38" t="n">
        <v>105</v>
      </c>
      <c r="I8" s="41" t="n">
        <f aca="false">H8-G8</f>
        <v>27</v>
      </c>
      <c r="J8" s="38" t="n">
        <v>0.158</v>
      </c>
      <c r="K8" s="38" t="str">
        <f aca="false">_xlfn.UNICHAR(8596)</f>
        <v>↔</v>
      </c>
      <c r="L8" s="42" t="n">
        <f aca="false">F8*I8*J8</f>
        <v>260.359581258</v>
      </c>
      <c r="M8" s="41"/>
      <c r="N8" s="42" t="n">
        <f aca="false">L8+M8</f>
        <v>260.359581258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340</v>
      </c>
      <c r="B9" s="38" t="n">
        <v>6</v>
      </c>
      <c r="C9" s="60" t="s">
        <v>175</v>
      </c>
      <c r="D9" s="38" t="s">
        <v>99</v>
      </c>
      <c r="E9" s="38" t="s">
        <v>246</v>
      </c>
      <c r="F9" s="40" t="n">
        <f aca="false">10.7639 * (1*2.7)</f>
        <v>29.06253</v>
      </c>
      <c r="G9" s="36" t="n">
        <v>78</v>
      </c>
      <c r="H9" s="38" t="n">
        <v>120</v>
      </c>
      <c r="I9" s="41" t="n">
        <f aca="false">H9-G9</f>
        <v>42</v>
      </c>
      <c r="J9" s="38" t="n">
        <v>0.158</v>
      </c>
      <c r="K9" s="38" t="str">
        <f aca="false">_xlfn.UNICHAR(8596)</f>
        <v>↔</v>
      </c>
      <c r="L9" s="42" t="n">
        <f aca="false">F9*I9*J9</f>
        <v>192.85894908</v>
      </c>
      <c r="M9" s="41"/>
      <c r="N9" s="42" t="n">
        <f aca="false">L9+M9</f>
        <v>192.85894908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353</v>
      </c>
      <c r="B10" s="38" t="n">
        <v>6</v>
      </c>
      <c r="C10" s="60" t="s">
        <v>175</v>
      </c>
      <c r="D10" s="38" t="s">
        <v>99</v>
      </c>
      <c r="E10" s="38" t="s">
        <v>314</v>
      </c>
      <c r="F10" s="40" t="n">
        <f aca="false">10.7639 * (1.7*2.7)</f>
        <v>49.406301</v>
      </c>
      <c r="G10" s="36" t="n">
        <v>78</v>
      </c>
      <c r="H10" s="38" t="n">
        <v>78</v>
      </c>
      <c r="I10" s="41" t="n">
        <f aca="false">H10-G10</f>
        <v>0</v>
      </c>
      <c r="J10" s="38" t="n">
        <v>0.158</v>
      </c>
      <c r="K10" s="38" t="str">
        <f aca="false">_xlfn.UNICHAR(8596)</f>
        <v>↔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37" t="s">
        <v>354</v>
      </c>
      <c r="B11" s="38" t="n">
        <v>6</v>
      </c>
      <c r="C11" s="60" t="s">
        <v>175</v>
      </c>
      <c r="D11" s="38" t="s">
        <v>99</v>
      </c>
      <c r="E11" s="38" t="s">
        <v>319</v>
      </c>
      <c r="F11" s="40" t="n">
        <f aca="false">10.7639 * (1.5*2.7)</f>
        <v>43.593795</v>
      </c>
      <c r="G11" s="36" t="n">
        <v>78</v>
      </c>
      <c r="H11" s="38" t="n">
        <v>110</v>
      </c>
      <c r="I11" s="41" t="n">
        <f aca="false">H11-G11</f>
        <v>32</v>
      </c>
      <c r="J11" s="38" t="n">
        <v>0.158</v>
      </c>
      <c r="K11" s="38" t="str">
        <f aca="false">_xlfn.UNICHAR(8596)</f>
        <v>↔</v>
      </c>
      <c r="L11" s="42" t="n">
        <f aca="false">F11*I11*J11</f>
        <v>220.41022752</v>
      </c>
      <c r="M11" s="36"/>
      <c r="N11" s="42" t="n">
        <f aca="false">L11+M11</f>
        <v>220.41022752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37" t="s">
        <v>355</v>
      </c>
      <c r="B12" s="38" t="n">
        <v>1</v>
      </c>
      <c r="C12" s="60" t="s">
        <v>175</v>
      </c>
      <c r="D12" s="38" t="s">
        <v>90</v>
      </c>
      <c r="E12" s="36"/>
      <c r="F12" s="40" t="n">
        <f aca="false">10.7639 * (3.72)</f>
        <v>40.041708</v>
      </c>
      <c r="G12" s="36" t="n">
        <v>78</v>
      </c>
      <c r="H12" s="38" t="n">
        <v>78</v>
      </c>
      <c r="I12" s="41" t="n">
        <f aca="false">H12-G12</f>
        <v>0</v>
      </c>
      <c r="J12" s="38" t="n">
        <v>0.171</v>
      </c>
      <c r="K12" s="38" t="str">
        <f aca="false">_xlfn.UNICHAR(8593)</f>
        <v>↑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37" t="s">
        <v>356</v>
      </c>
      <c r="B13" s="38" t="n">
        <v>1</v>
      </c>
      <c r="C13" s="60" t="s">
        <v>175</v>
      </c>
      <c r="D13" s="38" t="s">
        <v>90</v>
      </c>
      <c r="E13" s="36"/>
      <c r="F13" s="40" t="n">
        <f aca="false">10.7639 * (6.08)</f>
        <v>65.444512</v>
      </c>
      <c r="G13" s="36" t="n">
        <v>78</v>
      </c>
      <c r="H13" s="38" t="n">
        <v>78</v>
      </c>
      <c r="I13" s="41" t="n">
        <f aca="false">H13-G13</f>
        <v>0</v>
      </c>
      <c r="J13" s="38" t="n">
        <v>0.171</v>
      </c>
      <c r="K13" s="38" t="str">
        <f aca="false">_xlfn.UNICHAR(8593)</f>
        <v>↑</v>
      </c>
      <c r="L13" s="42" t="n">
        <f aca="false">F13*I13*J13</f>
        <v>0</v>
      </c>
      <c r="M13" s="36"/>
      <c r="N13" s="42" t="n">
        <f aca="false">L13+M13</f>
        <v>0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37" t="s">
        <v>357</v>
      </c>
      <c r="B14" s="38" t="n">
        <v>1</v>
      </c>
      <c r="C14" s="60" t="s">
        <v>175</v>
      </c>
      <c r="D14" s="38" t="s">
        <v>90</v>
      </c>
      <c r="E14" s="36"/>
      <c r="F14" s="40" t="n">
        <f aca="false">10.7639*(2.4)</f>
        <v>25.83336</v>
      </c>
      <c r="G14" s="36" t="n">
        <v>78</v>
      </c>
      <c r="H14" s="38" t="n">
        <v>110</v>
      </c>
      <c r="I14" s="41" t="n">
        <f aca="false">H14-G14</f>
        <v>32</v>
      </c>
      <c r="J14" s="38" t="n">
        <v>0.171</v>
      </c>
      <c r="K14" s="38" t="str">
        <f aca="false">_xlfn.UNICHAR(8593)</f>
        <v>↑</v>
      </c>
      <c r="L14" s="42" t="n">
        <f aca="false">F14*I14*J14</f>
        <v>141.36014592</v>
      </c>
      <c r="M14" s="36"/>
      <c r="N14" s="42" t="n">
        <f aca="false">L14+M14</f>
        <v>141.36014592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37" t="s">
        <v>340</v>
      </c>
      <c r="B15" s="38" t="n">
        <v>1</v>
      </c>
      <c r="C15" s="60" t="s">
        <v>175</v>
      </c>
      <c r="D15" s="38" t="s">
        <v>90</v>
      </c>
      <c r="E15" s="36"/>
      <c r="F15" s="40" t="n">
        <f aca="false">10.7639*(1.32)</f>
        <v>14.208348</v>
      </c>
      <c r="G15" s="36" t="n">
        <v>78</v>
      </c>
      <c r="H15" s="38" t="n">
        <v>120</v>
      </c>
      <c r="I15" s="41" t="n">
        <f aca="false">H15-G15</f>
        <v>42</v>
      </c>
      <c r="J15" s="38" t="n">
        <v>0.171</v>
      </c>
      <c r="K15" s="38" t="str">
        <f aca="false">_xlfn.UNICHAR(8593)</f>
        <v>↑</v>
      </c>
      <c r="L15" s="42" t="n">
        <f aca="false">F15*I15*J15</f>
        <v>102.044355336</v>
      </c>
      <c r="M15" s="36"/>
      <c r="N15" s="42" t="n">
        <f aca="false">L15+M15</f>
        <v>102.044355336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37" t="s">
        <v>237</v>
      </c>
      <c r="B16" s="38" t="n">
        <v>2</v>
      </c>
      <c r="C16" s="60" t="s">
        <v>175</v>
      </c>
      <c r="D16" s="38" t="s">
        <v>106</v>
      </c>
      <c r="E16" s="36"/>
      <c r="F16" s="40" t="n">
        <f aca="false">10.7639*(12.47)</f>
        <v>134.225833</v>
      </c>
      <c r="G16" s="36" t="n">
        <v>78</v>
      </c>
      <c r="H16" s="38" t="n">
        <v>78</v>
      </c>
      <c r="I16" s="41" t="n">
        <f aca="false">H16-G16</f>
        <v>0</v>
      </c>
      <c r="J16" s="38" t="n">
        <v>0.144</v>
      </c>
      <c r="K16" s="38" t="str">
        <f aca="false">_xlfn.UNICHAR(8595)</f>
        <v>↓</v>
      </c>
      <c r="L16" s="42" t="n">
        <f aca="false">F16*I16*J16</f>
        <v>0</v>
      </c>
      <c r="M16" s="36"/>
      <c r="N16" s="42" t="n">
        <f aca="false">L16+M16</f>
        <v>0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/>
      <c r="B17" s="36"/>
      <c r="C17" s="39"/>
      <c r="D17" s="36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6"/>
      <c r="S17" s="36"/>
      <c r="T17" s="43"/>
    </row>
    <row r="18" customFormat="false" ht="13.8" hidden="false" customHeight="false" outlineLevel="0" collapsed="false">
      <c r="C18" s="39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6"/>
      <c r="S18" s="36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2381.758614837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298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(13.52)</f>
        <v>145.527928</v>
      </c>
      <c r="G21" s="36"/>
      <c r="H21" s="36"/>
      <c r="I21" s="36"/>
      <c r="J21" s="36"/>
      <c r="K21" s="36"/>
      <c r="L21" s="38" t="n">
        <f aca="false">8*F21</f>
        <v>1164.223424</v>
      </c>
      <c r="M21" s="36"/>
      <c r="N21" s="42" t="n">
        <f aca="false">L21+M21</f>
        <v>1164.223424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6*315</f>
        <v>1890</v>
      </c>
      <c r="M26" s="38" t="n">
        <f aca="false">6*485</f>
        <v>2910</v>
      </c>
      <c r="N26" s="43" t="n">
        <f aca="false">L26+M26</f>
        <v>4800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8862.649238837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8862.649238837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145.527928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1289.1253877087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42.9708462569568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5952.649238837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2910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8862.649238837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220.468490327296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221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0.0647687131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0.671655740673106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245</v>
      </c>
      <c r="B2" s="35"/>
      <c r="C2" s="35" t="n">
        <v>6009</v>
      </c>
      <c r="D2" s="35"/>
      <c r="E2" s="35" t="s">
        <v>311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8" t="s">
        <v>359</v>
      </c>
      <c r="F5" s="40" t="n">
        <f aca="false">10.7639 *(1.1*2.7)</f>
        <v>31.968783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20.012458158</v>
      </c>
      <c r="M5" s="41"/>
      <c r="N5" s="42" t="n">
        <f aca="false">L5+M5</f>
        <v>20.012458158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305</v>
      </c>
      <c r="B6" s="38" t="n">
        <v>6</v>
      </c>
      <c r="C6" s="60" t="s">
        <v>104</v>
      </c>
      <c r="D6" s="38" t="s">
        <v>99</v>
      </c>
      <c r="E6" s="36" t="s">
        <v>319</v>
      </c>
      <c r="F6" s="46" t="n">
        <f aca="false">10.7639 *(1.5*2.7)</f>
        <v>43.593795</v>
      </c>
      <c r="G6" s="36" t="n">
        <v>78</v>
      </c>
      <c r="H6" s="38" t="n">
        <v>78</v>
      </c>
      <c r="I6" s="41" t="n">
        <f aca="false">H6-G6</f>
        <v>0</v>
      </c>
      <c r="J6" s="38" t="n">
        <v>0.313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354</v>
      </c>
      <c r="B7" s="38" t="n">
        <v>6</v>
      </c>
      <c r="C7" s="60" t="s">
        <v>104</v>
      </c>
      <c r="D7" s="38" t="s">
        <v>99</v>
      </c>
      <c r="E7" s="36" t="s">
        <v>351</v>
      </c>
      <c r="F7" s="46" t="n">
        <f aca="false">10.7639 *((1.6 + 2.4)*2.7)</f>
        <v>116.25012</v>
      </c>
      <c r="G7" s="36" t="n">
        <v>78</v>
      </c>
      <c r="H7" s="38" t="n">
        <v>78</v>
      </c>
      <c r="I7" s="41" t="n">
        <f aca="false">H7-G7</f>
        <v>0</v>
      </c>
      <c r="J7" s="38" t="n">
        <v>0.313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244</v>
      </c>
      <c r="B8" s="38" t="n">
        <v>6</v>
      </c>
      <c r="C8" s="60" t="s">
        <v>175</v>
      </c>
      <c r="D8" s="38" t="s">
        <v>99</v>
      </c>
      <c r="E8" s="38" t="s">
        <v>360</v>
      </c>
      <c r="F8" s="40" t="n">
        <f aca="false">10.7639 * (3.9*2.7)</f>
        <v>113.343867</v>
      </c>
      <c r="G8" s="36" t="n">
        <v>78</v>
      </c>
      <c r="H8" s="38" t="n">
        <v>110</v>
      </c>
      <c r="I8" s="41" t="n">
        <f aca="false">H8-G8</f>
        <v>32</v>
      </c>
      <c r="J8" s="38" t="n">
        <v>0.158</v>
      </c>
      <c r="K8" s="38" t="str">
        <f aca="false">_xlfn.UNICHAR(8596)</f>
        <v>↔</v>
      </c>
      <c r="L8" s="42" t="n">
        <f aca="false">F8*I8*J8</f>
        <v>573.066591552</v>
      </c>
      <c r="M8" s="41"/>
      <c r="N8" s="42" t="n">
        <f aca="false">L8+M8</f>
        <v>573.066591552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340</v>
      </c>
      <c r="B9" s="38" t="n">
        <v>6</v>
      </c>
      <c r="C9" s="60" t="s">
        <v>175</v>
      </c>
      <c r="D9" s="38" t="s">
        <v>99</v>
      </c>
      <c r="E9" s="38" t="s">
        <v>361</v>
      </c>
      <c r="F9" s="40" t="n">
        <f aca="false">10.7639 * (0.1*2.7)</f>
        <v>2.906253</v>
      </c>
      <c r="G9" s="36" t="n">
        <v>78</v>
      </c>
      <c r="H9" s="38" t="n">
        <v>120</v>
      </c>
      <c r="I9" s="41" t="n">
        <f aca="false">H9-G9</f>
        <v>42</v>
      </c>
      <c r="J9" s="38" t="n">
        <v>0.158</v>
      </c>
      <c r="K9" s="38" t="str">
        <f aca="false">_xlfn.UNICHAR(8596)</f>
        <v>↔</v>
      </c>
      <c r="L9" s="42" t="n">
        <f aca="false">F9*I9*J9</f>
        <v>19.285894908</v>
      </c>
      <c r="M9" s="41"/>
      <c r="N9" s="42" t="n">
        <f aca="false">L9+M9</f>
        <v>19.285894908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306</v>
      </c>
      <c r="B10" s="38" t="n">
        <v>6</v>
      </c>
      <c r="C10" s="60" t="s">
        <v>104</v>
      </c>
      <c r="D10" s="38" t="s">
        <v>99</v>
      </c>
      <c r="E10" s="38" t="s">
        <v>319</v>
      </c>
      <c r="F10" s="40" t="n">
        <f aca="false">10.7639 * (1.5*2.7)</f>
        <v>43.593795</v>
      </c>
      <c r="G10" s="36" t="n">
        <v>78</v>
      </c>
      <c r="H10" s="38" t="n">
        <v>85</v>
      </c>
      <c r="I10" s="41" t="n">
        <f aca="false">H10-G10</f>
        <v>7</v>
      </c>
      <c r="J10" s="38" t="n">
        <v>0.313</v>
      </c>
      <c r="K10" s="38" t="str">
        <f aca="false">_xlfn.UNICHAR(8596)</f>
        <v>↔</v>
      </c>
      <c r="L10" s="42" t="n">
        <f aca="false">F10*I10*J10</f>
        <v>95.514004845</v>
      </c>
      <c r="M10" s="36"/>
      <c r="N10" s="42" t="n">
        <f aca="false">L10+M10</f>
        <v>95.514004845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348</v>
      </c>
      <c r="B11" s="38" t="n">
        <v>6</v>
      </c>
      <c r="C11" s="60" t="s">
        <v>175</v>
      </c>
      <c r="D11" s="38" t="s">
        <v>99</v>
      </c>
      <c r="E11" s="38" t="s">
        <v>314</v>
      </c>
      <c r="F11" s="40" t="n">
        <f aca="false">10.7639 * (1.7*2.7)</f>
        <v>49.406301</v>
      </c>
      <c r="G11" s="36" t="n">
        <v>78</v>
      </c>
      <c r="H11" s="38" t="n">
        <v>78</v>
      </c>
      <c r="I11" s="41" t="n">
        <f aca="false">H11-G11</f>
        <v>0</v>
      </c>
      <c r="J11" s="38" t="n">
        <v>0.158</v>
      </c>
      <c r="K11" s="38" t="str">
        <f aca="false">_xlfn.UNICHAR(8596)</f>
        <v>↔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362</v>
      </c>
      <c r="B12" s="38" t="n">
        <v>1</v>
      </c>
      <c r="C12" s="60" t="s">
        <v>175</v>
      </c>
      <c r="D12" s="38" t="s">
        <v>90</v>
      </c>
      <c r="E12" s="36"/>
      <c r="F12" s="40" t="n">
        <f aca="false">10.7639 * (4.68)</f>
        <v>50.375052</v>
      </c>
      <c r="G12" s="36" t="n">
        <v>78</v>
      </c>
      <c r="H12" s="38" t="n">
        <v>78</v>
      </c>
      <c r="I12" s="41" t="n">
        <f aca="false">H12-G12</f>
        <v>0</v>
      </c>
      <c r="J12" s="38" t="n">
        <v>0.171</v>
      </c>
      <c r="K12" s="38" t="str">
        <f aca="false">_xlfn.UNICHAR(8593)</f>
        <v>↑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363</v>
      </c>
      <c r="B13" s="38" t="n">
        <v>1</v>
      </c>
      <c r="C13" s="60" t="s">
        <v>175</v>
      </c>
      <c r="D13" s="38" t="s">
        <v>90</v>
      </c>
      <c r="E13" s="36"/>
      <c r="F13" s="40" t="n">
        <f aca="false">10.7639 * (9.87)</f>
        <v>106.239693</v>
      </c>
      <c r="G13" s="36" t="n">
        <v>78</v>
      </c>
      <c r="H13" s="38" t="n">
        <v>78</v>
      </c>
      <c r="I13" s="41" t="n">
        <f aca="false">H13-G13</f>
        <v>0</v>
      </c>
      <c r="J13" s="38" t="n">
        <v>0.171</v>
      </c>
      <c r="K13" s="38" t="str">
        <f aca="false">_xlfn.UNICHAR(8593)</f>
        <v>↑</v>
      </c>
      <c r="L13" s="42" t="n">
        <f aca="false">F13*I13*J13</f>
        <v>0</v>
      </c>
      <c r="M13" s="36"/>
      <c r="N13" s="42" t="n">
        <f aca="false">L13+M13</f>
        <v>0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364</v>
      </c>
      <c r="B14" s="38" t="n">
        <v>1</v>
      </c>
      <c r="C14" s="60" t="s">
        <v>175</v>
      </c>
      <c r="D14" s="38" t="s">
        <v>90</v>
      </c>
      <c r="E14" s="36"/>
      <c r="F14" s="40" t="n">
        <f aca="false">10.7639*(0.48)</f>
        <v>5.166672</v>
      </c>
      <c r="G14" s="36" t="n">
        <v>78</v>
      </c>
      <c r="H14" s="38" t="n">
        <v>85</v>
      </c>
      <c r="I14" s="41" t="n">
        <f aca="false">H14-G14</f>
        <v>7</v>
      </c>
      <c r="J14" s="38" t="n">
        <v>0.171</v>
      </c>
      <c r="K14" s="38" t="str">
        <f aca="false">_xlfn.UNICHAR(8593)</f>
        <v>↑</v>
      </c>
      <c r="L14" s="42" t="n">
        <f aca="false">F14*I14*J14</f>
        <v>6.184506384</v>
      </c>
      <c r="M14" s="36"/>
      <c r="N14" s="42" t="n">
        <f aca="false">L14+M14</f>
        <v>6.184506384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 t="s">
        <v>190</v>
      </c>
      <c r="B15" s="38" t="n">
        <v>1</v>
      </c>
      <c r="C15" s="60" t="s">
        <v>175</v>
      </c>
      <c r="D15" s="38" t="s">
        <v>90</v>
      </c>
      <c r="E15" s="36"/>
      <c r="F15" s="40" t="n">
        <f aca="false">10.7639*(2.16)</f>
        <v>23.250024</v>
      </c>
      <c r="G15" s="36" t="n">
        <v>78</v>
      </c>
      <c r="H15" s="38" t="n">
        <v>80</v>
      </c>
      <c r="I15" s="41" t="n">
        <f aca="false">H15-G15</f>
        <v>2</v>
      </c>
      <c r="J15" s="38" t="n">
        <v>0.171</v>
      </c>
      <c r="K15" s="38" t="str">
        <f aca="false">_xlfn.UNICHAR(8593)</f>
        <v>↑</v>
      </c>
      <c r="L15" s="42" t="n">
        <f aca="false">F15*I15*J15</f>
        <v>7.951508208</v>
      </c>
      <c r="M15" s="36"/>
      <c r="N15" s="42" t="n">
        <f aca="false">L15+M15</f>
        <v>7.951508208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45" t="s">
        <v>229</v>
      </c>
      <c r="B16" s="38" t="n">
        <v>2</v>
      </c>
      <c r="C16" s="60" t="s">
        <v>175</v>
      </c>
      <c r="D16" s="38" t="s">
        <v>106</v>
      </c>
      <c r="E16" s="36"/>
      <c r="F16" s="40" t="n">
        <f aca="false">10.7639*(15.23)</f>
        <v>163.934197</v>
      </c>
      <c r="G16" s="36" t="n">
        <v>78</v>
      </c>
      <c r="H16" s="38" t="n">
        <v>78</v>
      </c>
      <c r="I16" s="41" t="n">
        <f aca="false">H16-G16</f>
        <v>0</v>
      </c>
      <c r="J16" s="38" t="n">
        <v>0.144</v>
      </c>
      <c r="K16" s="38" t="str">
        <f aca="false">_xlfn.UNICHAR(8595)</f>
        <v>↓</v>
      </c>
      <c r="L16" s="42" t="n">
        <f aca="false">F16*I16*J16</f>
        <v>0</v>
      </c>
      <c r="M16" s="36"/>
      <c r="N16" s="42" t="n">
        <f aca="false">L16+M16</f>
        <v>0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 t="s">
        <v>210</v>
      </c>
      <c r="B17" s="38" t="n">
        <v>2</v>
      </c>
      <c r="C17" s="60" t="s">
        <v>175</v>
      </c>
      <c r="D17" s="38" t="s">
        <v>106</v>
      </c>
      <c r="E17" s="36"/>
      <c r="F17" s="40" t="n">
        <f aca="false">10.7639*(1.96)</f>
        <v>21.097244</v>
      </c>
      <c r="G17" s="36" t="n">
        <v>78</v>
      </c>
      <c r="H17" s="38" t="n">
        <v>80</v>
      </c>
      <c r="I17" s="41" t="n">
        <f aca="false">H17-G17</f>
        <v>2</v>
      </c>
      <c r="J17" s="38" t="n">
        <v>0.144</v>
      </c>
      <c r="K17" s="38" t="str">
        <f aca="false">_xlfn.UNICHAR(8595)</f>
        <v>↓</v>
      </c>
      <c r="L17" s="42" t="n">
        <f aca="false">F17*I17*J17</f>
        <v>6.076006272</v>
      </c>
      <c r="M17" s="36"/>
      <c r="N17" s="42" t="n">
        <f aca="false">L17+M17</f>
        <v>6.076006272</v>
      </c>
      <c r="O17" s="38" t="n">
        <v>70</v>
      </c>
      <c r="P17" s="38" t="n">
        <v>70</v>
      </c>
      <c r="Q17" s="41" t="n">
        <f aca="false">O17-P17</f>
        <v>0</v>
      </c>
      <c r="R17" s="38"/>
      <c r="S17" s="38"/>
      <c r="T17" s="43" t="n">
        <f aca="false">F17*Q17*R17</f>
        <v>0</v>
      </c>
    </row>
    <row r="18" customFormat="false" ht="13.8" hidden="false" customHeight="false" outlineLevel="0" collapsed="false">
      <c r="A18" s="29" t="s">
        <v>108</v>
      </c>
      <c r="B18" s="61" t="n">
        <v>3</v>
      </c>
      <c r="C18" s="39" t="s">
        <v>205</v>
      </c>
      <c r="D18" s="61" t="s">
        <v>99</v>
      </c>
      <c r="E18" s="38" t="s">
        <v>365</v>
      </c>
      <c r="F18" s="40" t="n">
        <f aca="false">10.7639*(3.3*2.7)</f>
        <v>95.906349</v>
      </c>
      <c r="G18" s="36" t="n">
        <v>78</v>
      </c>
      <c r="H18" s="38" t="n">
        <v>95</v>
      </c>
      <c r="I18" s="41" t="n">
        <f aca="false">H18-G18</f>
        <v>17</v>
      </c>
      <c r="J18" s="38" t="n">
        <v>0.073</v>
      </c>
      <c r="K18" s="38" t="str">
        <f aca="false">_xlfn.UNICHAR(8596)</f>
        <v>↔</v>
      </c>
      <c r="L18" s="42" t="n">
        <f aca="false">F18*I18*J18</f>
        <v>119.019779109</v>
      </c>
      <c r="M18" s="36"/>
      <c r="N18" s="42" t="n">
        <f aca="false">L18+M18</f>
        <v>119.019779109</v>
      </c>
      <c r="O18" s="38" t="n">
        <v>70</v>
      </c>
      <c r="P18" s="38" t="n">
        <v>70</v>
      </c>
      <c r="Q18" s="41" t="n">
        <f aca="false">O18-P18</f>
        <v>0</v>
      </c>
      <c r="R18" s="38"/>
      <c r="S18" s="38"/>
      <c r="T18" s="43" t="n">
        <f aca="false">F18*Q18*R18</f>
        <v>0</v>
      </c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847.110749436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298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(17.19)</f>
        <v>185.031441</v>
      </c>
      <c r="G21" s="36"/>
      <c r="H21" s="36"/>
      <c r="I21" s="36"/>
      <c r="J21" s="36"/>
      <c r="K21" s="36"/>
      <c r="L21" s="38" t="n">
        <f aca="false">8*F21</f>
        <v>1480.251528</v>
      </c>
      <c r="M21" s="36"/>
      <c r="N21" s="42" t="n">
        <f aca="false">L21+M21</f>
        <v>1480.251528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3644.029477436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3644.029477436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185.031441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1639.05809280419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54.6352697601396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3159.029477436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3644.029477436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117.001091756889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118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0.0345823898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0.866905577190541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354</v>
      </c>
      <c r="B2" s="35"/>
      <c r="C2" s="35" t="n">
        <v>6010</v>
      </c>
      <c r="D2" s="35"/>
      <c r="E2" s="35" t="s">
        <v>311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245</v>
      </c>
      <c r="B5" s="38" t="n">
        <v>6</v>
      </c>
      <c r="C5" s="60" t="s">
        <v>104</v>
      </c>
      <c r="D5" s="38" t="s">
        <v>99</v>
      </c>
      <c r="E5" s="38"/>
      <c r="F5" s="40"/>
      <c r="G5" s="36" t="n">
        <v>78</v>
      </c>
      <c r="H5" s="38" t="n">
        <v>78</v>
      </c>
      <c r="I5" s="41" t="n">
        <f aca="false">H5-G5</f>
        <v>0</v>
      </c>
      <c r="J5" s="38" t="n">
        <v>0.313</v>
      </c>
      <c r="K5" s="38" t="str">
        <f aca="false">_xlfn.UNICHAR(8596)</f>
        <v>↔</v>
      </c>
      <c r="L5" s="42" t="n">
        <f aca="false">F5*I5*J5</f>
        <v>0</v>
      </c>
      <c r="M5" s="41"/>
      <c r="N5" s="42" t="n">
        <f aca="false">L5+M5</f>
        <v>0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366</v>
      </c>
      <c r="B6" s="38" t="n">
        <v>6</v>
      </c>
      <c r="C6" s="60" t="s">
        <v>175</v>
      </c>
      <c r="D6" s="38" t="s">
        <v>99</v>
      </c>
      <c r="E6" s="36"/>
      <c r="F6" s="46"/>
      <c r="G6" s="36" t="n">
        <v>78</v>
      </c>
      <c r="H6" s="38" t="n">
        <v>78</v>
      </c>
      <c r="I6" s="41" t="n">
        <f aca="false">H6-G6</f>
        <v>0</v>
      </c>
      <c r="J6" s="38" t="n">
        <v>0.158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244</v>
      </c>
      <c r="B7" s="38" t="n">
        <v>6</v>
      </c>
      <c r="C7" s="60" t="s">
        <v>175</v>
      </c>
      <c r="D7" s="38" t="s">
        <v>99</v>
      </c>
      <c r="E7" s="36" t="s">
        <v>303</v>
      </c>
      <c r="F7" s="46" t="n">
        <f aca="false">10.7639 *(2.4*2.7)</f>
        <v>69.750072</v>
      </c>
      <c r="G7" s="36" t="n">
        <v>78</v>
      </c>
      <c r="H7" s="38" t="n">
        <v>110</v>
      </c>
      <c r="I7" s="41" t="n">
        <f aca="false">H7-G7</f>
        <v>32</v>
      </c>
      <c r="J7" s="38" t="n">
        <v>0.158</v>
      </c>
      <c r="K7" s="38" t="str">
        <f aca="false">_xlfn.UNICHAR(8596)</f>
        <v>↔</v>
      </c>
      <c r="L7" s="42" t="n">
        <f aca="false">F7*I7*J7</f>
        <v>352.656364032</v>
      </c>
      <c r="M7" s="41"/>
      <c r="N7" s="42" t="n">
        <f aca="false">L7+M7</f>
        <v>352.656364032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363</v>
      </c>
      <c r="B8" s="38" t="n">
        <v>1</v>
      </c>
      <c r="C8" s="60" t="s">
        <v>175</v>
      </c>
      <c r="D8" s="38" t="s">
        <v>90</v>
      </c>
      <c r="E8" s="38"/>
      <c r="F8" s="40"/>
      <c r="G8" s="36" t="n">
        <v>78</v>
      </c>
      <c r="H8" s="38" t="n">
        <v>78</v>
      </c>
      <c r="I8" s="41" t="n">
        <f aca="false">H8-G8</f>
        <v>0</v>
      </c>
      <c r="J8" s="38" t="n">
        <v>0.171</v>
      </c>
      <c r="K8" s="38" t="str">
        <f aca="false">_xlfn.UNICHAR(8593)</f>
        <v>↑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362</v>
      </c>
      <c r="B9" s="38" t="n">
        <v>1</v>
      </c>
      <c r="C9" s="60" t="s">
        <v>175</v>
      </c>
      <c r="D9" s="38" t="s">
        <v>90</v>
      </c>
      <c r="E9" s="38" t="s">
        <v>361</v>
      </c>
      <c r="F9" s="40"/>
      <c r="G9" s="36" t="n">
        <v>78</v>
      </c>
      <c r="H9" s="38" t="n">
        <v>78</v>
      </c>
      <c r="I9" s="41" t="n">
        <f aca="false">H9-G9</f>
        <v>0</v>
      </c>
      <c r="J9" s="38" t="n">
        <v>0.171</v>
      </c>
      <c r="K9" s="38" t="str">
        <f aca="false">_xlfn.UNICHAR(8593)</f>
        <v>↑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367</v>
      </c>
      <c r="B10" s="38" t="n">
        <v>1</v>
      </c>
      <c r="C10" s="60" t="s">
        <v>175</v>
      </c>
      <c r="D10" s="38" t="s">
        <v>90</v>
      </c>
      <c r="E10" s="38"/>
      <c r="F10" s="40" t="n">
        <f aca="false">10.7639 * (1.7)</f>
        <v>18.29863</v>
      </c>
      <c r="G10" s="36" t="n">
        <v>78</v>
      </c>
      <c r="H10" s="38" t="n">
        <v>80</v>
      </c>
      <c r="I10" s="41" t="n">
        <f aca="false">H10-G10</f>
        <v>2</v>
      </c>
      <c r="J10" s="38" t="n">
        <v>0.171</v>
      </c>
      <c r="K10" s="38" t="str">
        <f aca="false">_xlfn.UNICHAR(8593)</f>
        <v>↑</v>
      </c>
      <c r="L10" s="42" t="n">
        <f aca="false">F10*I10*J10</f>
        <v>6.25813146</v>
      </c>
      <c r="M10" s="36"/>
      <c r="N10" s="42" t="n">
        <f aca="false">L10+M10</f>
        <v>6.25813146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229</v>
      </c>
      <c r="B11" s="38" t="n">
        <v>2</v>
      </c>
      <c r="C11" s="60" t="s">
        <v>175</v>
      </c>
      <c r="D11" s="38" t="s">
        <v>106</v>
      </c>
      <c r="E11" s="38"/>
      <c r="F11" s="40"/>
      <c r="G11" s="36" t="n">
        <v>78</v>
      </c>
      <c r="H11" s="38" t="n">
        <v>78</v>
      </c>
      <c r="I11" s="41" t="n">
        <f aca="false">H11-G11</f>
        <v>0</v>
      </c>
      <c r="J11" s="38" t="n">
        <v>0.144</v>
      </c>
      <c r="K11" s="38" t="str">
        <f aca="false">_xlfn.UNICHAR(8595)</f>
        <v>↓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358.914495492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298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(3.6)</f>
        <v>38.75004</v>
      </c>
      <c r="G21" s="36"/>
      <c r="H21" s="36"/>
      <c r="I21" s="36"/>
      <c r="J21" s="36"/>
      <c r="K21" s="36"/>
      <c r="L21" s="38" t="n">
        <f aca="false">8*F21</f>
        <v>310.00032</v>
      </c>
      <c r="M21" s="36"/>
      <c r="N21" s="42" t="n">
        <f aca="false">L21+M21</f>
        <v>310.00032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1985.582015492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1985.582015492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38.75004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343.25823933072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11.441941311024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1500.582015492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1985.582015492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55.5771116848889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56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0.0164119816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0.755739125245943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368</v>
      </c>
      <c r="B2" s="35"/>
      <c r="C2" s="35" t="n">
        <v>7001</v>
      </c>
      <c r="D2" s="35"/>
      <c r="E2" s="35" t="s">
        <v>369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108</v>
      </c>
      <c r="B5" s="38" t="n">
        <v>3</v>
      </c>
      <c r="C5" s="60" t="s">
        <v>175</v>
      </c>
      <c r="D5" s="38" t="s">
        <v>99</v>
      </c>
      <c r="E5" s="38" t="s">
        <v>303</v>
      </c>
      <c r="F5" s="40" t="n">
        <f aca="false">10.7639 *(2.4*2.7)</f>
        <v>69.750072</v>
      </c>
      <c r="G5" s="36" t="n">
        <v>78</v>
      </c>
      <c r="H5" s="38" t="n">
        <v>95</v>
      </c>
      <c r="I5" s="41" t="n">
        <f aca="false">H5-G5</f>
        <v>17</v>
      </c>
      <c r="J5" s="38" t="n">
        <v>0.158</v>
      </c>
      <c r="K5" s="38" t="str">
        <f aca="false">_xlfn.UNICHAR(8596)</f>
        <v>↔</v>
      </c>
      <c r="L5" s="42" t="n">
        <f aca="false">F5*I5*J5</f>
        <v>187.348693392</v>
      </c>
      <c r="M5" s="41"/>
      <c r="N5" s="42" t="n">
        <f aca="false">L5+M5</f>
        <v>187.348693392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60" t="s">
        <v>175</v>
      </c>
      <c r="D6" s="38" t="s">
        <v>99</v>
      </c>
      <c r="E6" s="38" t="s">
        <v>303</v>
      </c>
      <c r="F6" s="40" t="n">
        <f aca="false">10.7639 *(2.4*2.7)</f>
        <v>69.750072</v>
      </c>
      <c r="G6" s="36" t="n">
        <v>78</v>
      </c>
      <c r="H6" s="38" t="n">
        <v>95</v>
      </c>
      <c r="I6" s="41" t="n">
        <f aca="false">H6-G6</f>
        <v>17</v>
      </c>
      <c r="J6" s="38" t="n">
        <v>0.158</v>
      </c>
      <c r="K6" s="38" t="str">
        <f aca="false">_xlfn.UNICHAR(8596)</f>
        <v>↔</v>
      </c>
      <c r="L6" s="42" t="n">
        <f aca="false">F6*I6*J6</f>
        <v>187.348693392</v>
      </c>
      <c r="M6" s="41"/>
      <c r="N6" s="42" t="n">
        <f aca="false">L6+M6</f>
        <v>187.348693392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8" t="n">
        <v>3</v>
      </c>
      <c r="C7" s="60" t="s">
        <v>175</v>
      </c>
      <c r="D7" s="38" t="s">
        <v>99</v>
      </c>
      <c r="E7" s="38" t="s">
        <v>303</v>
      </c>
      <c r="F7" s="40" t="n">
        <f aca="false">10.7639 *(2.4*2.7)</f>
        <v>69.750072</v>
      </c>
      <c r="G7" s="36" t="n">
        <v>78</v>
      </c>
      <c r="H7" s="38" t="n">
        <v>95</v>
      </c>
      <c r="I7" s="41" t="n">
        <f aca="false">H7-G7</f>
        <v>17</v>
      </c>
      <c r="J7" s="38" t="n">
        <v>0.158</v>
      </c>
      <c r="K7" s="38" t="str">
        <f aca="false">_xlfn.UNICHAR(8596)</f>
        <v>↔</v>
      </c>
      <c r="L7" s="42" t="n">
        <f aca="false">F7*I7*J7</f>
        <v>187.348693392</v>
      </c>
      <c r="M7" s="41"/>
      <c r="N7" s="42" t="n">
        <f aca="false">L7+M7</f>
        <v>187.348693392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357</v>
      </c>
      <c r="B8" s="38" t="n">
        <v>6</v>
      </c>
      <c r="C8" s="60" t="s">
        <v>175</v>
      </c>
      <c r="D8" s="38" t="s">
        <v>99</v>
      </c>
      <c r="E8" s="38" t="s">
        <v>370</v>
      </c>
      <c r="F8" s="40" t="n">
        <f aca="false">10.7639 *(2.8*2.7)</f>
        <v>81.375084</v>
      </c>
      <c r="G8" s="36" t="n">
        <v>78</v>
      </c>
      <c r="H8" s="38" t="n">
        <v>110</v>
      </c>
      <c r="I8" s="41" t="n">
        <f aca="false">H8-G8</f>
        <v>32</v>
      </c>
      <c r="J8" s="38" t="n">
        <v>0.158</v>
      </c>
      <c r="K8" s="38" t="str">
        <f aca="false">_xlfn.UNICHAR(8596)</f>
        <v>↔</v>
      </c>
      <c r="L8" s="42" t="n">
        <f aca="false">F8*I8*J8</f>
        <v>411.432424704</v>
      </c>
      <c r="M8" s="41"/>
      <c r="N8" s="42" t="n">
        <f aca="false">L8+M8</f>
        <v>411.432424704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340</v>
      </c>
      <c r="B9" s="38" t="n">
        <v>6</v>
      </c>
      <c r="C9" s="60" t="s">
        <v>175</v>
      </c>
      <c r="D9" s="38" t="s">
        <v>99</v>
      </c>
      <c r="E9" s="38" t="s">
        <v>371</v>
      </c>
      <c r="F9" s="40" t="n">
        <f aca="false">10.7639 *(0.4*2.7)</f>
        <v>11.625012</v>
      </c>
      <c r="G9" s="36" t="n">
        <v>78</v>
      </c>
      <c r="H9" s="38" t="n">
        <v>120</v>
      </c>
      <c r="I9" s="41" t="n">
        <f aca="false">H9-G9</f>
        <v>42</v>
      </c>
      <c r="J9" s="38" t="n">
        <v>0.158</v>
      </c>
      <c r="K9" s="38" t="str">
        <f aca="false">_xlfn.UNICHAR(8596)</f>
        <v>↔</v>
      </c>
      <c r="L9" s="42" t="n">
        <f aca="false">F9*I9*J9</f>
        <v>77.143579632</v>
      </c>
      <c r="M9" s="41"/>
      <c r="N9" s="42" t="n">
        <f aca="false">L9+M9</f>
        <v>77.143579632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108</v>
      </c>
      <c r="B10" s="38" t="n">
        <v>1</v>
      </c>
      <c r="C10" s="60" t="s">
        <v>175</v>
      </c>
      <c r="D10" s="38" t="s">
        <v>90</v>
      </c>
      <c r="E10" s="38" t="s">
        <v>372</v>
      </c>
      <c r="F10" s="40" t="n">
        <f aca="false">10.7639 * (2.4*3.2)</f>
        <v>82.666752</v>
      </c>
      <c r="G10" s="36" t="n">
        <v>78</v>
      </c>
      <c r="H10" s="38" t="n">
        <v>95</v>
      </c>
      <c r="I10" s="41" t="n">
        <f aca="false">H10-G10</f>
        <v>17</v>
      </c>
      <c r="J10" s="38" t="n">
        <v>0.171</v>
      </c>
      <c r="K10" s="38" t="str">
        <f aca="false">_xlfn.UNICHAR(8593)</f>
        <v>↑</v>
      </c>
      <c r="L10" s="42" t="n">
        <f aca="false">F10*I10*J10</f>
        <v>240.312248064</v>
      </c>
      <c r="M10" s="36"/>
      <c r="N10" s="42" t="n">
        <f aca="false">L10+M10</f>
        <v>240.312248064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373</v>
      </c>
      <c r="B11" s="38" t="n">
        <v>2</v>
      </c>
      <c r="C11" s="60" t="s">
        <v>175</v>
      </c>
      <c r="D11" s="38" t="s">
        <v>106</v>
      </c>
      <c r="E11" s="38" t="s">
        <v>372</v>
      </c>
      <c r="F11" s="40" t="n">
        <f aca="false">10.7639 *(2.4*3.2)</f>
        <v>82.666752</v>
      </c>
      <c r="G11" s="36" t="n">
        <v>78</v>
      </c>
      <c r="H11" s="38" t="n">
        <v>95</v>
      </c>
      <c r="I11" s="41" t="n">
        <f aca="false">H11-G11</f>
        <v>17</v>
      </c>
      <c r="J11" s="38" t="n">
        <v>0.144</v>
      </c>
      <c r="K11" s="38" t="str">
        <f aca="false">_xlfn.UNICHAR(8595)</f>
        <v>↓</v>
      </c>
      <c r="L11" s="42" t="n">
        <f aca="false">F11*I11*J11</f>
        <v>202.368208896</v>
      </c>
      <c r="M11" s="36"/>
      <c r="N11" s="42" t="n">
        <f aca="false">L11+M11</f>
        <v>202.368208896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/>
      <c r="B12" s="36"/>
      <c r="C12" s="39"/>
      <c r="D12" s="36"/>
      <c r="E12" s="36"/>
      <c r="F12" s="46"/>
      <c r="G12" s="36"/>
      <c r="H12" s="36"/>
      <c r="I12" s="36"/>
      <c r="J12" s="36"/>
      <c r="K12" s="36"/>
      <c r="L12" s="46"/>
      <c r="M12" s="36"/>
      <c r="N12" s="46"/>
      <c r="O12" s="36"/>
      <c r="P12" s="36"/>
      <c r="Q12" s="36"/>
      <c r="R12" s="36"/>
      <c r="S12" s="36"/>
      <c r="T12" s="62"/>
    </row>
    <row r="13" customFormat="false" ht="13.8" hidden="false" customHeight="false" outlineLevel="0" collapsed="false">
      <c r="A13" s="45"/>
      <c r="B13" s="36"/>
      <c r="C13" s="39"/>
      <c r="D13" s="36"/>
      <c r="E13" s="36"/>
      <c r="F13" s="46"/>
      <c r="G13" s="36"/>
      <c r="H13" s="36"/>
      <c r="I13" s="36"/>
      <c r="J13" s="36"/>
      <c r="K13" s="36"/>
      <c r="L13" s="46"/>
      <c r="M13" s="36"/>
      <c r="N13" s="46"/>
      <c r="O13" s="36"/>
      <c r="P13" s="36"/>
      <c r="Q13" s="36"/>
      <c r="R13" s="36"/>
      <c r="S13" s="36"/>
      <c r="T13" s="62"/>
    </row>
    <row r="14" customFormat="false" ht="13.8" hidden="false" customHeight="false" outlineLevel="0" collapsed="false">
      <c r="A14" s="45"/>
      <c r="B14" s="36"/>
      <c r="C14" s="39"/>
      <c r="D14" s="36"/>
      <c r="E14" s="36"/>
      <c r="F14" s="46"/>
      <c r="G14" s="36"/>
      <c r="H14" s="36"/>
      <c r="I14" s="36"/>
      <c r="J14" s="36"/>
      <c r="K14" s="36"/>
      <c r="L14" s="46"/>
      <c r="M14" s="36"/>
      <c r="N14" s="46"/>
      <c r="O14" s="36"/>
      <c r="P14" s="36"/>
      <c r="Q14" s="36"/>
      <c r="R14" s="36"/>
      <c r="S14" s="36"/>
      <c r="T14" s="62"/>
    </row>
    <row r="15" customFormat="false" ht="13.8" hidden="false" customHeight="false" outlineLevel="0" collapsed="false">
      <c r="A15" s="45"/>
      <c r="B15" s="36"/>
      <c r="C15" s="39"/>
      <c r="D15" s="36"/>
      <c r="E15" s="36"/>
      <c r="F15" s="46"/>
      <c r="G15" s="36"/>
      <c r="H15" s="36"/>
      <c r="I15" s="36"/>
      <c r="J15" s="36"/>
      <c r="K15" s="36"/>
      <c r="L15" s="46"/>
      <c r="M15" s="36"/>
      <c r="N15" s="46"/>
      <c r="O15" s="36"/>
      <c r="P15" s="36"/>
      <c r="Q15" s="36"/>
      <c r="R15" s="36"/>
      <c r="S15" s="36"/>
      <c r="T15" s="62"/>
    </row>
    <row r="16" customFormat="false" ht="13.8" hidden="false" customHeight="false" outlineLevel="0" collapsed="false">
      <c r="A16" s="45"/>
      <c r="B16" s="36"/>
      <c r="C16" s="39"/>
      <c r="D16" s="36"/>
      <c r="E16" s="36"/>
      <c r="F16" s="46"/>
      <c r="G16" s="36"/>
      <c r="H16" s="36"/>
      <c r="I16" s="36"/>
      <c r="J16" s="36"/>
      <c r="K16" s="36"/>
      <c r="L16" s="46"/>
      <c r="M16" s="36"/>
      <c r="N16" s="46"/>
      <c r="O16" s="36"/>
      <c r="P16" s="36"/>
      <c r="Q16" s="36"/>
      <c r="R16" s="36"/>
      <c r="S16" s="36"/>
      <c r="T16" s="62"/>
    </row>
    <row r="17" customFormat="false" ht="13.8" hidden="false" customHeight="false" outlineLevel="0" collapsed="false">
      <c r="A17" s="45"/>
      <c r="B17" s="36"/>
      <c r="C17" s="39"/>
      <c r="D17" s="36"/>
      <c r="E17" s="36"/>
      <c r="F17" s="46"/>
      <c r="G17" s="36"/>
      <c r="H17" s="36"/>
      <c r="I17" s="36"/>
      <c r="J17" s="36"/>
      <c r="K17" s="36"/>
      <c r="L17" s="46"/>
      <c r="M17" s="36"/>
      <c r="N17" s="46"/>
      <c r="O17" s="36"/>
      <c r="P17" s="36"/>
      <c r="Q17" s="36"/>
      <c r="R17" s="36"/>
      <c r="S17" s="36"/>
      <c r="T17" s="62"/>
    </row>
    <row r="18" customFormat="false" ht="13.8" hidden="false" customHeight="false" outlineLevel="0" collapsed="false">
      <c r="C18" s="39"/>
      <c r="E18" s="36"/>
      <c r="F18" s="46"/>
      <c r="G18" s="36"/>
      <c r="H18" s="36"/>
      <c r="I18" s="36"/>
      <c r="J18" s="36"/>
      <c r="K18" s="36"/>
      <c r="L18" s="46"/>
      <c r="M18" s="36"/>
      <c r="N18" s="46"/>
      <c r="O18" s="36"/>
      <c r="P18" s="36"/>
      <c r="Q18" s="36"/>
      <c r="R18" s="36"/>
      <c r="S18" s="36"/>
      <c r="T18" s="62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1493.302541472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(F11)</f>
        <v>889.8166518528</v>
      </c>
      <c r="G21" s="36"/>
      <c r="H21" s="36"/>
      <c r="I21" s="36"/>
      <c r="J21" s="36"/>
      <c r="K21" s="36"/>
      <c r="L21" s="38" t="n">
        <f aca="false">4*F21</f>
        <v>3559.2666074112</v>
      </c>
      <c r="M21" s="36"/>
      <c r="N21" s="42" t="n">
        <f aca="false">L21+M21</f>
        <v>3559.2666074112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3*315</f>
        <v>945</v>
      </c>
      <c r="M26" s="38" t="n">
        <f aca="false">3*485</f>
        <v>1455</v>
      </c>
      <c r="N26" s="43" t="n">
        <f aca="false">L26+M26</f>
        <v>2400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7969.2363488832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7969.2363488832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889.8166518528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7882.2343729748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262.741145765827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6514.2363488832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1455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7969.2363488832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241.2680129216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242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0.0709232062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0.817422907754028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362</v>
      </c>
      <c r="B2" s="35"/>
      <c r="C2" s="35" t="n">
        <v>7002</v>
      </c>
      <c r="D2" s="35"/>
      <c r="E2" s="35" t="s">
        <v>369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8" t="s">
        <v>374</v>
      </c>
      <c r="F5" s="40" t="n">
        <f aca="false">10.7639 *(1.9*2.7)</f>
        <v>55.218807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34.566973182</v>
      </c>
      <c r="M5" s="41"/>
      <c r="N5" s="42" t="n">
        <f aca="false">L5+M5</f>
        <v>34.566973182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39" t="s">
        <v>205</v>
      </c>
      <c r="D6" s="38" t="s">
        <v>99</v>
      </c>
      <c r="E6" s="38" t="s">
        <v>375</v>
      </c>
      <c r="F6" s="40" t="n">
        <f aca="false">10.7639 *(3.6*2.7)</f>
        <v>104.625108</v>
      </c>
      <c r="G6" s="36" t="n">
        <v>78</v>
      </c>
      <c r="H6" s="38" t="n">
        <v>95</v>
      </c>
      <c r="I6" s="41" t="n">
        <f aca="false">H6-G6</f>
        <v>17</v>
      </c>
      <c r="J6" s="38" t="n">
        <v>0.158</v>
      </c>
      <c r="K6" s="38" t="str">
        <f aca="false">_xlfn.UNICHAR(8596)</f>
        <v>↔</v>
      </c>
      <c r="L6" s="42" t="n">
        <f aca="false">F6*I6*J6</f>
        <v>281.023040088</v>
      </c>
      <c r="M6" s="41"/>
      <c r="N6" s="42" t="n">
        <f aca="false">L6+M6</f>
        <v>281.023040088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363</v>
      </c>
      <c r="B7" s="38" t="n">
        <v>6</v>
      </c>
      <c r="C7" s="60" t="s">
        <v>104</v>
      </c>
      <c r="D7" s="38" t="s">
        <v>99</v>
      </c>
      <c r="E7" s="38" t="s">
        <v>376</v>
      </c>
      <c r="F7" s="40" t="n">
        <f aca="false">10.7639 *(5.1*2.7)</f>
        <v>148.218903</v>
      </c>
      <c r="G7" s="36" t="n">
        <v>78</v>
      </c>
      <c r="H7" s="38" t="n">
        <v>78</v>
      </c>
      <c r="I7" s="41" t="n">
        <f aca="false">H7-G7</f>
        <v>0</v>
      </c>
      <c r="J7" s="38" t="n">
        <v>0.313</v>
      </c>
      <c r="K7" s="38" t="str">
        <f aca="false">_xlfn.UNICHAR(8596)</f>
        <v>↔</v>
      </c>
      <c r="L7" s="42" t="n">
        <f aca="false">F7*I7*J7</f>
        <v>0</v>
      </c>
      <c r="M7" s="41"/>
      <c r="N7" s="42" t="n">
        <f aca="false">L7+M7</f>
        <v>0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3</v>
      </c>
      <c r="C8" s="39" t="s">
        <v>205</v>
      </c>
      <c r="D8" s="38" t="s">
        <v>99</v>
      </c>
      <c r="E8" s="38" t="s">
        <v>334</v>
      </c>
      <c r="F8" s="40" t="n">
        <f aca="false">10.7639 *(3.5*2.7)</f>
        <v>101.718855</v>
      </c>
      <c r="G8" s="36" t="n">
        <v>78</v>
      </c>
      <c r="H8" s="38" t="n">
        <v>95</v>
      </c>
      <c r="I8" s="41" t="n">
        <f aca="false">H8-G8</f>
        <v>17</v>
      </c>
      <c r="J8" s="38" t="n">
        <v>0.171</v>
      </c>
      <c r="K8" s="38" t="str">
        <f aca="false">_xlfn.UNICHAR(8596)</f>
        <v>↔</v>
      </c>
      <c r="L8" s="42" t="n">
        <f aca="false">F8*I8*J8</f>
        <v>295.696711485</v>
      </c>
      <c r="M8" s="41"/>
      <c r="N8" s="42" t="n">
        <f aca="false">L8+M8</f>
        <v>295.696711485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377</v>
      </c>
      <c r="B9" s="38" t="n">
        <v>3</v>
      </c>
      <c r="C9" s="60" t="s">
        <v>104</v>
      </c>
      <c r="D9" s="38" t="s">
        <v>99</v>
      </c>
      <c r="E9" s="38" t="s">
        <v>317</v>
      </c>
      <c r="F9" s="40" t="n">
        <f aca="false">10.7639 *((1.6+1.7)*2.7)</f>
        <v>95.906349</v>
      </c>
      <c r="G9" s="36" t="n">
        <v>78</v>
      </c>
      <c r="H9" s="38" t="n">
        <v>85</v>
      </c>
      <c r="I9" s="41" t="n">
        <f aca="false">H9-G9</f>
        <v>7</v>
      </c>
      <c r="J9" s="38" t="n">
        <v>0.313</v>
      </c>
      <c r="K9" s="38" t="str">
        <f aca="false">_xlfn.UNICHAR(8596)</f>
        <v>↔</v>
      </c>
      <c r="L9" s="42" t="n">
        <f aca="false">F9*I9*J9</f>
        <v>210.130810659</v>
      </c>
      <c r="M9" s="41"/>
      <c r="N9" s="42" t="n">
        <f aca="false">L9+M9</f>
        <v>210.130810659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378</v>
      </c>
      <c r="B10" s="38" t="n">
        <v>1</v>
      </c>
      <c r="C10" s="60" t="s">
        <v>175</v>
      </c>
      <c r="D10" s="38" t="s">
        <v>90</v>
      </c>
      <c r="E10" s="38"/>
      <c r="F10" s="40" t="n">
        <f aca="false">10.7639 * (12.95)</f>
        <v>139.392505</v>
      </c>
      <c r="G10" s="36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379</v>
      </c>
      <c r="B11" s="38" t="n">
        <v>1</v>
      </c>
      <c r="C11" s="60" t="s">
        <v>175</v>
      </c>
      <c r="D11" s="38" t="s">
        <v>90</v>
      </c>
      <c r="E11" s="38"/>
      <c r="F11" s="40" t="n">
        <f aca="false">10.7639 *(0.65)</f>
        <v>6.996535</v>
      </c>
      <c r="G11" s="36" t="n">
        <v>78</v>
      </c>
      <c r="H11" s="38" t="n">
        <v>85</v>
      </c>
      <c r="I11" s="41" t="n">
        <f aca="false">H11-G11</f>
        <v>7</v>
      </c>
      <c r="J11" s="38" t="n">
        <v>0.144</v>
      </c>
      <c r="K11" s="38" t="str">
        <f aca="false">_xlfn.UNICHAR(8593)</f>
        <v>↑</v>
      </c>
      <c r="L11" s="42" t="n">
        <f aca="false">F11*I11*J11</f>
        <v>7.05250728</v>
      </c>
      <c r="M11" s="36"/>
      <c r="N11" s="42" t="n">
        <f aca="false">L11+M11</f>
        <v>7.05250728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380</v>
      </c>
      <c r="B12" s="38" t="n">
        <v>1</v>
      </c>
      <c r="C12" s="60" t="s">
        <v>175</v>
      </c>
      <c r="D12" s="38" t="s">
        <v>90</v>
      </c>
      <c r="E12" s="36"/>
      <c r="F12" s="46"/>
      <c r="G12" s="36" t="n">
        <v>78</v>
      </c>
      <c r="H12" s="38" t="n">
        <v>78</v>
      </c>
      <c r="I12" s="41" t="n">
        <f aca="false">H12-G12</f>
        <v>0</v>
      </c>
      <c r="J12" s="38" t="n">
        <v>0.144</v>
      </c>
      <c r="K12" s="38" t="str">
        <f aca="false">_xlfn.UNICHAR(8593)</f>
        <v>↑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381</v>
      </c>
      <c r="B13" s="38" t="n">
        <v>1</v>
      </c>
      <c r="C13" s="60" t="s">
        <v>175</v>
      </c>
      <c r="D13" s="38" t="s">
        <v>90</v>
      </c>
      <c r="E13" s="36"/>
      <c r="F13" s="40" t="n">
        <f aca="false">10.7639 *(0.52)</f>
        <v>5.597228</v>
      </c>
      <c r="G13" s="36" t="n">
        <v>78</v>
      </c>
      <c r="H13" s="38" t="n">
        <v>85</v>
      </c>
      <c r="I13" s="41" t="n">
        <f aca="false">H13-G13</f>
        <v>7</v>
      </c>
      <c r="J13" s="38" t="n">
        <v>0.144</v>
      </c>
      <c r="K13" s="38" t="str">
        <f aca="false">_xlfn.UNICHAR(8593)</f>
        <v>↑</v>
      </c>
      <c r="L13" s="42" t="n">
        <f aca="false">F13*I13*J13</f>
        <v>5.642005824</v>
      </c>
      <c r="M13" s="36"/>
      <c r="N13" s="42" t="n">
        <f aca="false">L13+M13</f>
        <v>5.642005824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245</v>
      </c>
      <c r="B14" s="38" t="n">
        <v>2</v>
      </c>
      <c r="C14" s="60" t="s">
        <v>175</v>
      </c>
      <c r="D14" s="38" t="s">
        <v>106</v>
      </c>
      <c r="E14" s="36"/>
      <c r="F14" s="46"/>
      <c r="G14" s="36" t="n">
        <v>78</v>
      </c>
      <c r="H14" s="38" t="n">
        <v>78</v>
      </c>
      <c r="I14" s="41" t="n">
        <f aca="false">H14-G14</f>
        <v>0</v>
      </c>
      <c r="J14" s="38" t="n">
        <v>0.144</v>
      </c>
      <c r="K14" s="38" t="str">
        <f aca="false">_xlfn.UNICHAR(8595)</f>
        <v>↓</v>
      </c>
      <c r="L14" s="42" t="n">
        <f aca="false">F14*I14*J14</f>
        <v>0</v>
      </c>
      <c r="M14" s="36"/>
      <c r="N14" s="42" t="n">
        <f aca="false">L14+M14</f>
        <v>0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 t="s">
        <v>354</v>
      </c>
      <c r="B15" s="38" t="n">
        <v>2</v>
      </c>
      <c r="C15" s="60" t="s">
        <v>175</v>
      </c>
      <c r="D15" s="38" t="s">
        <v>106</v>
      </c>
      <c r="E15" s="36"/>
      <c r="F15" s="46"/>
      <c r="G15" s="36" t="n">
        <v>78</v>
      </c>
      <c r="H15" s="38" t="n">
        <v>78</v>
      </c>
      <c r="I15" s="41" t="n">
        <f aca="false">H15-G15</f>
        <v>0</v>
      </c>
      <c r="J15" s="38" t="n">
        <v>0.144</v>
      </c>
      <c r="K15" s="38" t="str">
        <f aca="false">_xlfn.UNICHAR(8595)</f>
        <v>↓</v>
      </c>
      <c r="L15" s="42" t="n">
        <f aca="false">F15*I15*J15</f>
        <v>0</v>
      </c>
      <c r="M15" s="36"/>
      <c r="N15" s="42" t="n">
        <f aca="false">L15+M15</f>
        <v>0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45" t="s">
        <v>244</v>
      </c>
      <c r="B16" s="38" t="n">
        <v>2</v>
      </c>
      <c r="C16" s="60" t="s">
        <v>175</v>
      </c>
      <c r="D16" s="38" t="s">
        <v>106</v>
      </c>
      <c r="E16" s="36"/>
      <c r="F16" s="40" t="n">
        <f aca="false">10.7639 *(9.52)</f>
        <v>102.472328</v>
      </c>
      <c r="G16" s="36" t="n">
        <v>78</v>
      </c>
      <c r="H16" s="38" t="n">
        <v>110</v>
      </c>
      <c r="I16" s="41" t="n">
        <f aca="false">H16-G16</f>
        <v>32</v>
      </c>
      <c r="J16" s="38" t="n">
        <v>0.144</v>
      </c>
      <c r="K16" s="38" t="str">
        <f aca="false">_xlfn.UNICHAR(8595)</f>
        <v>↓</v>
      </c>
      <c r="L16" s="42" t="n">
        <f aca="false">F16*I16*J16</f>
        <v>472.192487424</v>
      </c>
      <c r="M16" s="36"/>
      <c r="N16" s="42" t="n">
        <f aca="false">L16+M16</f>
        <v>472.192487424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1306.304535942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(15.64)</f>
        <v>168.347396</v>
      </c>
      <c r="G21" s="36"/>
      <c r="H21" s="36"/>
      <c r="I21" s="36"/>
      <c r="J21" s="36"/>
      <c r="K21" s="36"/>
      <c r="L21" s="38" t="n">
        <f aca="false">8*F21</f>
        <v>1346.779168</v>
      </c>
      <c r="M21" s="36"/>
      <c r="N21" s="42" t="n">
        <f aca="false">L21+M21</f>
        <v>1346.779168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3969.750903942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3969.750903942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168.347396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1491.26635087013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49.7088783623376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3484.750903942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3969.750903942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129.064848294148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130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0.038099243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0.877826087395461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3" activeCellId="0" sqref="C2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363</v>
      </c>
      <c r="B2" s="35"/>
      <c r="C2" s="35" t="n">
        <v>7003</v>
      </c>
      <c r="D2" s="35"/>
      <c r="E2" s="35" t="s">
        <v>369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214</v>
      </c>
      <c r="B5" s="38" t="n">
        <v>6</v>
      </c>
      <c r="C5" s="60" t="s">
        <v>104</v>
      </c>
      <c r="D5" s="38" t="s">
        <v>99</v>
      </c>
      <c r="E5" s="36" t="s">
        <v>382</v>
      </c>
      <c r="F5" s="46" t="n">
        <f aca="false">10.7639 *(1.8*2.7)</f>
        <v>52.312554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32.747658804</v>
      </c>
      <c r="M5" s="41"/>
      <c r="N5" s="42" t="n">
        <f aca="false">L5+M5</f>
        <v>32.747658804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39" t="s">
        <v>205</v>
      </c>
      <c r="D6" s="38" t="s">
        <v>99</v>
      </c>
      <c r="E6" s="36" t="s">
        <v>375</v>
      </c>
      <c r="F6" s="46" t="n">
        <f aca="false">10.7639 *(3.6*2.7)</f>
        <v>104.625108</v>
      </c>
      <c r="G6" s="36" t="n">
        <v>78</v>
      </c>
      <c r="H6" s="38" t="n">
        <v>95</v>
      </c>
      <c r="I6" s="41" t="n">
        <f aca="false">H6-G6</f>
        <v>17</v>
      </c>
      <c r="J6" s="38" t="n">
        <v>0.063</v>
      </c>
      <c r="K6" s="38" t="str">
        <f aca="false">_xlfn.UNICHAR(8596)</f>
        <v>↔</v>
      </c>
      <c r="L6" s="42" t="n">
        <f aca="false">F6*I6*J6</f>
        <v>112.053490668</v>
      </c>
      <c r="M6" s="41"/>
      <c r="N6" s="42" t="n">
        <f aca="false">L6+M6</f>
        <v>112.053490668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364</v>
      </c>
      <c r="B7" s="38" t="n">
        <v>6</v>
      </c>
      <c r="C7" s="60" t="s">
        <v>104</v>
      </c>
      <c r="D7" s="38" t="s">
        <v>99</v>
      </c>
      <c r="E7" s="38" t="s">
        <v>317</v>
      </c>
      <c r="F7" s="46" t="n">
        <f aca="false">10.7639 *((1.6+1.7)*2.7)</f>
        <v>95.906349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210.130810659</v>
      </c>
      <c r="M7" s="41"/>
      <c r="N7" s="42" t="n">
        <f aca="false">L7+M7</f>
        <v>210.130810659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381</v>
      </c>
      <c r="B8" s="38" t="n">
        <v>1</v>
      </c>
      <c r="C8" s="60" t="s">
        <v>175</v>
      </c>
      <c r="D8" s="38" t="s">
        <v>90</v>
      </c>
      <c r="E8" s="38"/>
      <c r="F8" s="46" t="n">
        <f aca="false">10.7639 *(2.34)</f>
        <v>25.187526</v>
      </c>
      <c r="G8" s="36" t="n">
        <v>78</v>
      </c>
      <c r="H8" s="38" t="n">
        <v>85</v>
      </c>
      <c r="I8" s="41" t="n">
        <f aca="false">H8-G8</f>
        <v>7</v>
      </c>
      <c r="J8" s="38" t="n">
        <v>0.171</v>
      </c>
      <c r="K8" s="38" t="str">
        <f aca="false">_xlfn.UNICHAR(8593)</f>
        <v>↑</v>
      </c>
      <c r="L8" s="42" t="n">
        <f aca="false">F8*I8*J8</f>
        <v>30.149468622</v>
      </c>
      <c r="M8" s="41"/>
      <c r="N8" s="42" t="n">
        <f aca="false">L8+M8</f>
        <v>30.149468622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354</v>
      </c>
      <c r="B9" s="38" t="n">
        <v>2</v>
      </c>
      <c r="C9" s="60" t="s">
        <v>175</v>
      </c>
      <c r="D9" s="38" t="s">
        <v>106</v>
      </c>
      <c r="E9" s="38"/>
      <c r="F9" s="46" t="n">
        <f aca="false">10.7639 *(0.36)</f>
        <v>3.875004</v>
      </c>
      <c r="G9" s="36" t="n">
        <v>78</v>
      </c>
      <c r="H9" s="38" t="n">
        <v>85</v>
      </c>
      <c r="I9" s="41" t="n">
        <f aca="false">H9-G9</f>
        <v>7</v>
      </c>
      <c r="J9" s="38" t="n">
        <v>0.144</v>
      </c>
      <c r="K9" s="38" t="str">
        <f aca="false">_xlfn.UNICHAR(8595)</f>
        <v>↓</v>
      </c>
      <c r="L9" s="42" t="n">
        <f aca="false">F9*I9*J9</f>
        <v>3.906004032</v>
      </c>
      <c r="M9" s="41"/>
      <c r="N9" s="42" t="n">
        <f aca="false">L9+M9</f>
        <v>3.906004032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/>
      <c r="B10" s="38"/>
      <c r="C10" s="60"/>
      <c r="D10" s="38"/>
      <c r="E10" s="38"/>
      <c r="F10" s="40"/>
      <c r="G10" s="36"/>
      <c r="H10" s="38"/>
      <c r="I10" s="41"/>
      <c r="J10" s="38"/>
      <c r="K10" s="38"/>
      <c r="L10" s="42"/>
      <c r="M10" s="36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388.987432785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(3.6)</f>
        <v>38.75004</v>
      </c>
      <c r="G21" s="36"/>
      <c r="H21" s="36"/>
      <c r="I21" s="36"/>
      <c r="J21" s="36"/>
      <c r="K21" s="36"/>
      <c r="L21" s="38" t="n">
        <f aca="false">8*F21</f>
        <v>310.00032</v>
      </c>
      <c r="M21" s="36"/>
      <c r="N21" s="42" t="n">
        <f aca="false">L21+M21</f>
        <v>310.00032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2532.322152785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2532.322152785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38.75004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343.25823933072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11.441941311024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2047.322152785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2532.322152785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75.8267463994445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76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0.0222734036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0.808476184806658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328</v>
      </c>
      <c r="B2" s="35"/>
      <c r="C2" s="35" t="n">
        <v>7004</v>
      </c>
      <c r="D2" s="35"/>
      <c r="E2" s="35" t="s">
        <v>369</v>
      </c>
      <c r="F2" s="35" t="s">
        <v>383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382</v>
      </c>
      <c r="F5" s="46" t="n">
        <f aca="false">10.7639 *(1.8*2.7)</f>
        <v>52.312554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32.747658804</v>
      </c>
      <c r="M5" s="41"/>
      <c r="N5" s="42" t="n">
        <f aca="false">L5+M5</f>
        <v>32.747658804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39" t="s">
        <v>205</v>
      </c>
      <c r="D6" s="38" t="s">
        <v>99</v>
      </c>
      <c r="E6" s="36" t="s">
        <v>334</v>
      </c>
      <c r="F6" s="46" t="n">
        <f aca="false">10.7639 *(3.5*2.7)</f>
        <v>101.718855</v>
      </c>
      <c r="G6" s="36" t="n">
        <v>78</v>
      </c>
      <c r="H6" s="38" t="n">
        <v>95</v>
      </c>
      <c r="I6" s="41" t="n">
        <f aca="false">H6-G6</f>
        <v>17</v>
      </c>
      <c r="J6" s="38" t="n">
        <v>0.073</v>
      </c>
      <c r="K6" s="38" t="str">
        <f aca="false">_xlfn.UNICHAR(8596)</f>
        <v>↔</v>
      </c>
      <c r="L6" s="42" t="n">
        <f aca="false">F6*I6*J6</f>
        <v>126.233099055</v>
      </c>
      <c r="M6" s="41"/>
      <c r="N6" s="42" t="n">
        <f aca="false">L6+M6</f>
        <v>126.233099055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330</v>
      </c>
      <c r="B7" s="38" t="n">
        <v>6</v>
      </c>
      <c r="C7" s="60" t="s">
        <v>104</v>
      </c>
      <c r="D7" s="38" t="s">
        <v>99</v>
      </c>
      <c r="E7" s="36" t="s">
        <v>384</v>
      </c>
      <c r="F7" s="46" t="n">
        <f aca="false">10.7639 *((1.7+1.6)*2.7)</f>
        <v>95.906349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210.130810659</v>
      </c>
      <c r="M7" s="41"/>
      <c r="N7" s="42" t="n">
        <f aca="false">L7+M7</f>
        <v>210.130810659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385</v>
      </c>
      <c r="B8" s="38" t="n">
        <v>1</v>
      </c>
      <c r="C8" s="60" t="s">
        <v>175</v>
      </c>
      <c r="D8" s="38" t="s">
        <v>90</v>
      </c>
      <c r="E8" s="38"/>
      <c r="F8" s="40" t="n">
        <f aca="false">10.7639 * (1.825)</f>
        <v>19.6441175</v>
      </c>
      <c r="G8" s="36" t="n">
        <v>78</v>
      </c>
      <c r="H8" s="38" t="n">
        <v>85</v>
      </c>
      <c r="I8" s="41" t="n">
        <f aca="false">H8-G8</f>
        <v>7</v>
      </c>
      <c r="J8" s="38" t="n">
        <v>0.171</v>
      </c>
      <c r="K8" s="38" t="str">
        <f aca="false">_xlfn.UNICHAR(8593)</f>
        <v>↑</v>
      </c>
      <c r="L8" s="42" t="n">
        <f aca="false">F8*I8*J8</f>
        <v>23.5140086475</v>
      </c>
      <c r="M8" s="41"/>
      <c r="N8" s="42" t="n">
        <f aca="false">L8+M8</f>
        <v>23.5140086475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386</v>
      </c>
      <c r="B9" s="38" t="n">
        <v>1</v>
      </c>
      <c r="C9" s="60" t="s">
        <v>175</v>
      </c>
      <c r="D9" s="38" t="s">
        <v>90</v>
      </c>
      <c r="E9" s="38"/>
      <c r="F9" s="40" t="n">
        <f aca="false">10.7639 * (0.125)</f>
        <v>1.3454875</v>
      </c>
      <c r="G9" s="36" t="n">
        <v>78</v>
      </c>
      <c r="H9" s="38" t="n">
        <v>120</v>
      </c>
      <c r="I9" s="41" t="n">
        <f aca="false">H9-G9</f>
        <v>42</v>
      </c>
      <c r="J9" s="38" t="n">
        <v>0.171</v>
      </c>
      <c r="K9" s="38" t="str">
        <f aca="false">_xlfn.UNICHAR(8593)</f>
        <v>↑</v>
      </c>
      <c r="L9" s="42" t="n">
        <f aca="false">F9*I9*J9</f>
        <v>9.663291225</v>
      </c>
      <c r="M9" s="41"/>
      <c r="N9" s="42" t="n">
        <f aca="false">L9+M9</f>
        <v>9.663291225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190</v>
      </c>
      <c r="B10" s="38" t="n">
        <v>2</v>
      </c>
      <c r="C10" s="60" t="s">
        <v>175</v>
      </c>
      <c r="D10" s="38" t="s">
        <v>106</v>
      </c>
      <c r="E10" s="36" t="s">
        <v>387</v>
      </c>
      <c r="F10" s="40" t="n">
        <f aca="false">10.7639 * (1.2 * 5.1)</f>
        <v>65.875068</v>
      </c>
      <c r="G10" s="36" t="n">
        <v>78</v>
      </c>
      <c r="H10" s="38" t="n">
        <v>80</v>
      </c>
      <c r="I10" s="41" t="n">
        <f aca="false">H10-G10</f>
        <v>2</v>
      </c>
      <c r="J10" s="38" t="n">
        <v>0.144</v>
      </c>
      <c r="K10" s="38" t="str">
        <f aca="false">_xlfn.UNICHAR(8595)</f>
        <v>↓</v>
      </c>
      <c r="L10" s="42" t="n">
        <f aca="false">F10*I10*J10</f>
        <v>18.972019584</v>
      </c>
      <c r="M10" s="36"/>
      <c r="N10" s="42" t="n">
        <f aca="false">L10+M10</f>
        <v>18.972019584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294</v>
      </c>
      <c r="B11" s="38" t="n">
        <v>2</v>
      </c>
      <c r="C11" s="60" t="s">
        <v>175</v>
      </c>
      <c r="D11" s="38" t="s">
        <v>106</v>
      </c>
      <c r="E11" s="38"/>
      <c r="F11" s="40" t="n">
        <f aca="false">10.7639 * (0.305)</f>
        <v>3.2829895</v>
      </c>
      <c r="G11" s="36" t="n">
        <v>78</v>
      </c>
      <c r="H11" s="38" t="n">
        <v>85</v>
      </c>
      <c r="I11" s="41" t="n">
        <f aca="false">H11-G11</f>
        <v>7</v>
      </c>
      <c r="J11" s="38" t="n">
        <v>0.144</v>
      </c>
      <c r="K11" s="38" t="str">
        <f aca="false">_xlfn.UNICHAR(8595)</f>
        <v>↓</v>
      </c>
      <c r="L11" s="42" t="n">
        <f aca="false">F11*I11*J11</f>
        <v>3.309253416</v>
      </c>
      <c r="M11" s="36"/>
      <c r="N11" s="42" t="n">
        <f aca="false">L11+M11</f>
        <v>3.309253416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297</v>
      </c>
      <c r="B12" s="38" t="n">
        <v>2</v>
      </c>
      <c r="C12" s="60" t="s">
        <v>175</v>
      </c>
      <c r="D12" s="38" t="s">
        <v>106</v>
      </c>
      <c r="E12" s="36"/>
      <c r="F12" s="40" t="n">
        <f aca="false">10.7639 * (0.175)</f>
        <v>1.8836825</v>
      </c>
      <c r="G12" s="36" t="n">
        <v>78</v>
      </c>
      <c r="H12" s="38" t="n">
        <v>120</v>
      </c>
      <c r="I12" s="41" t="n">
        <f aca="false">H12-G12</f>
        <v>42</v>
      </c>
      <c r="J12" s="38" t="n">
        <v>0.144</v>
      </c>
      <c r="K12" s="38" t="str">
        <f aca="false">_xlfn.UNICHAR(8595)</f>
        <v>↓</v>
      </c>
      <c r="L12" s="42" t="n">
        <f aca="false">F12*I12*J12</f>
        <v>11.39251176</v>
      </c>
      <c r="M12" s="36"/>
      <c r="N12" s="42" t="n">
        <f aca="false">L12+M12</f>
        <v>11.39251176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279</v>
      </c>
      <c r="B13" s="38" t="n">
        <v>2</v>
      </c>
      <c r="C13" s="60" t="s">
        <v>175</v>
      </c>
      <c r="D13" s="38" t="s">
        <v>106</v>
      </c>
      <c r="E13" s="36"/>
      <c r="F13" s="40" t="n">
        <f aca="false">F11</f>
        <v>3.2829895</v>
      </c>
      <c r="G13" s="36" t="n">
        <v>78</v>
      </c>
      <c r="H13" s="38" t="n">
        <v>85</v>
      </c>
      <c r="I13" s="41" t="n">
        <f aca="false">H13-G13</f>
        <v>7</v>
      </c>
      <c r="J13" s="38" t="n">
        <v>0.144</v>
      </c>
      <c r="K13" s="38" t="str">
        <f aca="false">_xlfn.UNICHAR(8595)</f>
        <v>↓</v>
      </c>
      <c r="L13" s="42" t="n">
        <f aca="false">F13*I13*J13</f>
        <v>3.309253416</v>
      </c>
      <c r="M13" s="36"/>
      <c r="N13" s="42" t="n">
        <f aca="false">L13+M13</f>
        <v>3.309253416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388</v>
      </c>
      <c r="B14" s="38" t="n">
        <v>2</v>
      </c>
      <c r="C14" s="60" t="s">
        <v>175</v>
      </c>
      <c r="D14" s="38" t="s">
        <v>106</v>
      </c>
      <c r="E14" s="36"/>
      <c r="F14" s="40" t="n">
        <f aca="false">F12</f>
        <v>1.8836825</v>
      </c>
      <c r="G14" s="36" t="n">
        <v>78</v>
      </c>
      <c r="H14" s="38" t="n">
        <v>120</v>
      </c>
      <c r="I14" s="41" t="n">
        <f aca="false">H14-G14</f>
        <v>42</v>
      </c>
      <c r="J14" s="38" t="n">
        <v>0.144</v>
      </c>
      <c r="K14" s="38" t="str">
        <f aca="false">_xlfn.UNICHAR(8595)</f>
        <v>↓</v>
      </c>
      <c r="L14" s="42" t="n">
        <f aca="false">F14*I14*J14</f>
        <v>11.39251176</v>
      </c>
      <c r="M14" s="36"/>
      <c r="N14" s="42" t="n">
        <f aca="false">L14+M14</f>
        <v>11.39251176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450.6644183265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15.13</f>
        <v>162.857807</v>
      </c>
      <c r="G21" s="36"/>
      <c r="H21" s="36"/>
      <c r="I21" s="36"/>
      <c r="J21" s="36"/>
      <c r="K21" s="36"/>
      <c r="L21" s="38" t="n">
        <f aca="false">4*F21</f>
        <v>651.431228</v>
      </c>
      <c r="M21" s="36"/>
      <c r="N21" s="42" t="n">
        <f aca="false">L21+M21</f>
        <v>651.431228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2935.4300463265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2935.4300463265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162.857807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1442.63810029828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48.0879366766092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2450.4300463265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2935.4300463265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90.756668382463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91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0.0266694701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0.834777190276789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14.6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44" t="s">
        <v>72</v>
      </c>
      <c r="B1" s="44"/>
      <c r="C1" s="44" t="s">
        <v>73</v>
      </c>
      <c r="D1" s="44"/>
      <c r="E1" s="44" t="s">
        <v>74</v>
      </c>
      <c r="F1" s="44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7" t="s">
        <v>389</v>
      </c>
      <c r="B2" s="37"/>
      <c r="C2" s="37" t="n">
        <v>7005</v>
      </c>
      <c r="D2" s="37"/>
      <c r="E2" s="37" t="s">
        <v>369</v>
      </c>
      <c r="F2" s="37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70" t="s">
        <v>320</v>
      </c>
      <c r="B5" s="38" t="n">
        <v>6</v>
      </c>
      <c r="C5" s="60" t="s">
        <v>104</v>
      </c>
      <c r="D5" s="38" t="s">
        <v>99</v>
      </c>
      <c r="E5" s="38" t="s">
        <v>390</v>
      </c>
      <c r="F5" s="40" t="n">
        <f aca="false">10.7639 *((1.5+2.1)*2.7)</f>
        <v>104.625108</v>
      </c>
      <c r="G5" s="36" t="n">
        <v>78</v>
      </c>
      <c r="H5" s="38" t="n">
        <v>85</v>
      </c>
      <c r="I5" s="41" t="n">
        <f aca="false">H5-G5</f>
        <v>7</v>
      </c>
      <c r="J5" s="38" t="n">
        <v>0.313</v>
      </c>
      <c r="K5" s="38" t="str">
        <f aca="false">_xlfn.UNICHAR(8596)</f>
        <v>↔</v>
      </c>
      <c r="L5" s="42" t="n">
        <f aca="false">F5*I5*J5</f>
        <v>229.233611628</v>
      </c>
      <c r="M5" s="41"/>
      <c r="N5" s="42" t="n">
        <f aca="false">L5+M5</f>
        <v>229.233611628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294</v>
      </c>
      <c r="B6" s="38" t="n">
        <v>2</v>
      </c>
      <c r="C6" s="60" t="s">
        <v>175</v>
      </c>
      <c r="D6" s="38" t="s">
        <v>106</v>
      </c>
      <c r="E6" s="36"/>
      <c r="F6" s="40" t="n">
        <f aca="false">10.7639 *(2.115)</f>
        <v>22.7656485</v>
      </c>
      <c r="G6" s="36" t="n">
        <v>78</v>
      </c>
      <c r="H6" s="38" t="n">
        <v>85</v>
      </c>
      <c r="I6" s="41" t="n">
        <f aca="false">H6-G6</f>
        <v>7</v>
      </c>
      <c r="J6" s="38" t="n">
        <v>0.144</v>
      </c>
      <c r="K6" s="38" t="str">
        <f aca="false">_xlfn.UNICHAR(8595)</f>
        <v>↓</v>
      </c>
      <c r="L6" s="42" t="n">
        <f aca="false">F6*I6*J6</f>
        <v>22.947773688</v>
      </c>
      <c r="M6" s="41"/>
      <c r="N6" s="42" t="n">
        <f aca="false">L6+M6</f>
        <v>22.947773688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297</v>
      </c>
      <c r="B7" s="38" t="n">
        <v>2</v>
      </c>
      <c r="C7" s="60" t="s">
        <v>175</v>
      </c>
      <c r="D7" s="38" t="s">
        <v>106</v>
      </c>
      <c r="E7" s="36"/>
      <c r="F7" s="40" t="n">
        <f aca="false">10.7639 *(0.125)</f>
        <v>1.3454875</v>
      </c>
      <c r="G7" s="36" t="n">
        <v>78</v>
      </c>
      <c r="H7" s="38" t="n">
        <v>120</v>
      </c>
      <c r="I7" s="41" t="n">
        <f aca="false">H7-G7</f>
        <v>42</v>
      </c>
      <c r="J7" s="38" t="n">
        <v>0.144</v>
      </c>
      <c r="K7" s="38" t="str">
        <f aca="false">_xlfn.UNICHAR(8595)</f>
        <v>↓</v>
      </c>
      <c r="L7" s="42" t="n">
        <f aca="false">F7*I7*J7</f>
        <v>8.1375084</v>
      </c>
      <c r="M7" s="41"/>
      <c r="N7" s="42" t="n">
        <f aca="false">L7+M7</f>
        <v>8.1375084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279</v>
      </c>
      <c r="B8" s="38" t="n">
        <v>2</v>
      </c>
      <c r="C8" s="60" t="s">
        <v>175</v>
      </c>
      <c r="D8" s="38" t="s">
        <v>106</v>
      </c>
      <c r="E8" s="36"/>
      <c r="F8" s="40" t="n">
        <f aca="false">10.7639 *(2.115)</f>
        <v>22.7656485</v>
      </c>
      <c r="G8" s="36" t="n">
        <v>78</v>
      </c>
      <c r="H8" s="38" t="n">
        <v>85</v>
      </c>
      <c r="I8" s="41" t="n">
        <f aca="false">H8-G8</f>
        <v>7</v>
      </c>
      <c r="J8" s="38" t="n">
        <v>0.144</v>
      </c>
      <c r="K8" s="38" t="str">
        <f aca="false">_xlfn.UNICHAR(8595)</f>
        <v>↓</v>
      </c>
      <c r="L8" s="42" t="n">
        <f aca="false">F8*I8*J8</f>
        <v>22.947773688</v>
      </c>
      <c r="M8" s="41"/>
      <c r="N8" s="42" t="n">
        <f aca="false">L8+M8</f>
        <v>22.947773688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388</v>
      </c>
      <c r="B9" s="38" t="n">
        <v>2</v>
      </c>
      <c r="C9" s="60" t="s">
        <v>175</v>
      </c>
      <c r="D9" s="38" t="s">
        <v>106</v>
      </c>
      <c r="E9" s="36"/>
      <c r="F9" s="40" t="n">
        <f aca="false">10.7639 *(0.125)</f>
        <v>1.3454875</v>
      </c>
      <c r="G9" s="36" t="n">
        <v>78</v>
      </c>
      <c r="H9" s="38" t="n">
        <v>120</v>
      </c>
      <c r="I9" s="41" t="n">
        <f aca="false">H9-G9</f>
        <v>42</v>
      </c>
      <c r="J9" s="38" t="n">
        <v>0.144</v>
      </c>
      <c r="K9" s="38" t="str">
        <f aca="false">_xlfn.UNICHAR(8595)</f>
        <v>↓</v>
      </c>
      <c r="L9" s="42" t="n">
        <f aca="false">F9*I9*J9</f>
        <v>8.1375084</v>
      </c>
      <c r="M9" s="41"/>
      <c r="N9" s="42" t="n">
        <f aca="false">L9+M9</f>
        <v>8.1375084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282</v>
      </c>
      <c r="B10" s="38" t="n">
        <v>2</v>
      </c>
      <c r="C10" s="60" t="s">
        <v>175</v>
      </c>
      <c r="D10" s="38" t="s">
        <v>106</v>
      </c>
      <c r="E10" s="38" t="s">
        <v>391</v>
      </c>
      <c r="F10" s="40" t="n">
        <f aca="false">10.7639 *(0.2*1.1)</f>
        <v>2.368058</v>
      </c>
      <c r="G10" s="36" t="n">
        <v>78</v>
      </c>
      <c r="H10" s="38" t="n">
        <v>85</v>
      </c>
      <c r="I10" s="41" t="n">
        <f aca="false">H10-G10</f>
        <v>7</v>
      </c>
      <c r="J10" s="38" t="n">
        <v>0.144</v>
      </c>
      <c r="K10" s="38" t="str">
        <f aca="false">_xlfn.UNICHAR(8595)</f>
        <v>↓</v>
      </c>
      <c r="L10" s="42" t="n">
        <f aca="false">F10*I10*J10</f>
        <v>2.387002464</v>
      </c>
      <c r="M10" s="36"/>
      <c r="N10" s="42" t="n">
        <f aca="false">L10+M10</f>
        <v>2.387002464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108</v>
      </c>
      <c r="B11" s="38" t="n">
        <v>3</v>
      </c>
      <c r="C11" s="39" t="s">
        <v>205</v>
      </c>
      <c r="D11" s="38" t="s">
        <v>99</v>
      </c>
      <c r="E11" s="38" t="s">
        <v>392</v>
      </c>
      <c r="F11" s="40" t="n">
        <f aca="false">10.7639 *((3.8+4.6)*2.7)</f>
        <v>244.125252</v>
      </c>
      <c r="G11" s="36" t="n">
        <v>78</v>
      </c>
      <c r="H11" s="38" t="n">
        <v>95</v>
      </c>
      <c r="I11" s="41" t="n">
        <f aca="false">H11-G11</f>
        <v>17</v>
      </c>
      <c r="J11" s="38" t="n">
        <v>0.063</v>
      </c>
      <c r="K11" s="38" t="str">
        <f aca="false">_xlfn.UNICHAR(8596)</f>
        <v>↔</v>
      </c>
      <c r="L11" s="42" t="n">
        <f aca="false">F11*I11*J11</f>
        <v>261.458144892</v>
      </c>
      <c r="M11" s="36"/>
      <c r="N11" s="42" t="n">
        <f aca="false">L11+M11</f>
        <v>261.458144892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190</v>
      </c>
      <c r="B12" s="38" t="n">
        <v>6</v>
      </c>
      <c r="C12" s="60" t="s">
        <v>104</v>
      </c>
      <c r="D12" s="38" t="s">
        <v>99</v>
      </c>
      <c r="E12" s="38" t="s">
        <v>393</v>
      </c>
      <c r="F12" s="40" t="n">
        <f aca="false">10.7639 *(1.4*2.7)</f>
        <v>40.687542</v>
      </c>
      <c r="G12" s="36" t="n">
        <v>78</v>
      </c>
      <c r="H12" s="38" t="n">
        <v>80</v>
      </c>
      <c r="I12" s="41" t="n">
        <f aca="false">H12-G12</f>
        <v>2</v>
      </c>
      <c r="J12" s="38" t="n">
        <v>0.313</v>
      </c>
      <c r="K12" s="38" t="str">
        <f aca="false">_xlfn.UNICHAR(8596)</f>
        <v>↔</v>
      </c>
      <c r="L12" s="42" t="n">
        <f aca="false">F12*I12*J12</f>
        <v>25.470401292</v>
      </c>
      <c r="M12" s="36"/>
      <c r="N12" s="42" t="n">
        <f aca="false">L12+M12</f>
        <v>25.470401292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A18" s="45"/>
      <c r="B18" s="38"/>
      <c r="C18" s="60"/>
      <c r="D18" s="38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580.719724452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(0.6*0.5))*3</f>
        <v>9.68751</v>
      </c>
      <c r="G20" s="36"/>
      <c r="H20" s="36"/>
      <c r="I20" s="36"/>
      <c r="J20" s="36"/>
      <c r="K20" s="36"/>
      <c r="L20" s="38" t="n">
        <f aca="false">F20*160</f>
        <v>1550.0016</v>
      </c>
      <c r="M20" s="36"/>
      <c r="N20" s="42" t="n">
        <f aca="false">L20+M20</f>
        <v>1550.0016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22.55</f>
        <v>242.725945</v>
      </c>
      <c r="G21" s="36"/>
      <c r="H21" s="36"/>
      <c r="I21" s="36"/>
      <c r="J21" s="36"/>
      <c r="K21" s="36"/>
      <c r="L21" s="38" t="n">
        <f aca="false">5*F21</f>
        <v>1213.629725</v>
      </c>
      <c r="M21" s="36"/>
      <c r="N21" s="42" t="n">
        <f aca="false">L21+M21</f>
        <v>1213.629725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4144.351049452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4144.351049452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>
      <c r="A31" s="4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customFormat="false" ht="13.8" hidden="false" customHeight="false" outlineLevel="0" collapsed="false">
      <c r="A32" s="4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3" customFormat="false" ht="13.8" hidden="false" customHeight="false" outlineLevel="0" collapsed="false">
      <c r="A33" s="45"/>
      <c r="B33" s="36"/>
      <c r="C33" s="36"/>
      <c r="D33" s="36"/>
      <c r="E33" s="36" t="s">
        <v>116</v>
      </c>
      <c r="F33" s="36" t="n">
        <v>25</v>
      </c>
      <c r="G33" s="13" t="s">
        <v>117</v>
      </c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</row>
    <row r="34" customFormat="false" ht="13.8" hidden="false" customHeight="false" outlineLevel="0" collapsed="false">
      <c r="A34" s="45"/>
      <c r="B34" s="36"/>
      <c r="C34" s="36"/>
      <c r="D34" s="36"/>
      <c r="E34" s="36" t="s">
        <v>118</v>
      </c>
      <c r="F34" s="36" t="n">
        <f aca="false">15*1</f>
        <v>15</v>
      </c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</row>
    <row r="35" customFormat="false" ht="13.8" hidden="false" customHeight="false" outlineLevel="0" collapsed="false">
      <c r="A35" s="45"/>
      <c r="B35" s="36"/>
      <c r="C35" s="36"/>
      <c r="D35" s="36"/>
      <c r="E35" s="36" t="s">
        <v>119</v>
      </c>
      <c r="F35" s="40" t="n">
        <f aca="false">$F$21</f>
        <v>242.725945</v>
      </c>
      <c r="G35" s="36" t="s">
        <v>120</v>
      </c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</row>
    <row r="36" customFormat="false" ht="13.8" hidden="false" customHeight="false" outlineLevel="0" collapsed="false">
      <c r="A36" s="45"/>
      <c r="B36" s="36"/>
      <c r="C36" s="36"/>
      <c r="D36" s="36"/>
      <c r="E36" s="36" t="s">
        <v>121</v>
      </c>
      <c r="F36" s="40" t="n">
        <f aca="false">3.28084 * 2.7</f>
        <v>8.858268</v>
      </c>
      <c r="G36" s="36" t="s">
        <v>122</v>
      </c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</row>
    <row r="37" customFormat="false" ht="13.8" hidden="false" customHeight="false" outlineLevel="0" collapsed="false">
      <c r="A37" s="45"/>
      <c r="B37" s="36"/>
      <c r="C37" s="36"/>
      <c r="D37" s="36"/>
      <c r="E37" s="36" t="s">
        <v>123</v>
      </c>
      <c r="F37" s="71" t="n">
        <f aca="false">F35*F36</f>
        <v>2150.13147136326</v>
      </c>
      <c r="G37" s="36" t="s">
        <v>124</v>
      </c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</row>
    <row r="38" customFormat="false" ht="13.8" hidden="false" customHeight="false" outlineLevel="0" collapsed="false">
      <c r="A38" s="45"/>
      <c r="B38" s="36"/>
      <c r="C38" s="36"/>
      <c r="D38" s="36"/>
      <c r="E38" s="36" t="s">
        <v>125</v>
      </c>
      <c r="F38" s="48" t="n">
        <f aca="false">F37/30</f>
        <v>71.671049045442</v>
      </c>
      <c r="G38" s="36" t="s">
        <v>126</v>
      </c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</row>
    <row r="39" customFormat="false" ht="13.8" hidden="false" customHeight="false" outlineLevel="0" collapsed="false">
      <c r="A39" s="45"/>
      <c r="B39" s="36"/>
      <c r="C39" s="36"/>
      <c r="D39" s="36"/>
      <c r="E39" s="36" t="s">
        <v>127</v>
      </c>
      <c r="F39" s="42" t="n">
        <f aca="false">SUM($L$5:$L$28)</f>
        <v>3659.351049452</v>
      </c>
      <c r="G39" s="36" t="s">
        <v>128</v>
      </c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</row>
    <row r="40" customFormat="false" ht="13.8" hidden="false" customHeight="false" outlineLevel="0" collapsed="false">
      <c r="A40" s="45"/>
      <c r="B40" s="36"/>
      <c r="C40" s="36"/>
      <c r="D40" s="36"/>
      <c r="E40" s="36" t="s">
        <v>129</v>
      </c>
      <c r="F40" s="41" t="n">
        <f aca="false">SUM($M$5:$M$28)</f>
        <v>485</v>
      </c>
      <c r="G40" s="36" t="s">
        <v>128</v>
      </c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</row>
    <row r="41" customFormat="false" ht="13.8" hidden="false" customHeight="false" outlineLevel="0" collapsed="false">
      <c r="A41" s="45"/>
      <c r="B41" s="36"/>
      <c r="C41" s="36"/>
      <c r="D41" s="36"/>
      <c r="E41" s="36" t="s">
        <v>130</v>
      </c>
      <c r="F41" s="42" t="n">
        <f aca="false">$N$29</f>
        <v>4144.351049452</v>
      </c>
      <c r="G41" s="36" t="s">
        <v>128</v>
      </c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</row>
    <row r="42" customFormat="false" ht="13.8" hidden="false" customHeight="false" outlineLevel="0" collapsed="false">
      <c r="A42" s="45"/>
      <c r="B42" s="36"/>
      <c r="C42" s="36"/>
      <c r="D42" s="36"/>
      <c r="E42" s="36" t="s">
        <v>131</v>
      </c>
      <c r="F42" s="42" t="n">
        <f aca="false">$T$29</f>
        <v>0</v>
      </c>
      <c r="G42" s="36" t="s">
        <v>128</v>
      </c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</row>
    <row r="43" customFormat="false" ht="13.8" hidden="false" customHeight="false" outlineLevel="0" collapsed="false">
      <c r="A43" s="45"/>
      <c r="B43" s="36"/>
      <c r="C43" s="36"/>
      <c r="D43" s="36"/>
      <c r="E43" s="36" t="s">
        <v>132</v>
      </c>
      <c r="F43" s="48" t="n">
        <f aca="false">F39/(1.08*F33)</f>
        <v>135.531520350074</v>
      </c>
      <c r="G43" s="36" t="s">
        <v>126</v>
      </c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</row>
    <row r="44" customFormat="false" ht="13.8" hidden="false" customHeight="false" outlineLevel="0" collapsed="false">
      <c r="A44" s="45"/>
      <c r="B44" s="36"/>
      <c r="C44" s="36"/>
      <c r="D44" s="36"/>
      <c r="E44" s="36" t="s">
        <v>126</v>
      </c>
      <c r="F44" s="49" t="n">
        <f aca="false">ROUNDUP(F43,0)</f>
        <v>136</v>
      </c>
      <c r="G44" s="36" t="s">
        <v>126</v>
      </c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</row>
    <row r="45" customFormat="false" ht="13.8" hidden="false" customHeight="false" outlineLevel="0" collapsed="false">
      <c r="A45" s="45"/>
      <c r="B45" s="36"/>
      <c r="C45" s="36"/>
      <c r="D45" s="36"/>
      <c r="E45" s="36" t="s">
        <v>133</v>
      </c>
      <c r="F45" s="42" t="n">
        <f aca="false">F44*0.0002930711</f>
        <v>0.0398576696</v>
      </c>
      <c r="G45" s="36" t="s">
        <v>134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</row>
    <row r="46" customFormat="false" ht="13.8" hidden="false" customHeight="false" outlineLevel="0" collapsed="false">
      <c r="A46" s="45"/>
      <c r="B46" s="36"/>
      <c r="C46" s="36"/>
      <c r="D46" s="36"/>
      <c r="E46" s="36" t="s">
        <v>135</v>
      </c>
      <c r="F46" s="42" t="n">
        <f aca="false">F39/F41</f>
        <v>0.882973234117286</v>
      </c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69" t="s">
        <v>165</v>
      </c>
      <c r="B55" s="69"/>
      <c r="C55" s="69"/>
      <c r="D55" s="69" t="s">
        <v>166</v>
      </c>
      <c r="E55" s="69"/>
      <c r="F55" s="69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69"/>
      <c r="B56" s="69"/>
      <c r="C56" s="69"/>
      <c r="D56" s="69"/>
      <c r="E56" s="69"/>
      <c r="F56" s="69"/>
      <c r="G56" s="45" t="s">
        <v>168</v>
      </c>
      <c r="H56" s="45"/>
      <c r="I56" s="45"/>
      <c r="J56" s="45"/>
      <c r="K56" s="45" t="s">
        <v>169</v>
      </c>
      <c r="L56" s="45"/>
      <c r="M56" s="45"/>
      <c r="N56" s="45"/>
      <c r="O56" s="45"/>
      <c r="P56" s="45"/>
      <c r="Q56" s="45"/>
      <c r="R56" s="45" t="s">
        <v>170</v>
      </c>
      <c r="S56" s="45"/>
      <c r="T56" s="45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33" colorId="64" zoomScale="70" zoomScaleNormal="70" zoomScalePageLayoutView="100" workbookViewId="0">
      <selection pane="topLeft" activeCell="A33" activeCellId="0" sqref="A3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14.6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44" t="s">
        <v>72</v>
      </c>
      <c r="B1" s="44"/>
      <c r="C1" s="44" t="s">
        <v>73</v>
      </c>
      <c r="D1" s="44"/>
      <c r="E1" s="44" t="s">
        <v>74</v>
      </c>
      <c r="F1" s="44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7" t="s">
        <v>345</v>
      </c>
      <c r="B2" s="37"/>
      <c r="C2" s="37" t="n">
        <v>7009</v>
      </c>
      <c r="D2" s="37"/>
      <c r="E2" s="37" t="s">
        <v>369</v>
      </c>
      <c r="F2" s="37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70" t="s">
        <v>190</v>
      </c>
      <c r="B5" s="38" t="n">
        <v>6</v>
      </c>
      <c r="C5" s="60" t="s">
        <v>104</v>
      </c>
      <c r="D5" s="38" t="s">
        <v>99</v>
      </c>
      <c r="E5" s="38" t="s">
        <v>394</v>
      </c>
      <c r="F5" s="40" t="n">
        <f aca="false">10.7639 *(3*2.7)</f>
        <v>87.18759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54.57943134</v>
      </c>
      <c r="M5" s="41"/>
      <c r="N5" s="42" t="n">
        <f aca="false">L5+M5</f>
        <v>54.57943134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39" t="s">
        <v>205</v>
      </c>
      <c r="D6" s="38" t="s">
        <v>99</v>
      </c>
      <c r="E6" s="38" t="s">
        <v>395</v>
      </c>
      <c r="F6" s="40" t="n">
        <f aca="false">10.7639 *(5.4*2.7)</f>
        <v>156.937662</v>
      </c>
      <c r="G6" s="36" t="n">
        <v>78</v>
      </c>
      <c r="H6" s="38" t="n">
        <v>95</v>
      </c>
      <c r="I6" s="41" t="n">
        <f aca="false">H6-G6</f>
        <v>17</v>
      </c>
      <c r="J6" s="38" t="n">
        <v>0.063</v>
      </c>
      <c r="K6" s="38" t="str">
        <f aca="false">_xlfn.UNICHAR(8596)</f>
        <v>↔</v>
      </c>
      <c r="L6" s="42" t="n">
        <f aca="false">F6*I6*J6</f>
        <v>168.080236002</v>
      </c>
      <c r="M6" s="41"/>
      <c r="N6" s="42" t="n">
        <f aca="false">L6+M6</f>
        <v>168.080236002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396</v>
      </c>
      <c r="B7" s="38" t="n">
        <v>6</v>
      </c>
      <c r="C7" s="60" t="s">
        <v>104</v>
      </c>
      <c r="D7" s="38" t="s">
        <v>99</v>
      </c>
      <c r="E7" s="38" t="s">
        <v>397</v>
      </c>
      <c r="F7" s="40" t="n">
        <f aca="false">10.7639 *((0.9+1.5+2.1)*2.7)</f>
        <v>130.781385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286.542014535</v>
      </c>
      <c r="M7" s="41"/>
      <c r="N7" s="42" t="n">
        <f aca="false">L7+M7</f>
        <v>286.542014535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344</v>
      </c>
      <c r="B8" s="38" t="n">
        <v>6</v>
      </c>
      <c r="C8" s="60" t="s">
        <v>104</v>
      </c>
      <c r="D8" s="38" t="s">
        <v>99</v>
      </c>
      <c r="E8" s="38" t="s">
        <v>359</v>
      </c>
      <c r="F8" s="40" t="n">
        <f aca="false">10.7639 *(1.1*2.7)</f>
        <v>31.968783</v>
      </c>
      <c r="G8" s="36" t="n">
        <v>78</v>
      </c>
      <c r="H8" s="38" t="n">
        <v>85</v>
      </c>
      <c r="I8" s="41" t="n">
        <f aca="false">H8-G8</f>
        <v>7</v>
      </c>
      <c r="J8" s="38" t="n">
        <v>0.313</v>
      </c>
      <c r="K8" s="38" t="str">
        <f aca="false">_xlfn.UNICHAR(8596)</f>
        <v>↔</v>
      </c>
      <c r="L8" s="42" t="n">
        <f aca="false">F8*I8*J8</f>
        <v>70.043603553</v>
      </c>
      <c r="M8" s="41"/>
      <c r="N8" s="42" t="n">
        <f aca="false">L8+M8</f>
        <v>70.043603553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398</v>
      </c>
      <c r="B9" s="38" t="n">
        <v>6</v>
      </c>
      <c r="C9" s="60" t="s">
        <v>104</v>
      </c>
      <c r="D9" s="38" t="s">
        <v>99</v>
      </c>
      <c r="E9" s="38" t="s">
        <v>240</v>
      </c>
      <c r="F9" s="40" t="n">
        <f aca="false">10.7639 *(0.8*2.7)</f>
        <v>23.250024</v>
      </c>
      <c r="G9" s="36" t="n">
        <v>78</v>
      </c>
      <c r="H9" s="38" t="n">
        <v>120</v>
      </c>
      <c r="I9" s="41" t="n">
        <f aca="false">H9-G9</f>
        <v>42</v>
      </c>
      <c r="J9" s="38" t="n">
        <v>0.313</v>
      </c>
      <c r="K9" s="38" t="str">
        <f aca="false">_xlfn.UNICHAR(8596)</f>
        <v>↔</v>
      </c>
      <c r="L9" s="42" t="n">
        <f aca="false">F9*I9*J9</f>
        <v>305.644815504</v>
      </c>
      <c r="M9" s="41"/>
      <c r="N9" s="42" t="n">
        <f aca="false">L9+M9</f>
        <v>305.644815504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320</v>
      </c>
      <c r="B10" s="38" t="n">
        <v>6</v>
      </c>
      <c r="C10" s="60" t="s">
        <v>104</v>
      </c>
      <c r="D10" s="38" t="s">
        <v>99</v>
      </c>
      <c r="E10" s="38" t="s">
        <v>399</v>
      </c>
      <c r="F10" s="40" t="n">
        <f aca="false">10.7639 *(1.3*2.7)</f>
        <v>37.781289</v>
      </c>
      <c r="G10" s="36" t="n">
        <v>78</v>
      </c>
      <c r="H10" s="38" t="n">
        <v>85</v>
      </c>
      <c r="I10" s="41" t="n">
        <f aca="false">H10-G10</f>
        <v>7</v>
      </c>
      <c r="J10" s="38" t="n">
        <v>0.313</v>
      </c>
      <c r="K10" s="38" t="str">
        <f aca="false">_xlfn.UNICHAR(8596)</f>
        <v>↔</v>
      </c>
      <c r="L10" s="42" t="n">
        <f aca="false">F10*I10*J10</f>
        <v>82.778804199</v>
      </c>
      <c r="M10" s="36"/>
      <c r="N10" s="42" t="n">
        <f aca="false">L10+M10</f>
        <v>82.778804199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400</v>
      </c>
      <c r="B11" s="38" t="n">
        <v>6</v>
      </c>
      <c r="C11" s="60" t="s">
        <v>104</v>
      </c>
      <c r="D11" s="38" t="s">
        <v>99</v>
      </c>
      <c r="E11" s="38" t="s">
        <v>240</v>
      </c>
      <c r="F11" s="40" t="n">
        <f aca="false">10.7639 *(0.8*2.7)</f>
        <v>23.250024</v>
      </c>
      <c r="G11" s="36" t="n">
        <v>78</v>
      </c>
      <c r="H11" s="38" t="n">
        <v>120</v>
      </c>
      <c r="I11" s="41" t="n">
        <f aca="false">H11-G11</f>
        <v>42</v>
      </c>
      <c r="J11" s="38" t="n">
        <v>0.313</v>
      </c>
      <c r="K11" s="38" t="str">
        <f aca="false">_xlfn.UNICHAR(8596)</f>
        <v>↔</v>
      </c>
      <c r="L11" s="42" t="n">
        <f aca="false">F11*I11*J11</f>
        <v>305.644815504</v>
      </c>
      <c r="M11" s="36"/>
      <c r="N11" s="42" t="n">
        <f aca="false">L11+M11</f>
        <v>305.644815504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190</v>
      </c>
      <c r="B12" s="38" t="n">
        <v>1</v>
      </c>
      <c r="C12" s="60" t="s">
        <v>175</v>
      </c>
      <c r="D12" s="38" t="s">
        <v>90</v>
      </c>
      <c r="E12" s="38"/>
      <c r="F12" s="40" t="n">
        <f aca="false">10.7639 *(0.77)</f>
        <v>8.288203</v>
      </c>
      <c r="G12" s="36" t="n">
        <v>78</v>
      </c>
      <c r="H12" s="38" t="n">
        <v>80</v>
      </c>
      <c r="I12" s="41" t="n">
        <f aca="false">H12-G12</f>
        <v>2</v>
      </c>
      <c r="J12" s="38" t="n">
        <v>0.171</v>
      </c>
      <c r="K12" s="38" t="str">
        <f aca="false">_xlfn.UNICHAR(8593)</f>
        <v>↑</v>
      </c>
      <c r="L12" s="42" t="n">
        <f aca="false">F12*I12*J12</f>
        <v>2.834565426</v>
      </c>
      <c r="M12" s="36"/>
      <c r="N12" s="42" t="n">
        <f aca="false">L12+M12</f>
        <v>2.834565426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282</v>
      </c>
      <c r="B13" s="38" t="n">
        <v>2</v>
      </c>
      <c r="C13" s="60" t="s">
        <v>175</v>
      </c>
      <c r="D13" s="38" t="s">
        <v>106</v>
      </c>
      <c r="E13" s="36"/>
      <c r="F13" s="40" t="n">
        <f aca="false">10.7639 *(1.895)</f>
        <v>20.3975905</v>
      </c>
      <c r="G13" s="36" t="n">
        <v>78</v>
      </c>
      <c r="H13" s="38" t="n">
        <v>85</v>
      </c>
      <c r="I13" s="41" t="n">
        <f aca="false">H13-G13</f>
        <v>7</v>
      </c>
      <c r="J13" s="38" t="n">
        <v>0.144</v>
      </c>
      <c r="K13" s="38" t="str">
        <f aca="false">_xlfn.UNICHAR(8595)</f>
        <v>↓</v>
      </c>
      <c r="L13" s="42" t="n">
        <f aca="false">F13*I13*J13</f>
        <v>20.560771224</v>
      </c>
      <c r="M13" s="36"/>
      <c r="N13" s="42" t="n">
        <f aca="false">L13+M13</f>
        <v>20.560771224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401</v>
      </c>
      <c r="B14" s="38" t="n">
        <v>2</v>
      </c>
      <c r="C14" s="60" t="s">
        <v>175</v>
      </c>
      <c r="D14" s="38" t="s">
        <v>106</v>
      </c>
      <c r="E14" s="36"/>
      <c r="F14" s="40" t="n">
        <f aca="false">10.7639 *(0.125)</f>
        <v>1.3454875</v>
      </c>
      <c r="G14" s="36" t="n">
        <v>78</v>
      </c>
      <c r="H14" s="38" t="n">
        <v>120</v>
      </c>
      <c r="I14" s="41" t="n">
        <f aca="false">H14-G14</f>
        <v>42</v>
      </c>
      <c r="J14" s="38" t="n">
        <v>0.144</v>
      </c>
      <c r="K14" s="38" t="str">
        <f aca="false">_xlfn.UNICHAR(8595)</f>
        <v>↓</v>
      </c>
      <c r="L14" s="42" t="n">
        <f aca="false">F14*I14*J14</f>
        <v>8.1375084</v>
      </c>
      <c r="M14" s="36"/>
      <c r="N14" s="42" t="n">
        <f aca="false">L14+M14</f>
        <v>8.1375084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A18" s="45"/>
      <c r="B18" s="38"/>
      <c r="C18" s="60"/>
      <c r="D18" s="38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1304.846565687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(0.6*0.5))*4</f>
        <v>12.91668</v>
      </c>
      <c r="G20" s="36"/>
      <c r="H20" s="36"/>
      <c r="I20" s="36"/>
      <c r="J20" s="36"/>
      <c r="K20" s="36"/>
      <c r="L20" s="38" t="n">
        <f aca="false">F20*160</f>
        <v>2066.6688</v>
      </c>
      <c r="M20" s="36"/>
      <c r="N20" s="42" t="n">
        <f aca="false">L20+M20</f>
        <v>2066.6688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18.93</f>
        <v>203.760627</v>
      </c>
      <c r="G21" s="36"/>
      <c r="H21" s="36"/>
      <c r="I21" s="36"/>
      <c r="J21" s="36"/>
      <c r="K21" s="36"/>
      <c r="L21" s="38" t="n">
        <f aca="false">4*F21</f>
        <v>815.042508</v>
      </c>
      <c r="M21" s="36"/>
      <c r="N21" s="42" t="n">
        <f aca="false">L21+M21</f>
        <v>815.042508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4986.557873687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4986.557873687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>
      <c r="A31" s="4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customFormat="false" ht="13.8" hidden="false" customHeight="false" outlineLevel="0" collapsed="false">
      <c r="A32" s="4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3" customFormat="false" ht="13.8" hidden="false" customHeight="false" outlineLevel="0" collapsed="false">
      <c r="A33" s="45"/>
      <c r="B33" s="36"/>
      <c r="C33" s="36"/>
      <c r="D33" s="36"/>
      <c r="E33" s="36" t="s">
        <v>116</v>
      </c>
      <c r="F33" s="36" t="n">
        <v>25</v>
      </c>
      <c r="G33" s="13" t="s">
        <v>117</v>
      </c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</row>
    <row r="34" customFormat="false" ht="13.8" hidden="false" customHeight="false" outlineLevel="0" collapsed="false">
      <c r="A34" s="45"/>
      <c r="B34" s="36"/>
      <c r="C34" s="36"/>
      <c r="D34" s="36"/>
      <c r="E34" s="36" t="s">
        <v>118</v>
      </c>
      <c r="F34" s="36" t="n">
        <f aca="false">15*1</f>
        <v>15</v>
      </c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</row>
    <row r="35" customFormat="false" ht="13.8" hidden="false" customHeight="false" outlineLevel="0" collapsed="false">
      <c r="A35" s="45"/>
      <c r="B35" s="36"/>
      <c r="C35" s="36"/>
      <c r="D35" s="36"/>
      <c r="E35" s="36" t="s">
        <v>119</v>
      </c>
      <c r="F35" s="40" t="n">
        <f aca="false">$F$21</f>
        <v>203.760627</v>
      </c>
      <c r="G35" s="36" t="s">
        <v>120</v>
      </c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</row>
    <row r="36" customFormat="false" ht="13.8" hidden="false" customHeight="false" outlineLevel="0" collapsed="false">
      <c r="A36" s="45"/>
      <c r="B36" s="36"/>
      <c r="C36" s="36"/>
      <c r="D36" s="36"/>
      <c r="E36" s="36" t="s">
        <v>121</v>
      </c>
      <c r="F36" s="40" t="n">
        <f aca="false">3.28084 * 2.7</f>
        <v>8.858268</v>
      </c>
      <c r="G36" s="36" t="s">
        <v>122</v>
      </c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</row>
    <row r="37" customFormat="false" ht="13.8" hidden="false" customHeight="false" outlineLevel="0" collapsed="false">
      <c r="A37" s="45"/>
      <c r="B37" s="36"/>
      <c r="C37" s="36"/>
      <c r="D37" s="36"/>
      <c r="E37" s="36" t="s">
        <v>123</v>
      </c>
      <c r="F37" s="71" t="n">
        <f aca="false">F35*F36</f>
        <v>1804.96624181404</v>
      </c>
      <c r="G37" s="36" t="s">
        <v>124</v>
      </c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</row>
    <row r="38" customFormat="false" ht="13.8" hidden="false" customHeight="false" outlineLevel="0" collapsed="false">
      <c r="A38" s="45"/>
      <c r="B38" s="36"/>
      <c r="C38" s="36"/>
      <c r="D38" s="36"/>
      <c r="E38" s="36" t="s">
        <v>125</v>
      </c>
      <c r="F38" s="48" t="n">
        <f aca="false">F37/30</f>
        <v>60.1655413938012</v>
      </c>
      <c r="G38" s="36" t="s">
        <v>126</v>
      </c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</row>
    <row r="39" customFormat="false" ht="13.8" hidden="false" customHeight="false" outlineLevel="0" collapsed="false">
      <c r="A39" s="45"/>
      <c r="B39" s="36"/>
      <c r="C39" s="36"/>
      <c r="D39" s="36"/>
      <c r="E39" s="36" t="s">
        <v>127</v>
      </c>
      <c r="F39" s="42" t="n">
        <f aca="false">SUM($L$5:$L$28)</f>
        <v>4501.557873687</v>
      </c>
      <c r="G39" s="36" t="s">
        <v>128</v>
      </c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</row>
    <row r="40" customFormat="false" ht="13.8" hidden="false" customHeight="false" outlineLevel="0" collapsed="false">
      <c r="A40" s="45"/>
      <c r="B40" s="36"/>
      <c r="C40" s="36"/>
      <c r="D40" s="36"/>
      <c r="E40" s="36" t="s">
        <v>129</v>
      </c>
      <c r="F40" s="41" t="n">
        <f aca="false">SUM($M$5:$M$28)</f>
        <v>485</v>
      </c>
      <c r="G40" s="36" t="s">
        <v>128</v>
      </c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</row>
    <row r="41" customFormat="false" ht="13.8" hidden="false" customHeight="false" outlineLevel="0" collapsed="false">
      <c r="A41" s="45"/>
      <c r="B41" s="36"/>
      <c r="C41" s="36"/>
      <c r="D41" s="36"/>
      <c r="E41" s="36" t="s">
        <v>130</v>
      </c>
      <c r="F41" s="42" t="n">
        <f aca="false">$N$29</f>
        <v>4986.557873687</v>
      </c>
      <c r="G41" s="36" t="s">
        <v>128</v>
      </c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</row>
    <row r="42" customFormat="false" ht="13.8" hidden="false" customHeight="false" outlineLevel="0" collapsed="false">
      <c r="A42" s="45"/>
      <c r="B42" s="36"/>
      <c r="C42" s="36"/>
      <c r="D42" s="36"/>
      <c r="E42" s="36" t="s">
        <v>131</v>
      </c>
      <c r="F42" s="42" t="n">
        <f aca="false">$T$29</f>
        <v>0</v>
      </c>
      <c r="G42" s="36" t="s">
        <v>128</v>
      </c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</row>
    <row r="43" customFormat="false" ht="13.8" hidden="false" customHeight="false" outlineLevel="0" collapsed="false">
      <c r="A43" s="45"/>
      <c r="B43" s="36"/>
      <c r="C43" s="36"/>
      <c r="D43" s="36"/>
      <c r="E43" s="36" t="s">
        <v>132</v>
      </c>
      <c r="F43" s="48" t="n">
        <f aca="false">F39/(1.08*F33)</f>
        <v>166.724365692111</v>
      </c>
      <c r="G43" s="36" t="s">
        <v>126</v>
      </c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</row>
    <row r="44" customFormat="false" ht="13.8" hidden="false" customHeight="false" outlineLevel="0" collapsed="false">
      <c r="A44" s="45"/>
      <c r="B44" s="36"/>
      <c r="C44" s="36"/>
      <c r="D44" s="36"/>
      <c r="E44" s="36" t="s">
        <v>126</v>
      </c>
      <c r="F44" s="49" t="n">
        <f aca="false">ROUNDUP(F43,0)</f>
        <v>167</v>
      </c>
      <c r="G44" s="36" t="s">
        <v>126</v>
      </c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</row>
    <row r="45" customFormat="false" ht="13.8" hidden="false" customHeight="false" outlineLevel="0" collapsed="false">
      <c r="A45" s="45"/>
      <c r="B45" s="36"/>
      <c r="C45" s="36"/>
      <c r="D45" s="36"/>
      <c r="E45" s="36" t="s">
        <v>133</v>
      </c>
      <c r="F45" s="42" t="n">
        <f aca="false">F44*0.0002930711</f>
        <v>0.0489428737</v>
      </c>
      <c r="G45" s="36" t="s">
        <v>134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</row>
    <row r="46" customFormat="false" ht="13.8" hidden="false" customHeight="false" outlineLevel="0" collapsed="false">
      <c r="A46" s="45"/>
      <c r="B46" s="36"/>
      <c r="C46" s="36"/>
      <c r="D46" s="36"/>
      <c r="E46" s="36" t="s">
        <v>135</v>
      </c>
      <c r="F46" s="42" t="n">
        <f aca="false">F39/F41</f>
        <v>0.902738519779497</v>
      </c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69" t="s">
        <v>165</v>
      </c>
      <c r="B55" s="69"/>
      <c r="C55" s="69"/>
      <c r="D55" s="69" t="s">
        <v>166</v>
      </c>
      <c r="E55" s="69"/>
      <c r="F55" s="69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69"/>
      <c r="B56" s="69"/>
      <c r="C56" s="69"/>
      <c r="D56" s="69"/>
      <c r="E56" s="69"/>
      <c r="F56" s="69"/>
      <c r="G56" s="45" t="s">
        <v>168</v>
      </c>
      <c r="H56" s="45"/>
      <c r="I56" s="45"/>
      <c r="J56" s="45"/>
      <c r="K56" s="45" t="s">
        <v>169</v>
      </c>
      <c r="L56" s="45"/>
      <c r="M56" s="45"/>
      <c r="N56" s="45"/>
      <c r="O56" s="45"/>
      <c r="P56" s="45"/>
      <c r="Q56" s="45"/>
      <c r="R56" s="45" t="s">
        <v>170</v>
      </c>
      <c r="S56" s="45"/>
      <c r="T56" s="45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33" activeCellId="0" sqref="A3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356</v>
      </c>
      <c r="B2" s="35"/>
      <c r="C2" s="35" t="n">
        <v>7006</v>
      </c>
      <c r="D2" s="35"/>
      <c r="E2" s="35" t="s">
        <v>369</v>
      </c>
      <c r="F2" s="35" t="s">
        <v>402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340</v>
      </c>
      <c r="B5" s="38" t="n">
        <v>6</v>
      </c>
      <c r="C5" s="60" t="s">
        <v>104</v>
      </c>
      <c r="D5" s="38" t="s">
        <v>99</v>
      </c>
      <c r="E5" s="38" t="s">
        <v>303</v>
      </c>
      <c r="F5" s="40" t="n">
        <f aca="false">10.7639 *(2.4*2.7)</f>
        <v>69.750072</v>
      </c>
      <c r="G5" s="36" t="n">
        <v>78</v>
      </c>
      <c r="H5" s="38" t="n">
        <v>120</v>
      </c>
      <c r="I5" s="41" t="n">
        <f aca="false">H5-G5</f>
        <v>42</v>
      </c>
      <c r="J5" s="38" t="n">
        <v>0.313</v>
      </c>
      <c r="K5" s="38" t="str">
        <f aca="false">_xlfn.UNICHAR(8596)</f>
        <v>↔</v>
      </c>
      <c r="L5" s="42" t="n">
        <f aca="false">F5*I5*J5</f>
        <v>916.934446512</v>
      </c>
      <c r="M5" s="41"/>
      <c r="N5" s="42" t="n">
        <f aca="false">L5+M5</f>
        <v>916.934446512</v>
      </c>
      <c r="O5" s="38" t="n">
        <v>70</v>
      </c>
      <c r="P5" s="38" t="n">
        <v>70</v>
      </c>
      <c r="Q5" s="41" t="n">
        <f aca="false">O5-P5</f>
        <v>0</v>
      </c>
      <c r="R5" s="38" t="n">
        <f aca="false">J5</f>
        <v>0.313</v>
      </c>
      <c r="S5" s="38" t="str">
        <f aca="false">K5</f>
        <v>↔</v>
      </c>
      <c r="T5" s="43" t="n">
        <f aca="false">F5*Q5*R5</f>
        <v>0</v>
      </c>
    </row>
    <row r="6" customFormat="false" ht="13.8" hidden="false" customHeight="false" outlineLevel="0" collapsed="false">
      <c r="A6" s="45" t="s">
        <v>357</v>
      </c>
      <c r="B6" s="38" t="n">
        <v>6</v>
      </c>
      <c r="C6" s="60" t="s">
        <v>98</v>
      </c>
      <c r="D6" s="38" t="s">
        <v>99</v>
      </c>
      <c r="E6" s="38" t="s">
        <v>370</v>
      </c>
      <c r="F6" s="40" t="n">
        <f aca="false">10.7639 *(2.8*2.7)</f>
        <v>81.375084</v>
      </c>
      <c r="G6" s="36" t="n">
        <v>78</v>
      </c>
      <c r="H6" s="38" t="n">
        <v>110</v>
      </c>
      <c r="I6" s="41" t="n">
        <f aca="false">H6-G6</f>
        <v>32</v>
      </c>
      <c r="J6" s="38" t="n">
        <v>0.93</v>
      </c>
      <c r="K6" s="38" t="str">
        <f aca="false">_xlfn.UNICHAR(8596)</f>
        <v>↔</v>
      </c>
      <c r="L6" s="42" t="n">
        <f aca="false">F6*I6*J6</f>
        <v>2421.72249984</v>
      </c>
      <c r="M6" s="41"/>
      <c r="N6" s="42" t="n">
        <f aca="false">L6+M6</f>
        <v>2421.72249984</v>
      </c>
      <c r="O6" s="38" t="n">
        <v>70</v>
      </c>
      <c r="P6" s="38" t="n">
        <v>70</v>
      </c>
      <c r="Q6" s="41" t="n">
        <f aca="false">O6-P6</f>
        <v>0</v>
      </c>
      <c r="R6" s="38" t="n">
        <f aca="false">J6</f>
        <v>0.93</v>
      </c>
      <c r="S6" s="38" t="str">
        <f aca="false">K6</f>
        <v>↔</v>
      </c>
      <c r="T6" s="42" t="n">
        <f aca="false">F6*Q6*R6</f>
        <v>0</v>
      </c>
    </row>
    <row r="7" customFormat="false" ht="13.8" hidden="false" customHeight="false" outlineLevel="0" collapsed="false">
      <c r="A7" s="45" t="s">
        <v>190</v>
      </c>
      <c r="B7" s="38" t="n">
        <v>6</v>
      </c>
      <c r="C7" s="60" t="s">
        <v>175</v>
      </c>
      <c r="D7" s="38" t="s">
        <v>99</v>
      </c>
      <c r="E7" s="38" t="s">
        <v>303</v>
      </c>
      <c r="F7" s="40" t="n">
        <f aca="false">10.7639 *(2.4*2.7)</f>
        <v>69.750072</v>
      </c>
      <c r="G7" s="36" t="n">
        <v>78</v>
      </c>
      <c r="H7" s="38" t="n">
        <v>80</v>
      </c>
      <c r="I7" s="41" t="n">
        <f aca="false">H7-G7</f>
        <v>2</v>
      </c>
      <c r="J7" s="38" t="n">
        <v>0.158</v>
      </c>
      <c r="K7" s="38" t="str">
        <f aca="false">_xlfn.UNICHAR(8596)</f>
        <v>↔</v>
      </c>
      <c r="L7" s="42" t="n">
        <f aca="false">F7*I7*J7</f>
        <v>22.041022752</v>
      </c>
      <c r="M7" s="41"/>
      <c r="N7" s="42" t="n">
        <f aca="false">L7+M7</f>
        <v>22.041022752</v>
      </c>
      <c r="O7" s="38" t="n">
        <v>70</v>
      </c>
      <c r="P7" s="38" t="n">
        <v>70</v>
      </c>
      <c r="Q7" s="41" t="n">
        <f aca="false">O7-P7</f>
        <v>0</v>
      </c>
      <c r="R7" s="38" t="n">
        <f aca="false">J7</f>
        <v>0.158</v>
      </c>
      <c r="S7" s="38" t="str">
        <f aca="false">K7</f>
        <v>↔</v>
      </c>
      <c r="T7" s="43" t="n">
        <f aca="false">F7*Q7*R7</f>
        <v>0</v>
      </c>
    </row>
    <row r="8" customFormat="false" ht="13.8" hidden="false" customHeight="false" outlineLevel="0" collapsed="false">
      <c r="A8" s="45" t="s">
        <v>403</v>
      </c>
      <c r="B8" s="38" t="n">
        <v>1</v>
      </c>
      <c r="C8" s="60" t="s">
        <v>175</v>
      </c>
      <c r="D8" s="38" t="s">
        <v>90</v>
      </c>
      <c r="E8" s="38" t="s">
        <v>404</v>
      </c>
      <c r="F8" s="40" t="n">
        <f aca="false">10.7639 *(1.44)</f>
        <v>15.500016</v>
      </c>
      <c r="G8" s="36" t="n">
        <v>78</v>
      </c>
      <c r="H8" s="38" t="n">
        <v>110</v>
      </c>
      <c r="I8" s="41" t="n">
        <f aca="false">H8-G8</f>
        <v>32</v>
      </c>
      <c r="J8" s="38" t="n">
        <v>0.171</v>
      </c>
      <c r="K8" s="38" t="str">
        <f aca="false">_xlfn.UNICHAR(8593)</f>
        <v>↑</v>
      </c>
      <c r="L8" s="42" t="n">
        <f aca="false">F8*I8*J8</f>
        <v>84.816087552</v>
      </c>
      <c r="M8" s="41"/>
      <c r="N8" s="42" t="n">
        <f aca="false">L8+M8</f>
        <v>84.816087552</v>
      </c>
      <c r="O8" s="38" t="n">
        <v>70</v>
      </c>
      <c r="P8" s="38" t="n">
        <v>70</v>
      </c>
      <c r="Q8" s="41" t="n">
        <f aca="false">O8-P8</f>
        <v>0</v>
      </c>
      <c r="R8" s="38" t="n">
        <f aca="false">J8</f>
        <v>0.171</v>
      </c>
      <c r="S8" s="38" t="str">
        <f aca="false">K8</f>
        <v>↑</v>
      </c>
      <c r="T8" s="43" t="n">
        <f aca="false">F8*Q8*R8</f>
        <v>0</v>
      </c>
    </row>
    <row r="9" customFormat="false" ht="13.8" hidden="false" customHeight="false" outlineLevel="0" collapsed="false">
      <c r="A9" s="45" t="s">
        <v>244</v>
      </c>
      <c r="B9" s="38" t="n">
        <v>2</v>
      </c>
      <c r="C9" s="60" t="s">
        <v>175</v>
      </c>
      <c r="D9" s="38" t="s">
        <v>90</v>
      </c>
      <c r="E9" s="38" t="s">
        <v>405</v>
      </c>
      <c r="F9" s="40" t="n">
        <f aca="false">10.7639 *(0.4*1.6)</f>
        <v>6.888896</v>
      </c>
      <c r="G9" s="36" t="n">
        <v>78</v>
      </c>
      <c r="H9" s="38" t="n">
        <v>110</v>
      </c>
      <c r="I9" s="41" t="n">
        <f aca="false">H9-G9</f>
        <v>32</v>
      </c>
      <c r="J9" s="38" t="n">
        <v>0.144</v>
      </c>
      <c r="K9" s="38" t="str">
        <f aca="false">_xlfn.UNICHAR(8595)</f>
        <v>↓</v>
      </c>
      <c r="L9" s="42" t="n">
        <f aca="false">F9*I9*J9</f>
        <v>31.744032768</v>
      </c>
      <c r="M9" s="41"/>
      <c r="N9" s="42" t="n">
        <f aca="false">L9+M9</f>
        <v>31.744032768</v>
      </c>
      <c r="O9" s="38" t="n">
        <v>70</v>
      </c>
      <c r="P9" s="38" t="n">
        <v>70</v>
      </c>
      <c r="Q9" s="41" t="n">
        <f aca="false">O9-P9</f>
        <v>0</v>
      </c>
      <c r="R9" s="38" t="n">
        <f aca="false">J9</f>
        <v>0.144</v>
      </c>
      <c r="S9" s="38" t="str">
        <f aca="false">K9</f>
        <v>↓</v>
      </c>
      <c r="T9" s="43" t="n">
        <f aca="false">F9*Q9*R9</f>
        <v>0</v>
      </c>
    </row>
    <row r="10" customFormat="false" ht="13.8" hidden="false" customHeight="false" outlineLevel="0" collapsed="false">
      <c r="A10" s="45"/>
      <c r="B10" s="38"/>
      <c r="C10" s="60"/>
      <c r="D10" s="38"/>
      <c r="E10" s="38"/>
      <c r="F10" s="40"/>
      <c r="G10" s="36"/>
      <c r="H10" s="38"/>
      <c r="I10" s="41"/>
      <c r="J10" s="38"/>
      <c r="K10" s="38"/>
      <c r="L10" s="42"/>
      <c r="M10" s="36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3477.258089424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(0.6*0.5))*0</f>
        <v>0</v>
      </c>
      <c r="G20" s="36"/>
      <c r="H20" s="36"/>
      <c r="I20" s="36"/>
      <c r="J20" s="36"/>
      <c r="K20" s="36"/>
      <c r="L20" s="38" t="n">
        <f aca="false">F20*160</f>
        <v>0</v>
      </c>
      <c r="M20" s="36"/>
      <c r="N20" s="42" t="n">
        <f aca="false">L20+M20</f>
        <v>0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(2.4*2.8)</f>
        <v>72.333408</v>
      </c>
      <c r="G21" s="36"/>
      <c r="H21" s="36"/>
      <c r="I21" s="36"/>
      <c r="J21" s="36"/>
      <c r="K21" s="36"/>
      <c r="L21" s="38" t="n">
        <f aca="false">4*F21</f>
        <v>289.333632</v>
      </c>
      <c r="M21" s="36"/>
      <c r="N21" s="42" t="n">
        <f aca="false">L21+M21</f>
        <v>289.333632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4566.591721424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4566.591721424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72.333408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640.748713417344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21.3582904472448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4081.591721424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4566.591721424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151.170063756444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152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0.0445468072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0.893793877450301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C43" activeCellId="0" sqref="C4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233</v>
      </c>
      <c r="B2" s="35"/>
      <c r="C2" s="35" t="n">
        <v>7007</v>
      </c>
      <c r="D2" s="35"/>
      <c r="E2" s="35" t="s">
        <v>369</v>
      </c>
      <c r="F2" s="35" t="s">
        <v>406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210</v>
      </c>
      <c r="B5" s="38" t="n">
        <v>6</v>
      </c>
      <c r="C5" s="60" t="s">
        <v>104</v>
      </c>
      <c r="D5" s="38" t="s">
        <v>99</v>
      </c>
      <c r="E5" s="36" t="s">
        <v>352</v>
      </c>
      <c r="F5" s="46" t="n">
        <f aca="false">10.7639 *(2.1*2.7)</f>
        <v>61.031313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38.205601938</v>
      </c>
      <c r="M5" s="41"/>
      <c r="N5" s="42" t="n">
        <f aca="false">L5+M5</f>
        <v>38.205601938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407</v>
      </c>
      <c r="B6" s="38" t="n">
        <v>6</v>
      </c>
      <c r="C6" s="60" t="s">
        <v>98</v>
      </c>
      <c r="D6" s="38" t="s">
        <v>99</v>
      </c>
      <c r="E6" s="36" t="s">
        <v>246</v>
      </c>
      <c r="F6" s="46" t="n">
        <f aca="false">10.7639 *(1*2.7)</f>
        <v>29.06253</v>
      </c>
      <c r="G6" s="36" t="n">
        <v>78</v>
      </c>
      <c r="H6" s="38" t="n">
        <v>120</v>
      </c>
      <c r="I6" s="41" t="n">
        <f aca="false">H6-G6</f>
        <v>42</v>
      </c>
      <c r="J6" s="38" t="n">
        <v>0.93</v>
      </c>
      <c r="K6" s="38" t="str">
        <f aca="false">_xlfn.UNICHAR(8596)</f>
        <v>↔</v>
      </c>
      <c r="L6" s="42" t="n">
        <f aca="false">F6*I6*J6</f>
        <v>1135.1824218</v>
      </c>
      <c r="M6" s="41"/>
      <c r="N6" s="42" t="n">
        <f aca="false">L6+M6</f>
        <v>1135.1824218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340</v>
      </c>
      <c r="B7" s="38" t="n">
        <v>6</v>
      </c>
      <c r="C7" s="60" t="s">
        <v>104</v>
      </c>
      <c r="D7" s="38" t="s">
        <v>99</v>
      </c>
      <c r="E7" s="36" t="s">
        <v>408</v>
      </c>
      <c r="F7" s="46" t="n">
        <f aca="false">10.7639 *((1.2+0.3)*2.7)</f>
        <v>43.593795</v>
      </c>
      <c r="G7" s="36" t="n">
        <v>78</v>
      </c>
      <c r="H7" s="38" t="n">
        <v>120</v>
      </c>
      <c r="I7" s="41" t="n">
        <f aca="false">H7-G7</f>
        <v>42</v>
      </c>
      <c r="J7" s="38" t="n">
        <v>0.313</v>
      </c>
      <c r="K7" s="38" t="str">
        <f aca="false">_xlfn.UNICHAR(8596)</f>
        <v>↔</v>
      </c>
      <c r="L7" s="42" t="n">
        <f aca="false">F7*I7*J7</f>
        <v>573.08402907</v>
      </c>
      <c r="M7" s="41"/>
      <c r="N7" s="42" t="n">
        <f aca="false">L7+M7</f>
        <v>573.08402907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356</v>
      </c>
      <c r="B8" s="38" t="n">
        <v>6</v>
      </c>
      <c r="C8" s="60" t="s">
        <v>98</v>
      </c>
      <c r="D8" s="38" t="s">
        <v>99</v>
      </c>
      <c r="E8" s="36" t="s">
        <v>370</v>
      </c>
      <c r="F8" s="46" t="n">
        <f aca="false">10.7639 *(2.8*2.7)</f>
        <v>81.375084</v>
      </c>
      <c r="G8" s="36" t="n">
        <v>78</v>
      </c>
      <c r="H8" s="38" t="n">
        <v>78</v>
      </c>
      <c r="I8" s="41" t="n">
        <f aca="false">H8-G8</f>
        <v>0</v>
      </c>
      <c r="J8" s="38" t="n">
        <v>1.113</v>
      </c>
      <c r="K8" s="38" t="str">
        <f aca="false">_xlfn.UNICHAR(8593)</f>
        <v>↑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190</v>
      </c>
      <c r="B9" s="38" t="n">
        <v>6</v>
      </c>
      <c r="C9" s="60" t="s">
        <v>175</v>
      </c>
      <c r="D9" s="38" t="s">
        <v>99</v>
      </c>
      <c r="E9" s="36" t="s">
        <v>409</v>
      </c>
      <c r="F9" s="46" t="n">
        <f aca="false">10.7639 *(1.2*2.7)</f>
        <v>34.875036</v>
      </c>
      <c r="G9" s="36" t="n">
        <v>78</v>
      </c>
      <c r="H9" s="38" t="n">
        <v>80</v>
      </c>
      <c r="I9" s="41" t="n">
        <f aca="false">H9-G9</f>
        <v>2</v>
      </c>
      <c r="J9" s="38" t="n">
        <v>0.171</v>
      </c>
      <c r="K9" s="38" t="str">
        <f aca="false">_xlfn.UNICHAR(8593)</f>
        <v>↑</v>
      </c>
      <c r="L9" s="42" t="n">
        <f aca="false">F9*I9*J9</f>
        <v>11.927262312</v>
      </c>
      <c r="M9" s="41"/>
      <c r="N9" s="42" t="n">
        <f aca="false">L9+M9</f>
        <v>11.927262312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/>
      <c r="B10" s="38"/>
      <c r="C10" s="60"/>
      <c r="D10" s="38"/>
      <c r="E10" s="38"/>
      <c r="F10" s="40"/>
      <c r="G10" s="36"/>
      <c r="H10" s="38"/>
      <c r="I10" s="41"/>
      <c r="J10" s="38"/>
      <c r="K10" s="38"/>
      <c r="L10" s="42"/>
      <c r="M10" s="36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1758.39931512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(0.6*0.5))*0</f>
        <v>0</v>
      </c>
      <c r="G20" s="36"/>
      <c r="H20" s="36"/>
      <c r="I20" s="36"/>
      <c r="J20" s="36"/>
      <c r="K20" s="36"/>
      <c r="L20" s="38" t="n">
        <f aca="false">F20*160</f>
        <v>0</v>
      </c>
      <c r="M20" s="36"/>
      <c r="N20" s="42" t="n">
        <f aca="false">L20+M20</f>
        <v>0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(1.2*3.1)</f>
        <v>40.041708</v>
      </c>
      <c r="G21" s="36"/>
      <c r="H21" s="36"/>
      <c r="I21" s="36"/>
      <c r="J21" s="36"/>
      <c r="K21" s="36"/>
      <c r="L21" s="38" t="n">
        <f aca="false">4*F21</f>
        <v>160.166832</v>
      </c>
      <c r="M21" s="36"/>
      <c r="N21" s="42" t="n">
        <f aca="false">L21+M21</f>
        <v>160.166832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2718.56614712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2718.56614712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40.041708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354.700180641744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11.8233393547248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2233.56614712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2718.56614712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82.7246721155556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83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0.0243249013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0.82159713107816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342</v>
      </c>
      <c r="B2" s="35"/>
      <c r="C2" s="35" t="n">
        <v>7008</v>
      </c>
      <c r="D2" s="35"/>
      <c r="E2" s="35" t="s">
        <v>369</v>
      </c>
      <c r="F2" s="35" t="s">
        <v>410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409</v>
      </c>
      <c r="F5" s="46" t="n">
        <f aca="false">10.7639 *(1.2*2.7)</f>
        <v>34.875036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21.831772536</v>
      </c>
      <c r="M5" s="41"/>
      <c r="N5" s="42" t="n">
        <f aca="false">L5+M5</f>
        <v>21.831772536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344</v>
      </c>
      <c r="B6" s="38" t="n">
        <v>6</v>
      </c>
      <c r="C6" s="60" t="s">
        <v>104</v>
      </c>
      <c r="D6" s="38" t="s">
        <v>99</v>
      </c>
      <c r="E6" s="36" t="s">
        <v>411</v>
      </c>
      <c r="F6" s="46" t="n">
        <f aca="false">10.7639 *((2.1+1.5)*2.7)</f>
        <v>104.625108</v>
      </c>
      <c r="G6" s="36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229.233611628</v>
      </c>
      <c r="M6" s="41"/>
      <c r="N6" s="42" t="n">
        <f aca="false">L6+M6</f>
        <v>229.233611628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412</v>
      </c>
      <c r="B7" s="38" t="n">
        <v>6</v>
      </c>
      <c r="C7" s="60" t="s">
        <v>104</v>
      </c>
      <c r="D7" s="38" t="s">
        <v>99</v>
      </c>
      <c r="E7" s="36" t="s">
        <v>413</v>
      </c>
      <c r="F7" s="46" t="n">
        <f aca="false">10.7639 *((0.8+0.6)*2.7)</f>
        <v>40.687542</v>
      </c>
      <c r="G7" s="36" t="n">
        <v>78</v>
      </c>
      <c r="H7" s="38" t="n">
        <v>120</v>
      </c>
      <c r="I7" s="41" t="n">
        <f aca="false">H7-G7</f>
        <v>42</v>
      </c>
      <c r="J7" s="38" t="n">
        <v>0.313</v>
      </c>
      <c r="K7" s="38" t="str">
        <f aca="false">_xlfn.UNICHAR(8596)</f>
        <v>↔</v>
      </c>
      <c r="L7" s="42" t="n">
        <f aca="false">F7*I7*J7</f>
        <v>534.878427132</v>
      </c>
      <c r="M7" s="41"/>
      <c r="N7" s="42" t="n">
        <f aca="false">L7+M7</f>
        <v>534.878427132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414</v>
      </c>
      <c r="B8" s="38" t="n">
        <v>6</v>
      </c>
      <c r="C8" s="60" t="s">
        <v>104</v>
      </c>
      <c r="D8" s="38" t="s">
        <v>99</v>
      </c>
      <c r="E8" s="36" t="s">
        <v>415</v>
      </c>
      <c r="F8" s="46" t="n">
        <f aca="false">10.7639 *((0.5+0.6)*2.7)</f>
        <v>31.968783</v>
      </c>
      <c r="G8" s="36" t="n">
        <v>78</v>
      </c>
      <c r="H8" s="38" t="n">
        <v>85</v>
      </c>
      <c r="I8" s="41" t="n">
        <f aca="false">H8-G8</f>
        <v>7</v>
      </c>
      <c r="J8" s="38" t="n">
        <v>0.313</v>
      </c>
      <c r="K8" s="38" t="str">
        <f aca="false">_xlfn.UNICHAR(8596)</f>
        <v>↔</v>
      </c>
      <c r="L8" s="42" t="n">
        <f aca="false">F8*I8*J8</f>
        <v>70.043603553</v>
      </c>
      <c r="M8" s="41"/>
      <c r="N8" s="42" t="n">
        <f aca="false">L8+M8</f>
        <v>70.043603553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270</v>
      </c>
      <c r="B9" s="38" t="n">
        <v>2</v>
      </c>
      <c r="C9" s="60" t="s">
        <v>175</v>
      </c>
      <c r="D9" s="38" t="s">
        <v>106</v>
      </c>
      <c r="E9" s="38"/>
      <c r="F9" s="40" t="n">
        <f aca="false">10.7639 * (2.115)</f>
        <v>22.7656485</v>
      </c>
      <c r="G9" s="36" t="n">
        <v>78</v>
      </c>
      <c r="H9" s="38" t="n">
        <v>85</v>
      </c>
      <c r="I9" s="41" t="n">
        <f aca="false">H9-G9</f>
        <v>7</v>
      </c>
      <c r="J9" s="38" t="n">
        <v>0.171</v>
      </c>
      <c r="K9" s="38" t="str">
        <f aca="false">_xlfn.UNICHAR(8595)</f>
        <v>↓</v>
      </c>
      <c r="L9" s="42" t="n">
        <f aca="false">F9*I9*J9</f>
        <v>27.2504812545</v>
      </c>
      <c r="M9" s="41"/>
      <c r="N9" s="42" t="n">
        <f aca="false">L9+M9</f>
        <v>27.2504812545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341</v>
      </c>
      <c r="B10" s="38" t="n">
        <v>2</v>
      </c>
      <c r="C10" s="60" t="s">
        <v>175</v>
      </c>
      <c r="D10" s="38" t="s">
        <v>106</v>
      </c>
      <c r="E10" s="38"/>
      <c r="F10" s="40" t="n">
        <f aca="false">10.7639 * (1.7)</f>
        <v>18.29863</v>
      </c>
      <c r="G10" s="36" t="n">
        <v>78</v>
      </c>
      <c r="H10" s="38" t="n">
        <v>85</v>
      </c>
      <c r="I10" s="41" t="n">
        <f aca="false">H10-G10</f>
        <v>7</v>
      </c>
      <c r="J10" s="38" t="n">
        <v>0.171</v>
      </c>
      <c r="K10" s="38" t="str">
        <f aca="false">_xlfn.UNICHAR(8595)</f>
        <v>↓</v>
      </c>
      <c r="L10" s="42" t="n">
        <f aca="false">F10*I10*J10</f>
        <v>21.90346011</v>
      </c>
      <c r="M10" s="36"/>
      <c r="N10" s="42" t="n">
        <f aca="false">L10+M10</f>
        <v>21.90346011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416</v>
      </c>
      <c r="B11" s="38" t="n">
        <v>2</v>
      </c>
      <c r="C11" s="60" t="s">
        <v>175</v>
      </c>
      <c r="D11" s="38" t="s">
        <v>106</v>
      </c>
      <c r="E11" s="38"/>
      <c r="F11" s="40" t="n">
        <f aca="false">10.7639 * (2.115)</f>
        <v>22.7656485</v>
      </c>
      <c r="G11" s="36" t="n">
        <v>78</v>
      </c>
      <c r="H11" s="38" t="n">
        <v>120</v>
      </c>
      <c r="I11" s="41" t="n">
        <f aca="false">H11-G11</f>
        <v>42</v>
      </c>
      <c r="J11" s="38" t="n">
        <v>0.144</v>
      </c>
      <c r="K11" s="38" t="str">
        <f aca="false">_xlfn.UNICHAR(8595)</f>
        <v>↓</v>
      </c>
      <c r="L11" s="42" t="n">
        <f aca="false">F11*I11*J11</f>
        <v>137.686642128</v>
      </c>
      <c r="M11" s="36"/>
      <c r="N11" s="42" t="n">
        <f aca="false">L11+M11</f>
        <v>137.686642128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417</v>
      </c>
      <c r="B12" s="38" t="n">
        <v>2</v>
      </c>
      <c r="C12" s="60" t="s">
        <v>175</v>
      </c>
      <c r="D12" s="38" t="s">
        <v>106</v>
      </c>
      <c r="E12" s="36"/>
      <c r="F12" s="40" t="n">
        <f aca="false">10.7639 * (1.7)</f>
        <v>18.29863</v>
      </c>
      <c r="G12" s="36" t="n">
        <v>78</v>
      </c>
      <c r="H12" s="38" t="n">
        <v>120</v>
      </c>
      <c r="I12" s="41" t="n">
        <f aca="false">H12-G12</f>
        <v>42</v>
      </c>
      <c r="J12" s="38" t="n">
        <v>1.144</v>
      </c>
      <c r="K12" s="38" t="str">
        <f aca="false">_xlfn.UNICHAR(8595)</f>
        <v>↓</v>
      </c>
      <c r="L12" s="42" t="n">
        <f aca="false">F12*I12*J12</f>
        <v>879.21257424</v>
      </c>
      <c r="M12" s="36"/>
      <c r="N12" s="42" t="n">
        <f aca="false">L12+M12</f>
        <v>879.21257424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1922.0405725815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(0.6*0.5))*3</f>
        <v>9.68751</v>
      </c>
      <c r="G20" s="36"/>
      <c r="H20" s="36"/>
      <c r="I20" s="36"/>
      <c r="J20" s="36"/>
      <c r="K20" s="36"/>
      <c r="L20" s="38" t="n">
        <f aca="false">F20*160</f>
        <v>1550.0016</v>
      </c>
      <c r="M20" s="36"/>
      <c r="N20" s="42" t="n">
        <f aca="false">L20+M20</f>
        <v>1550.0016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(21.75)</f>
        <v>234.114825</v>
      </c>
      <c r="G21" s="36"/>
      <c r="H21" s="36"/>
      <c r="I21" s="36"/>
      <c r="J21" s="36"/>
      <c r="K21" s="36"/>
      <c r="L21" s="36" t="n">
        <f aca="false">4*F21</f>
        <v>936.4593</v>
      </c>
      <c r="M21" s="36"/>
      <c r="N21" s="42" t="n">
        <f aca="false">L21+M21</f>
        <v>936.4593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5208.5014725815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5208.5014725815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234.114825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2073.8518626231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69.12839542077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4723.5014725815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5208.5014725815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174.9444989845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175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0.0512874425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0.906883006071299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336</v>
      </c>
      <c r="B2" s="35"/>
      <c r="C2" s="35" t="n">
        <v>7009</v>
      </c>
      <c r="D2" s="35"/>
      <c r="E2" s="35" t="s">
        <v>369</v>
      </c>
      <c r="F2" s="35" t="s">
        <v>418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382</v>
      </c>
      <c r="F5" s="46" t="n">
        <f aca="false">10.7639 *(1.8*2.7)</f>
        <v>52.312554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32.747658804</v>
      </c>
      <c r="M5" s="41"/>
      <c r="N5" s="42" t="n">
        <f aca="false">L5+M5</f>
        <v>32.747658804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337</v>
      </c>
      <c r="B6" s="38" t="n">
        <v>6</v>
      </c>
      <c r="C6" s="60" t="s">
        <v>104</v>
      </c>
      <c r="D6" s="38" t="s">
        <v>99</v>
      </c>
      <c r="E6" s="36" t="s">
        <v>317</v>
      </c>
      <c r="F6" s="46" t="n">
        <f aca="false">10.7639 *((1.7+1.6)*2.7)</f>
        <v>95.906349</v>
      </c>
      <c r="G6" s="36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210.130810659</v>
      </c>
      <c r="M6" s="41"/>
      <c r="N6" s="42" t="n">
        <f aca="false">L6+M6</f>
        <v>210.130810659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190</v>
      </c>
      <c r="B7" s="38" t="n">
        <v>2</v>
      </c>
      <c r="C7" s="60" t="s">
        <v>175</v>
      </c>
      <c r="D7" s="38" t="s">
        <v>106</v>
      </c>
      <c r="F7" s="46" t="n">
        <f aca="false">10.7639 *(6.15)</f>
        <v>66.197985</v>
      </c>
      <c r="G7" s="36" t="n">
        <v>78</v>
      </c>
      <c r="H7" s="38" t="n">
        <v>80</v>
      </c>
      <c r="I7" s="41" t="n">
        <f aca="false">H7-G7</f>
        <v>2</v>
      </c>
      <c r="J7" s="38" t="n">
        <v>0.144</v>
      </c>
      <c r="K7" s="38" t="str">
        <f aca="false">_xlfn.UNICHAR(8595)</f>
        <v>↓</v>
      </c>
      <c r="L7" s="42" t="n">
        <f aca="false">F7*I7*J7</f>
        <v>19.06501968</v>
      </c>
      <c r="M7" s="41"/>
      <c r="N7" s="42" t="n">
        <f aca="false">L7+M7</f>
        <v>19.06501968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270</v>
      </c>
      <c r="B8" s="38" t="n">
        <v>2</v>
      </c>
      <c r="C8" s="60" t="s">
        <v>175</v>
      </c>
      <c r="D8" s="38" t="s">
        <v>106</v>
      </c>
      <c r="E8" s="38"/>
      <c r="F8" s="40" t="n">
        <f aca="false">10.7639 * (0.305)</f>
        <v>3.2829895</v>
      </c>
      <c r="G8" s="36" t="n">
        <v>78</v>
      </c>
      <c r="H8" s="38" t="n">
        <v>85</v>
      </c>
      <c r="I8" s="41" t="n">
        <f aca="false">H8-G8</f>
        <v>7</v>
      </c>
      <c r="J8" s="38" t="n">
        <v>0.144</v>
      </c>
      <c r="K8" s="38" t="str">
        <f aca="false">_xlfn.UNICHAR(8595)</f>
        <v>↓</v>
      </c>
      <c r="L8" s="42" t="n">
        <f aca="false">F8*I8*J8</f>
        <v>3.309253416</v>
      </c>
      <c r="M8" s="41"/>
      <c r="N8" s="42" t="n">
        <f aca="false">L8+M8</f>
        <v>3.309253416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416</v>
      </c>
      <c r="B9" s="38" t="n">
        <v>2</v>
      </c>
      <c r="C9" s="60" t="s">
        <v>175</v>
      </c>
      <c r="D9" s="38" t="s">
        <v>106</v>
      </c>
      <c r="E9" s="38"/>
      <c r="F9" s="40" t="n">
        <f aca="false">10.7639 * (0.175)</f>
        <v>1.8836825</v>
      </c>
      <c r="G9" s="36" t="n">
        <v>78</v>
      </c>
      <c r="H9" s="38" t="n">
        <v>120</v>
      </c>
      <c r="I9" s="41" t="n">
        <f aca="false">H9-G9</f>
        <v>42</v>
      </c>
      <c r="J9" s="38" t="n">
        <v>0.144</v>
      </c>
      <c r="K9" s="38" t="str">
        <f aca="false">_xlfn.UNICHAR(8595)</f>
        <v>↓</v>
      </c>
      <c r="L9" s="42" t="n">
        <f aca="false">F9*I9*J9</f>
        <v>11.39251176</v>
      </c>
      <c r="M9" s="41"/>
      <c r="N9" s="42" t="n">
        <f aca="false">L9+M9</f>
        <v>11.39251176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341</v>
      </c>
      <c r="B10" s="38" t="n">
        <v>2</v>
      </c>
      <c r="C10" s="60" t="s">
        <v>175</v>
      </c>
      <c r="D10" s="38" t="s">
        <v>106</v>
      </c>
      <c r="E10" s="38"/>
      <c r="F10" s="40" t="n">
        <f aca="false">10.7639 * (0.305)</f>
        <v>3.2829895</v>
      </c>
      <c r="G10" s="36" t="n">
        <v>78</v>
      </c>
      <c r="H10" s="38" t="n">
        <v>85</v>
      </c>
      <c r="I10" s="41" t="n">
        <f aca="false">H10-G10</f>
        <v>7</v>
      </c>
      <c r="J10" s="38" t="n">
        <v>0.144</v>
      </c>
      <c r="K10" s="38" t="str">
        <f aca="false">_xlfn.UNICHAR(8595)</f>
        <v>↓</v>
      </c>
      <c r="L10" s="42" t="n">
        <f aca="false">F10*I10*J10</f>
        <v>3.309253416</v>
      </c>
      <c r="M10" s="36"/>
      <c r="N10" s="42" t="n">
        <f aca="false">L10+M10</f>
        <v>3.309253416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417</v>
      </c>
      <c r="B11" s="38" t="n">
        <v>2</v>
      </c>
      <c r="C11" s="60" t="s">
        <v>175</v>
      </c>
      <c r="D11" s="38" t="s">
        <v>106</v>
      </c>
      <c r="E11" s="38"/>
      <c r="F11" s="40" t="n">
        <f aca="false">10.7639 * (0.175)</f>
        <v>1.8836825</v>
      </c>
      <c r="G11" s="36" t="n">
        <v>78</v>
      </c>
      <c r="H11" s="38" t="n">
        <v>120</v>
      </c>
      <c r="I11" s="41" t="n">
        <f aca="false">H11-G11</f>
        <v>42</v>
      </c>
      <c r="J11" s="38" t="n">
        <v>0.144</v>
      </c>
      <c r="K11" s="38" t="str">
        <f aca="false">_xlfn.UNICHAR(8595)</f>
        <v>↓</v>
      </c>
      <c r="L11" s="42" t="n">
        <f aca="false">F11*I11*J11</f>
        <v>11.39251176</v>
      </c>
      <c r="M11" s="36"/>
      <c r="N11" s="42" t="n">
        <f aca="false">L11+M11</f>
        <v>11.39251176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419</v>
      </c>
      <c r="B12" s="38" t="n">
        <v>1</v>
      </c>
      <c r="C12" s="60" t="s">
        <v>175</v>
      </c>
      <c r="D12" s="38" t="s">
        <v>90</v>
      </c>
      <c r="E12" s="36"/>
      <c r="F12" s="40" t="n">
        <f aca="false">10.7639 * (1.825)</f>
        <v>19.6441175</v>
      </c>
      <c r="G12" s="36" t="n">
        <v>78</v>
      </c>
      <c r="H12" s="38" t="n">
        <v>85</v>
      </c>
      <c r="I12" s="41" t="n">
        <f aca="false">H12-G12</f>
        <v>7</v>
      </c>
      <c r="J12" s="38" t="n">
        <v>0.171</v>
      </c>
      <c r="K12" s="38" t="str">
        <f aca="false">_xlfn.UNICHAR(8593)</f>
        <v>↑</v>
      </c>
      <c r="L12" s="42" t="n">
        <f aca="false">F12*I12*J12</f>
        <v>23.5140086475</v>
      </c>
      <c r="M12" s="36"/>
      <c r="N12" s="42" t="n">
        <f aca="false">L12+M12</f>
        <v>23.5140086475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420</v>
      </c>
      <c r="B13" s="38" t="n">
        <v>1</v>
      </c>
      <c r="C13" s="60" t="s">
        <v>175</v>
      </c>
      <c r="D13" s="38" t="s">
        <v>90</v>
      </c>
      <c r="E13" s="36"/>
      <c r="F13" s="40" t="n">
        <f aca="false">10.7639 * (0.125)</f>
        <v>1.3454875</v>
      </c>
      <c r="G13" s="36" t="n">
        <v>78</v>
      </c>
      <c r="H13" s="38" t="n">
        <v>120</v>
      </c>
      <c r="I13" s="41" t="n">
        <f aca="false">H13-G13</f>
        <v>42</v>
      </c>
      <c r="J13" s="38" t="n">
        <v>0.171</v>
      </c>
      <c r="K13" s="38" t="str">
        <f aca="false">_xlfn.UNICHAR(8593)</f>
        <v>↑</v>
      </c>
      <c r="L13" s="42" t="n">
        <f aca="false">F13*I13*J13</f>
        <v>9.663291225</v>
      </c>
      <c r="M13" s="36"/>
      <c r="N13" s="42" t="n">
        <f aca="false">L13+M13</f>
        <v>9.663291225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108</v>
      </c>
      <c r="B14" s="38" t="n">
        <v>3</v>
      </c>
      <c r="C14" s="39" t="s">
        <v>205</v>
      </c>
      <c r="D14" s="38" t="s">
        <v>99</v>
      </c>
      <c r="E14" s="36" t="s">
        <v>334</v>
      </c>
      <c r="F14" s="46" t="n">
        <f aca="false">10.7639 *(3.5*2.7)</f>
        <v>101.718855</v>
      </c>
      <c r="G14" s="36" t="n">
        <v>78</v>
      </c>
      <c r="H14" s="38" t="n">
        <v>95</v>
      </c>
      <c r="I14" s="41" t="n">
        <f aca="false">H14-G14</f>
        <v>17</v>
      </c>
      <c r="J14" s="38" t="n">
        <v>0.073</v>
      </c>
      <c r="K14" s="38" t="str">
        <f aca="false">_xlfn.UNICHAR(8596)</f>
        <v>↔</v>
      </c>
      <c r="L14" s="42" t="n">
        <f aca="false">F14*I14*J14</f>
        <v>126.233099055</v>
      </c>
      <c r="M14" s="36"/>
      <c r="N14" s="42" t="n">
        <f aca="false">L14+M14</f>
        <v>126.233099055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450.7574184225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(15.13)</f>
        <v>162.857807</v>
      </c>
      <c r="G21" s="36"/>
      <c r="H21" s="36"/>
      <c r="I21" s="36"/>
      <c r="J21" s="36"/>
      <c r="K21" s="36"/>
      <c r="L21" s="36" t="n">
        <f aca="false">4*F21</f>
        <v>651.431228</v>
      </c>
      <c r="M21" s="36"/>
      <c r="N21" s="42" t="n">
        <f aca="false">L21+M21</f>
        <v>651.431228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2935.5230464225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2935.5230464225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162.857807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1442.63810029828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48.0879366766092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2450.5230464225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2935.5230464225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90.760112830463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91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0.0266694701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0.834782424688825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338</v>
      </c>
      <c r="B2" s="35"/>
      <c r="C2" s="35" t="n">
        <v>7010</v>
      </c>
      <c r="D2" s="35"/>
      <c r="E2" s="35" t="s">
        <v>369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382</v>
      </c>
      <c r="F5" s="46" t="n">
        <f aca="false">10.7639 *(1.8*2.7)</f>
        <v>52.312554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32.747658804</v>
      </c>
      <c r="M5" s="41"/>
      <c r="N5" s="42" t="n">
        <f aca="false">L5+M5</f>
        <v>32.747658804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337</v>
      </c>
      <c r="B6" s="38" t="n">
        <v>6</v>
      </c>
      <c r="C6" s="60" t="s">
        <v>104</v>
      </c>
      <c r="D6" s="38" t="s">
        <v>99</v>
      </c>
      <c r="E6" s="36" t="s">
        <v>317</v>
      </c>
      <c r="F6" s="46" t="n">
        <f aca="false">10.7639 *((1.7+1.6)*2.7)</f>
        <v>95.906349</v>
      </c>
      <c r="G6" s="36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210.130810659</v>
      </c>
      <c r="M6" s="41"/>
      <c r="N6" s="42" t="n">
        <f aca="false">L6+M6</f>
        <v>210.130810659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421</v>
      </c>
      <c r="B7" s="38" t="n">
        <v>2</v>
      </c>
      <c r="C7" s="60" t="s">
        <v>175</v>
      </c>
      <c r="D7" s="38" t="s">
        <v>106</v>
      </c>
      <c r="E7" s="36"/>
      <c r="F7" s="46" t="n">
        <f aca="false">10.7639 *(9.7)</f>
        <v>104.40983</v>
      </c>
      <c r="G7" s="36" t="n">
        <v>78</v>
      </c>
      <c r="H7" s="38" t="n">
        <v>110</v>
      </c>
      <c r="I7" s="41" t="n">
        <f aca="false">H7-G7</f>
        <v>32</v>
      </c>
      <c r="J7" s="38" t="n">
        <v>0.144</v>
      </c>
      <c r="K7" s="38" t="str">
        <f aca="false">_xlfn.UNICHAR(8595)</f>
        <v>↓</v>
      </c>
      <c r="L7" s="42" t="n">
        <f aca="false">F7*I7*J7</f>
        <v>481.12049664</v>
      </c>
      <c r="M7" s="41"/>
      <c r="N7" s="42" t="n">
        <f aca="false">L7+M7</f>
        <v>481.12049664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190</v>
      </c>
      <c r="B8" s="38" t="n">
        <v>2</v>
      </c>
      <c r="C8" s="60" t="s">
        <v>175</v>
      </c>
      <c r="D8" s="38" t="s">
        <v>106</v>
      </c>
      <c r="E8" s="38"/>
      <c r="F8" s="46" t="n">
        <f aca="false">10.7639 *(0.18)</f>
        <v>1.937502</v>
      </c>
      <c r="G8" s="36" t="n">
        <v>78</v>
      </c>
      <c r="H8" s="38" t="n">
        <v>80</v>
      </c>
      <c r="I8" s="41" t="n">
        <f aca="false">H8-G8</f>
        <v>2</v>
      </c>
      <c r="J8" s="38" t="n">
        <v>0.144</v>
      </c>
      <c r="K8" s="38" t="str">
        <f aca="false">_xlfn.UNICHAR(8595)</f>
        <v>↓</v>
      </c>
      <c r="L8" s="42" t="n">
        <f aca="false">F8*I8*J8</f>
        <v>0.558000576</v>
      </c>
      <c r="M8" s="41"/>
      <c r="N8" s="42" t="n">
        <f aca="false">L8+M8</f>
        <v>0.558000576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422</v>
      </c>
      <c r="B9" s="38" t="n">
        <v>1</v>
      </c>
      <c r="C9" s="60" t="s">
        <v>175</v>
      </c>
      <c r="D9" s="38" t="s">
        <v>90</v>
      </c>
      <c r="E9" s="38"/>
      <c r="F9" s="40" t="n">
        <f aca="false">10.7639 * (2.04)</f>
        <v>21.958356</v>
      </c>
      <c r="G9" s="36" t="n">
        <v>78</v>
      </c>
      <c r="H9" s="38" t="n">
        <v>85</v>
      </c>
      <c r="I9" s="41" t="n">
        <f aca="false">H9-G9</f>
        <v>7</v>
      </c>
      <c r="J9" s="38" t="n">
        <v>0.171</v>
      </c>
      <c r="K9" s="38" t="str">
        <f aca="false">_xlfn.UNICHAR(8593)</f>
        <v>↑</v>
      </c>
      <c r="L9" s="42" t="n">
        <f aca="false">F9*I9*J9</f>
        <v>26.284152132</v>
      </c>
      <c r="M9" s="41"/>
      <c r="N9" s="42" t="n">
        <f aca="false">L9+M9</f>
        <v>26.284152132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423</v>
      </c>
      <c r="B10" s="38" t="n">
        <v>1</v>
      </c>
      <c r="C10" s="60" t="s">
        <v>175</v>
      </c>
      <c r="D10" s="38" t="s">
        <v>90</v>
      </c>
      <c r="E10" s="38"/>
      <c r="F10" s="40" t="n">
        <f aca="false">10.7639 * (0.3)</f>
        <v>3.22917</v>
      </c>
      <c r="G10" s="36" t="n">
        <v>78</v>
      </c>
      <c r="H10" s="38" t="n">
        <v>120</v>
      </c>
      <c r="I10" s="41" t="n">
        <f aca="false">H10-G10</f>
        <v>42</v>
      </c>
      <c r="J10" s="38" t="n">
        <v>0.171</v>
      </c>
      <c r="K10" s="38" t="str">
        <f aca="false">_xlfn.UNICHAR(8593)</f>
        <v>↑</v>
      </c>
      <c r="L10" s="42" t="n">
        <f aca="false">F9*I10*J10</f>
        <v>157.704912792</v>
      </c>
      <c r="M10" s="36"/>
      <c r="N10" s="42" t="n">
        <f aca="false">L10+M10</f>
        <v>157.704912792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F9*Q10*R10</f>
        <v>0</v>
      </c>
    </row>
    <row r="11" customFormat="false" ht="13.8" hidden="false" customHeight="false" outlineLevel="0" collapsed="false">
      <c r="A11" s="45" t="s">
        <v>108</v>
      </c>
      <c r="B11" s="38" t="n">
        <v>3</v>
      </c>
      <c r="C11" s="39" t="s">
        <v>205</v>
      </c>
      <c r="D11" s="38" t="s">
        <v>99</v>
      </c>
      <c r="E11" s="36" t="s">
        <v>334</v>
      </c>
      <c r="F11" s="46" t="n">
        <f aca="false">10.7639 *(3.5*2.7)</f>
        <v>101.718855</v>
      </c>
      <c r="G11" s="36" t="n">
        <v>78</v>
      </c>
      <c r="H11" s="38" t="n">
        <v>95</v>
      </c>
      <c r="I11" s="41" t="n">
        <f aca="false">H11-G11</f>
        <v>17</v>
      </c>
      <c r="J11" s="38" t="n">
        <v>0.073</v>
      </c>
      <c r="K11" s="38" t="str">
        <f aca="false">_xlfn.UNICHAR(8596)</f>
        <v>↔</v>
      </c>
      <c r="L11" s="42" t="n">
        <f aca="false">F10*I11*J11</f>
        <v>4.00739997</v>
      </c>
      <c r="M11" s="36"/>
      <c r="N11" s="42" t="n">
        <f aca="false">L11+M11</f>
        <v>4.00739997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F10*Q11*R11</f>
        <v>0</v>
      </c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912.553431573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(15.13)</f>
        <v>162.857807</v>
      </c>
      <c r="G21" s="36"/>
      <c r="H21" s="36"/>
      <c r="I21" s="36"/>
      <c r="J21" s="36"/>
      <c r="K21" s="36"/>
      <c r="L21" s="36" t="n">
        <f aca="false">4*F21</f>
        <v>651.431228</v>
      </c>
      <c r="M21" s="36"/>
      <c r="N21" s="42" t="n">
        <f aca="false">L21+M21</f>
        <v>651.431228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3397.319059573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3397.319059573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162.857807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1442.63810029828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48.0879366766092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2912.319059573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3397.319059573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107.863668873074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108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0.0316516788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0.857240373513532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C41" activeCellId="0" sqref="C4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424</v>
      </c>
      <c r="B2" s="35"/>
      <c r="C2" s="35" t="n">
        <v>7011</v>
      </c>
      <c r="D2" s="35"/>
      <c r="E2" s="35" t="s">
        <v>369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382</v>
      </c>
      <c r="F5" s="46" t="n">
        <f aca="false">10.7639 *(1.8*2.7)</f>
        <v>52.312554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32.747658804</v>
      </c>
      <c r="M5" s="41"/>
      <c r="N5" s="42" t="n">
        <f aca="false">L5+M5</f>
        <v>32.747658804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425</v>
      </c>
      <c r="B6" s="38" t="n">
        <v>6</v>
      </c>
      <c r="C6" s="60" t="s">
        <v>104</v>
      </c>
      <c r="D6" s="38" t="s">
        <v>99</v>
      </c>
      <c r="E6" s="36" t="s">
        <v>317</v>
      </c>
      <c r="F6" s="46" t="n">
        <f aca="false">10.7639 *((1.7+1.6)*2.7)</f>
        <v>95.906349</v>
      </c>
      <c r="G6" s="36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210.130810659</v>
      </c>
      <c r="M6" s="41"/>
      <c r="N6" s="42" t="n">
        <f aca="false">L6+M6</f>
        <v>210.130810659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8" t="n">
        <v>6</v>
      </c>
      <c r="C7" s="39" t="s">
        <v>205</v>
      </c>
      <c r="D7" s="38" t="s">
        <v>99</v>
      </c>
      <c r="E7" s="36" t="s">
        <v>426</v>
      </c>
      <c r="F7" s="46" t="n">
        <f aca="false">10.7639 *((3.5+3.6)*2.7)</f>
        <v>206.343963</v>
      </c>
      <c r="G7" s="36" t="n">
        <v>78</v>
      </c>
      <c r="H7" s="38" t="n">
        <v>95</v>
      </c>
      <c r="I7" s="41" t="n">
        <f aca="false">H7-G7</f>
        <v>17</v>
      </c>
      <c r="J7" s="38" t="n">
        <v>0.073</v>
      </c>
      <c r="K7" s="38" t="str">
        <f aca="false">_xlfn.UNICHAR(8596)</f>
        <v>↔</v>
      </c>
      <c r="L7" s="42" t="n">
        <f aca="false">F7*I7*J7</f>
        <v>256.072858083</v>
      </c>
      <c r="M7" s="41"/>
      <c r="N7" s="42" t="n">
        <f aca="false">L7+M7</f>
        <v>256.072858083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1</v>
      </c>
      <c r="C8" s="60" t="s">
        <v>175</v>
      </c>
      <c r="D8" s="38" t="s">
        <v>90</v>
      </c>
      <c r="E8" s="38"/>
      <c r="F8" s="40" t="n">
        <f aca="false">10.7639 * (13.6)</f>
        <v>146.38904</v>
      </c>
      <c r="G8" s="36" t="n">
        <v>78</v>
      </c>
      <c r="H8" s="38" t="n">
        <v>95</v>
      </c>
      <c r="I8" s="41" t="n">
        <f aca="false">H8-G8</f>
        <v>17</v>
      </c>
      <c r="J8" s="38" t="n">
        <v>0.171</v>
      </c>
      <c r="K8" s="38" t="str">
        <f aca="false">_xlfn.UNICHAR(8593)</f>
        <v>↑</v>
      </c>
      <c r="L8" s="42" t="n">
        <f aca="false">F8*I8*J8</f>
        <v>425.55293928</v>
      </c>
      <c r="M8" s="41"/>
      <c r="N8" s="42" t="n">
        <f aca="false">L8+M8</f>
        <v>425.55293928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422</v>
      </c>
      <c r="B9" s="38" t="n">
        <v>1</v>
      </c>
      <c r="C9" s="60" t="s">
        <v>175</v>
      </c>
      <c r="D9" s="38" t="s">
        <v>90</v>
      </c>
      <c r="E9" s="38"/>
      <c r="F9" s="40" t="n">
        <f aca="false">10.7639 * (0.21)</f>
        <v>2.260419</v>
      </c>
      <c r="G9" s="36" t="n">
        <v>78</v>
      </c>
      <c r="H9" s="38" t="n">
        <v>80</v>
      </c>
      <c r="I9" s="41" t="n">
        <f aca="false">H9-G9</f>
        <v>2</v>
      </c>
      <c r="J9" s="38" t="n">
        <v>0.171</v>
      </c>
      <c r="K9" s="38" t="str">
        <f aca="false">_xlfn.UNICHAR(8593)</f>
        <v>↑</v>
      </c>
      <c r="L9" s="42" t="n">
        <f aca="false">F9*I9*J9</f>
        <v>0.773063298</v>
      </c>
      <c r="M9" s="41"/>
      <c r="N9" s="42" t="n">
        <f aca="false">L9+M9</f>
        <v>0.773063298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423</v>
      </c>
      <c r="B10" s="38" t="n">
        <v>1</v>
      </c>
      <c r="C10" s="60" t="s">
        <v>175</v>
      </c>
      <c r="D10" s="38" t="s">
        <v>90</v>
      </c>
      <c r="E10" s="38"/>
      <c r="F10" s="40" t="n">
        <f aca="false">10.7639 * (0.31)</f>
        <v>3.336809</v>
      </c>
      <c r="G10" s="36" t="n">
        <v>78</v>
      </c>
      <c r="H10" s="38" t="n">
        <v>120</v>
      </c>
      <c r="I10" s="41" t="n">
        <f aca="false">H10-G10</f>
        <v>42</v>
      </c>
      <c r="J10" s="38" t="n">
        <v>0.171</v>
      </c>
      <c r="K10" s="38" t="str">
        <f aca="false">_xlfn.UNICHAR(8593)</f>
        <v>↑</v>
      </c>
      <c r="L10" s="42" t="n">
        <f aca="false">F10*I10*J10</f>
        <v>23.964962238</v>
      </c>
      <c r="M10" s="36"/>
      <c r="N10" s="42" t="n">
        <f aca="false">L10+M10</f>
        <v>23.964962238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421</v>
      </c>
      <c r="B11" s="38" t="n">
        <v>2</v>
      </c>
      <c r="C11" s="60" t="s">
        <v>175</v>
      </c>
      <c r="D11" s="38" t="s">
        <v>106</v>
      </c>
      <c r="E11" s="38"/>
      <c r="F11" s="40" t="n">
        <f aca="false">10.7639 * (15.45)</f>
        <v>166.302255</v>
      </c>
      <c r="G11" s="36" t="n">
        <v>78</v>
      </c>
      <c r="H11" s="38" t="n">
        <v>110</v>
      </c>
      <c r="I11" s="41" t="n">
        <f aca="false">H11-G11</f>
        <v>32</v>
      </c>
      <c r="J11" s="38" t="n">
        <v>0.144</v>
      </c>
      <c r="K11" s="38" t="str">
        <f aca="false">_xlfn.UNICHAR(8595)</f>
        <v>↓</v>
      </c>
      <c r="L11" s="42" t="n">
        <f aca="false">F11*I11*J11</f>
        <v>766.32079104</v>
      </c>
      <c r="M11" s="36"/>
      <c r="N11" s="42" t="n">
        <f aca="false">L11+M11</f>
        <v>766.32079104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190</v>
      </c>
      <c r="B12" s="38" t="n">
        <v>2</v>
      </c>
      <c r="C12" s="60" t="s">
        <v>175</v>
      </c>
      <c r="D12" s="38" t="s">
        <v>106</v>
      </c>
      <c r="E12" s="36"/>
      <c r="F12" s="40" t="n">
        <f aca="false">10.7639 * (0.19)</f>
        <v>2.045141</v>
      </c>
      <c r="G12" s="36" t="n">
        <v>78</v>
      </c>
      <c r="H12" s="38" t="n">
        <v>80</v>
      </c>
      <c r="I12" s="41" t="n">
        <f aca="false">H12-G12</f>
        <v>2</v>
      </c>
      <c r="J12" s="38" t="n">
        <v>0.144</v>
      </c>
      <c r="K12" s="38" t="str">
        <f aca="false">_xlfn.UNICHAR(8595)</f>
        <v>↓</v>
      </c>
      <c r="L12" s="42" t="n">
        <f aca="false">F12*I12*J12</f>
        <v>0.589000608</v>
      </c>
      <c r="M12" s="36"/>
      <c r="N12" s="42" t="n">
        <f aca="false">L12+M12</f>
        <v>0.589000608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1716.15208401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(15.64)</f>
        <v>168.347396</v>
      </c>
      <c r="G21" s="36"/>
      <c r="H21" s="36"/>
      <c r="I21" s="36"/>
      <c r="J21" s="36"/>
      <c r="K21" s="36"/>
      <c r="L21" s="36" t="n">
        <f aca="false">4*F21</f>
        <v>673.389584</v>
      </c>
      <c r="M21" s="36"/>
      <c r="N21" s="42" t="n">
        <f aca="false">L21+M21</f>
        <v>673.389584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4222.87606801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4222.87606801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168.347396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1491.26635087013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49.7088783623376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3737.87606801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4222.87606801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138.439854370741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139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0.0407368829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0.88514936451153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33" activeCellId="0" sqref="A3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378</v>
      </c>
      <c r="B2" s="35"/>
      <c r="C2" s="35" t="n">
        <v>8001</v>
      </c>
      <c r="D2" s="35"/>
      <c r="E2" s="35" t="s">
        <v>427</v>
      </c>
      <c r="F2" s="35" t="s">
        <v>428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246</v>
      </c>
      <c r="F5" s="46" t="n">
        <f aca="false">10.7639 *(1*2.7)</f>
        <v>29.06253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18.19314378</v>
      </c>
      <c r="M5" s="41"/>
      <c r="N5" s="42" t="n">
        <f aca="false">L5+M5</f>
        <v>18.19314378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39" t="s">
        <v>205</v>
      </c>
      <c r="D6" s="38" t="s">
        <v>99</v>
      </c>
      <c r="E6" s="36" t="s">
        <v>429</v>
      </c>
      <c r="F6" s="46" t="n">
        <f aca="false">10.7639 *((3.2+3.8)*2.7)</f>
        <v>203.43771</v>
      </c>
      <c r="G6" s="36" t="n">
        <v>78</v>
      </c>
      <c r="H6" s="38" t="n">
        <v>95</v>
      </c>
      <c r="I6" s="41" t="n">
        <f aca="false">H6-G6</f>
        <v>17</v>
      </c>
      <c r="J6" s="38" t="n">
        <v>0.073</v>
      </c>
      <c r="K6" s="38" t="str">
        <f aca="false">_xlfn.UNICHAR(8596)</f>
        <v>↔</v>
      </c>
      <c r="L6" s="42" t="n">
        <f aca="false">F6*I6*J6</f>
        <v>252.46619811</v>
      </c>
      <c r="M6" s="41"/>
      <c r="N6" s="42" t="n">
        <f aca="false">L6+M6</f>
        <v>252.46619811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430</v>
      </c>
      <c r="B7" s="38" t="n">
        <v>6</v>
      </c>
      <c r="C7" s="60" t="s">
        <v>104</v>
      </c>
      <c r="D7" s="38" t="s">
        <v>99</v>
      </c>
      <c r="E7" s="36" t="s">
        <v>393</v>
      </c>
      <c r="F7" s="46" t="n">
        <f aca="false">10.7639 *(1.4*2.7)</f>
        <v>40.687542</v>
      </c>
      <c r="G7" s="36" t="n">
        <v>78</v>
      </c>
      <c r="H7" s="38" t="n">
        <v>120</v>
      </c>
      <c r="I7" s="41" t="n">
        <f aca="false">H7-G7</f>
        <v>42</v>
      </c>
      <c r="J7" s="38" t="n">
        <v>0.313</v>
      </c>
      <c r="K7" s="38" t="str">
        <f aca="false">_xlfn.UNICHAR(8596)</f>
        <v>↔</v>
      </c>
      <c r="L7" s="42" t="n">
        <f aca="false">F7*I7*J7</f>
        <v>534.878427132</v>
      </c>
      <c r="M7" s="41"/>
      <c r="N7" s="42" t="n">
        <f aca="false">L7+M7</f>
        <v>534.878427132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1</v>
      </c>
      <c r="C8" s="60" t="s">
        <v>175</v>
      </c>
      <c r="D8" s="38" t="s">
        <v>90</v>
      </c>
      <c r="E8" s="38"/>
      <c r="F8" s="40" t="n">
        <f aca="false">10.7639 * (13.56)</f>
        <v>145.958484</v>
      </c>
      <c r="G8" s="36" t="n">
        <v>78</v>
      </c>
      <c r="H8" s="38" t="n">
        <v>95</v>
      </c>
      <c r="I8" s="41" t="n">
        <f aca="false">H8-G8</f>
        <v>17</v>
      </c>
      <c r="J8" s="38" t="n">
        <v>0.171</v>
      </c>
      <c r="K8" s="38" t="str">
        <f aca="false">_xlfn.UNICHAR(8593)</f>
        <v>↑</v>
      </c>
      <c r="L8" s="42" t="n">
        <f aca="false">F8*I8*J8</f>
        <v>424.301312988</v>
      </c>
      <c r="M8" s="41"/>
      <c r="N8" s="42" t="n">
        <f aca="false">L8+M8</f>
        <v>424.301312988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377</v>
      </c>
      <c r="B9" s="38" t="n">
        <v>2</v>
      </c>
      <c r="C9" s="60" t="s">
        <v>175</v>
      </c>
      <c r="D9" s="38" t="s">
        <v>106</v>
      </c>
      <c r="E9" s="38"/>
      <c r="F9" s="40" t="n">
        <f aca="false">10.7639 * (0.51)</f>
        <v>5.489589</v>
      </c>
      <c r="G9" s="36" t="n">
        <v>78</v>
      </c>
      <c r="H9" s="38" t="n">
        <v>85</v>
      </c>
      <c r="I9" s="41" t="n">
        <f aca="false">H9-G9</f>
        <v>7</v>
      </c>
      <c r="J9" s="38" t="n">
        <v>0.144</v>
      </c>
      <c r="K9" s="38" t="str">
        <f aca="false">_xlfn.UNICHAR(8595)</f>
        <v>↓</v>
      </c>
      <c r="L9" s="42" t="n">
        <f aca="false">F9*I9*J9</f>
        <v>5.533505712</v>
      </c>
      <c r="M9" s="41"/>
      <c r="N9" s="42" t="n">
        <f aca="false">L9+M9</f>
        <v>5.533505712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190</v>
      </c>
      <c r="B10" s="38" t="n">
        <v>2</v>
      </c>
      <c r="C10" s="60" t="s">
        <v>175</v>
      </c>
      <c r="D10" s="38" t="s">
        <v>106</v>
      </c>
      <c r="E10" s="38"/>
      <c r="F10" s="40" t="n">
        <f aca="false">10.7639 * (0.1)</f>
        <v>1.07639</v>
      </c>
      <c r="G10" s="36" t="n">
        <v>78</v>
      </c>
      <c r="H10" s="38" t="n">
        <v>80</v>
      </c>
      <c r="I10" s="41" t="n">
        <f aca="false">H10-G10</f>
        <v>2</v>
      </c>
      <c r="J10" s="38" t="n">
        <v>0.144</v>
      </c>
      <c r="K10" s="38" t="str">
        <f aca="false">_xlfn.UNICHAR(8595)</f>
        <v>↓</v>
      </c>
      <c r="L10" s="42" t="n">
        <f aca="false">F10*I10*J10</f>
        <v>0.31000032</v>
      </c>
      <c r="M10" s="36"/>
      <c r="N10" s="42" t="n">
        <f aca="false">L10+M10</f>
        <v>0.31000032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1235.682588042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(13.56)</f>
        <v>145.958484</v>
      </c>
      <c r="G21" s="36"/>
      <c r="H21" s="36"/>
      <c r="I21" s="36"/>
      <c r="J21" s="36"/>
      <c r="K21" s="36"/>
      <c r="L21" s="36" t="n">
        <f aca="false">4*F21</f>
        <v>583.833936</v>
      </c>
      <c r="M21" s="36"/>
      <c r="N21" s="42" t="n">
        <f aca="false">L21+M21</f>
        <v>583.833936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3136.183724042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3136.183724042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145.958484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1292.93936814571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43.0979789381904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2651.183724042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3136.183724042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98.1919897793333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99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0.0290140389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0.845353447796445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49" colorId="64" zoomScale="100" zoomScaleNormal="100" zoomScalePageLayoutView="100" workbookViewId="0">
      <selection pane="topLeft" activeCell="A49" activeCellId="0" sqref="A49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431</v>
      </c>
      <c r="B2" s="35"/>
      <c r="C2" s="35" t="n">
        <v>1001</v>
      </c>
      <c r="D2" s="35"/>
      <c r="E2" s="35" t="s">
        <v>427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432</v>
      </c>
      <c r="F5" s="46" t="n">
        <f aca="false">10.7639 *(2.7*2.7)</f>
        <v>78.468831</v>
      </c>
      <c r="G5" s="36" t="n">
        <v>78</v>
      </c>
      <c r="H5" s="38" t="n">
        <v>80</v>
      </c>
      <c r="I5" s="41" t="n">
        <f aca="false">H5-G5</f>
        <v>2</v>
      </c>
      <c r="J5" s="38" t="n">
        <v>0.313</v>
      </c>
      <c r="K5" s="38" t="str">
        <f aca="false">_xlfn.UNICHAR(8596)</f>
        <v>↔</v>
      </c>
      <c r="L5" s="42" t="n">
        <f aca="false">F5*I5*J5</f>
        <v>49.121488206</v>
      </c>
      <c r="M5" s="41"/>
      <c r="N5" s="42" t="n">
        <f aca="false">L5+M5</f>
        <v>49.121488206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3</v>
      </c>
      <c r="C6" s="39" t="s">
        <v>205</v>
      </c>
      <c r="D6" s="38" t="s">
        <v>99</v>
      </c>
      <c r="E6" s="36" t="s">
        <v>433</v>
      </c>
      <c r="F6" s="46" t="n">
        <f aca="false">10.7639 *(2.7*3.8)</f>
        <v>110.437614</v>
      </c>
      <c r="G6" s="36" t="n">
        <v>78</v>
      </c>
      <c r="H6" s="38" t="n">
        <v>95</v>
      </c>
      <c r="I6" s="41" t="n">
        <f aca="false">H6-G6</f>
        <v>17</v>
      </c>
      <c r="J6" s="38" t="n">
        <v>0.073</v>
      </c>
      <c r="K6" s="38" t="str">
        <f aca="false">_xlfn.UNICHAR(8596)</f>
        <v>↔</v>
      </c>
      <c r="L6" s="42" t="n">
        <f aca="false">F6*I6*J6</f>
        <v>137.053078974</v>
      </c>
      <c r="M6" s="41"/>
      <c r="N6" s="42" t="n">
        <f aca="false">L6+M6</f>
        <v>137.053078974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385</v>
      </c>
      <c r="B7" s="38" t="n">
        <v>6</v>
      </c>
      <c r="C7" s="60" t="s">
        <v>104</v>
      </c>
      <c r="D7" s="38" t="s">
        <v>99</v>
      </c>
      <c r="E7" s="36" t="s">
        <v>246</v>
      </c>
      <c r="F7" s="46" t="n">
        <f aca="false">10.7639 *(1*2.7)</f>
        <v>29.06253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63.67600323</v>
      </c>
      <c r="M7" s="41"/>
      <c r="N7" s="42" t="n">
        <f aca="false">L7+M7</f>
        <v>63.67600323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434</v>
      </c>
      <c r="B8" s="38" t="n">
        <v>6</v>
      </c>
      <c r="C8" s="60" t="s">
        <v>104</v>
      </c>
      <c r="D8" s="38" t="s">
        <v>99</v>
      </c>
      <c r="E8" s="36" t="s">
        <v>435</v>
      </c>
      <c r="F8" s="46" t="n">
        <f aca="false">10.7639 *((1.4+0.1)*2.7)</f>
        <v>43.593795</v>
      </c>
      <c r="G8" s="36" t="n">
        <v>78</v>
      </c>
      <c r="H8" s="38" t="n">
        <v>120</v>
      </c>
      <c r="I8" s="41" t="n">
        <f aca="false">H8-G8</f>
        <v>42</v>
      </c>
      <c r="J8" s="38" t="n">
        <v>0.313</v>
      </c>
      <c r="K8" s="38" t="str">
        <f aca="false">_xlfn.UNICHAR(8596)</f>
        <v>↔</v>
      </c>
      <c r="L8" s="42" t="n">
        <f aca="false">F8*I8*J8</f>
        <v>573.08402907</v>
      </c>
      <c r="M8" s="41"/>
      <c r="N8" s="42" t="n">
        <f aca="false">L8+M8</f>
        <v>573.08402907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381</v>
      </c>
      <c r="B9" s="38" t="n">
        <v>6</v>
      </c>
      <c r="C9" s="60" t="s">
        <v>104</v>
      </c>
      <c r="D9" s="38" t="s">
        <v>99</v>
      </c>
      <c r="E9" s="36" t="s">
        <v>399</v>
      </c>
      <c r="F9" s="46" t="n">
        <f aca="false">10.7639 *(1.3*2.7)</f>
        <v>37.781289</v>
      </c>
      <c r="G9" s="36" t="n">
        <v>78</v>
      </c>
      <c r="H9" s="38" t="n">
        <v>85</v>
      </c>
      <c r="I9" s="41" t="n">
        <f aca="false">H9-G9</f>
        <v>7</v>
      </c>
      <c r="J9" s="38" t="n">
        <v>0.313</v>
      </c>
      <c r="K9" s="38" t="str">
        <f aca="false">_xlfn.UNICHAR(8596)</f>
        <v>↔</v>
      </c>
      <c r="L9" s="42" t="n">
        <f aca="false">F9*I9*J9</f>
        <v>82.778804199</v>
      </c>
      <c r="M9" s="41"/>
      <c r="N9" s="42" t="n">
        <f aca="false">L9+M9</f>
        <v>82.778804199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430</v>
      </c>
      <c r="B10" s="38" t="n">
        <v>6</v>
      </c>
      <c r="C10" s="60" t="s">
        <v>104</v>
      </c>
      <c r="D10" s="38" t="s">
        <v>99</v>
      </c>
      <c r="E10" s="36" t="s">
        <v>361</v>
      </c>
      <c r="F10" s="46" t="n">
        <f aca="false">10.7639 *(0.1*2.7)</f>
        <v>2.906253</v>
      </c>
      <c r="G10" s="36" t="n">
        <v>78</v>
      </c>
      <c r="H10" s="38" t="n">
        <v>120</v>
      </c>
      <c r="I10" s="41" t="n">
        <f aca="false">H10-G10</f>
        <v>42</v>
      </c>
      <c r="J10" s="38" t="n">
        <v>0.313</v>
      </c>
      <c r="K10" s="38" t="str">
        <f aca="false">_xlfn.UNICHAR(8596)</f>
        <v>↔</v>
      </c>
      <c r="L10" s="42" t="n">
        <f aca="false">F10*I10*J10</f>
        <v>38.205601938</v>
      </c>
      <c r="M10" s="36"/>
      <c r="N10" s="42" t="n">
        <f aca="false">L10+M10</f>
        <v>38.205601938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108</v>
      </c>
      <c r="B11" s="38" t="n">
        <v>1</v>
      </c>
      <c r="C11" s="60" t="s">
        <v>175</v>
      </c>
      <c r="D11" s="38" t="s">
        <v>90</v>
      </c>
      <c r="E11" s="38"/>
      <c r="F11" s="46" t="n">
        <f aca="false">10.7639 *(10.5658)</f>
        <v>113.72921462</v>
      </c>
      <c r="G11" s="36" t="n">
        <v>78</v>
      </c>
      <c r="H11" s="38" t="n">
        <v>95</v>
      </c>
      <c r="I11" s="41" t="n">
        <f aca="false">H11-G11</f>
        <v>17</v>
      </c>
      <c r="J11" s="38" t="n">
        <v>0.171</v>
      </c>
      <c r="K11" s="38" t="str">
        <f aca="false">_xlfn.UNICHAR(8593)</f>
        <v>↑</v>
      </c>
      <c r="L11" s="42" t="n">
        <f aca="false">F11*I11*J11</f>
        <v>330.61082690034</v>
      </c>
      <c r="M11" s="36"/>
      <c r="N11" s="42" t="n">
        <f aca="false">L11+M11</f>
        <v>330.61082690034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436</v>
      </c>
      <c r="B12" s="38" t="n">
        <v>3</v>
      </c>
      <c r="C12" s="60" t="s">
        <v>175</v>
      </c>
      <c r="D12" s="38" t="s">
        <v>90</v>
      </c>
      <c r="E12" s="38"/>
      <c r="F12" s="40"/>
      <c r="G12" s="36" t="n">
        <v>78</v>
      </c>
      <c r="H12" s="38" t="n">
        <v>78</v>
      </c>
      <c r="I12" s="41" t="n">
        <f aca="false">H12-G12</f>
        <v>0</v>
      </c>
      <c r="J12" s="38" t="n">
        <v>0.171</v>
      </c>
      <c r="K12" s="38" t="str">
        <f aca="false">_xlfn.UNICHAR(8593)</f>
        <v>↑</v>
      </c>
      <c r="L12" s="42" t="n">
        <f aca="false">F12*I12*J12</f>
        <v>0</v>
      </c>
      <c r="M12" s="36"/>
      <c r="N12" s="42" t="n">
        <f aca="false">L12+M12</f>
        <v>0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364</v>
      </c>
      <c r="B13" s="38" t="n">
        <v>2</v>
      </c>
      <c r="C13" s="60" t="s">
        <v>175</v>
      </c>
      <c r="D13" s="38" t="s">
        <v>106</v>
      </c>
      <c r="E13" s="36"/>
      <c r="F13" s="46" t="n">
        <f aca="false">10.7639 *(2.42)</f>
        <v>26.048638</v>
      </c>
      <c r="G13" s="36" t="n">
        <v>78</v>
      </c>
      <c r="H13" s="38" t="n">
        <v>85</v>
      </c>
      <c r="I13" s="41" t="n">
        <f aca="false">H13-G13</f>
        <v>7</v>
      </c>
      <c r="J13" s="38" t="n">
        <v>0.144</v>
      </c>
      <c r="K13" s="38" t="str">
        <f aca="false">_xlfn.UNICHAR(8595)</f>
        <v>↓</v>
      </c>
      <c r="L13" s="42" t="n">
        <f aca="false">F13*I13*J13</f>
        <v>26.257027104</v>
      </c>
      <c r="M13" s="36"/>
      <c r="N13" s="42" t="n">
        <f aca="false">L13+M13</f>
        <v>26.257027104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437</v>
      </c>
      <c r="B14" s="38" t="n">
        <v>2</v>
      </c>
      <c r="C14" s="60" t="s">
        <v>175</v>
      </c>
      <c r="D14" s="38" t="s">
        <v>106</v>
      </c>
      <c r="E14" s="36"/>
      <c r="F14" s="46" t="n">
        <f aca="false">10.7639 *(0.3)</f>
        <v>3.22917</v>
      </c>
      <c r="G14" s="36" t="n">
        <v>78</v>
      </c>
      <c r="H14" s="38" t="n">
        <v>120</v>
      </c>
      <c r="I14" s="41" t="n">
        <f aca="false">H14-G14</f>
        <v>42</v>
      </c>
      <c r="J14" s="38" t="n">
        <v>0.144</v>
      </c>
      <c r="K14" s="38" t="str">
        <f aca="false">_xlfn.UNICHAR(8595)</f>
        <v>↓</v>
      </c>
      <c r="L14" s="42" t="n">
        <f aca="false">F14*I14*J14</f>
        <v>19.53002016</v>
      </c>
      <c r="M14" s="36"/>
      <c r="N14" s="42" t="n">
        <f aca="false">L14+M14</f>
        <v>19.53002016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 t="s">
        <v>330</v>
      </c>
      <c r="B15" s="38" t="n">
        <v>2</v>
      </c>
      <c r="C15" s="60" t="s">
        <v>175</v>
      </c>
      <c r="D15" s="38" t="s">
        <v>106</v>
      </c>
      <c r="E15" s="36"/>
      <c r="F15" s="46" t="n">
        <f aca="false">10.7639 *(1.51)</f>
        <v>16.253489</v>
      </c>
      <c r="G15" s="36" t="n">
        <v>78</v>
      </c>
      <c r="H15" s="38" t="n">
        <v>85</v>
      </c>
      <c r="I15" s="41" t="n">
        <f aca="false">H15-G15</f>
        <v>7</v>
      </c>
      <c r="J15" s="38" t="n">
        <v>0.144</v>
      </c>
      <c r="K15" s="38" t="str">
        <f aca="false">_xlfn.UNICHAR(8595)</f>
        <v>↓</v>
      </c>
      <c r="L15" s="42" t="n">
        <f aca="false">F15*I15*J15</f>
        <v>16.383516912</v>
      </c>
      <c r="M15" s="36"/>
      <c r="N15" s="42" t="n">
        <f aca="false">L15+M15</f>
        <v>16.383516912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45" t="s">
        <v>438</v>
      </c>
      <c r="B16" s="38" t="n">
        <v>2</v>
      </c>
      <c r="C16" s="60" t="s">
        <v>175</v>
      </c>
      <c r="D16" s="38" t="s">
        <v>106</v>
      </c>
      <c r="E16" s="36"/>
      <c r="F16" s="46" t="n">
        <f aca="false">10.7639 *(0.3)</f>
        <v>3.22917</v>
      </c>
      <c r="G16" s="36" t="n">
        <v>78</v>
      </c>
      <c r="H16" s="38" t="n">
        <v>120</v>
      </c>
      <c r="I16" s="41" t="n">
        <f aca="false">H16-G16</f>
        <v>42</v>
      </c>
      <c r="J16" s="38" t="n">
        <v>0.144</v>
      </c>
      <c r="K16" s="38" t="str">
        <f aca="false">_xlfn.UNICHAR(8595)</f>
        <v>↓</v>
      </c>
      <c r="L16" s="42" t="n">
        <f aca="false">F16*I16*J16</f>
        <v>19.53002016</v>
      </c>
      <c r="M16" s="36"/>
      <c r="N16" s="42" t="n">
        <f aca="false">L16+M16</f>
        <v>19.53002016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 t="s">
        <v>190</v>
      </c>
      <c r="B17" s="38" t="n">
        <v>2</v>
      </c>
      <c r="C17" s="60" t="s">
        <v>175</v>
      </c>
      <c r="D17" s="38" t="s">
        <v>106</v>
      </c>
      <c r="E17" s="36"/>
      <c r="F17" s="46" t="n">
        <f aca="false">10.7639 *(0.27)</f>
        <v>2.906253</v>
      </c>
      <c r="G17" s="36" t="n">
        <v>78</v>
      </c>
      <c r="H17" s="38" t="n">
        <v>80</v>
      </c>
      <c r="I17" s="41" t="n">
        <f aca="false">H17-G17</f>
        <v>2</v>
      </c>
      <c r="J17" s="38" t="n">
        <v>0.144</v>
      </c>
      <c r="K17" s="38" t="str">
        <f aca="false">_xlfn.UNICHAR(8595)</f>
        <v>↓</v>
      </c>
      <c r="L17" s="42" t="n">
        <f aca="false">F17*I17*J17</f>
        <v>0.837000864</v>
      </c>
      <c r="M17" s="36"/>
      <c r="N17" s="42" t="n">
        <f aca="false">L17+M17</f>
        <v>0.837000864</v>
      </c>
      <c r="O17" s="38" t="n">
        <v>70</v>
      </c>
      <c r="P17" s="38" t="n">
        <v>70</v>
      </c>
      <c r="Q17" s="41" t="n">
        <f aca="false">O17-P17</f>
        <v>0</v>
      </c>
      <c r="R17" s="38"/>
      <c r="S17" s="38"/>
      <c r="T17" s="43" t="n">
        <f aca="false">F17*Q17*R17</f>
        <v>0</v>
      </c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1357.06741771734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(18.22)</f>
        <v>196.118258</v>
      </c>
      <c r="G21" s="36"/>
      <c r="H21" s="36"/>
      <c r="I21" s="36"/>
      <c r="J21" s="36"/>
      <c r="K21" s="36"/>
      <c r="L21" s="36" t="n">
        <f aca="false">4*F21</f>
        <v>784.473032</v>
      </c>
      <c r="M21" s="36"/>
      <c r="N21" s="42" t="n">
        <f aca="false">L21+M21</f>
        <v>784.473032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3974.87484971734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3974.87484971734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196.118258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1737.26808905714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57.9089363019048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3489.87484971734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3974.87484971734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129.254624063605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130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0.038099243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0.877983579776231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380</v>
      </c>
      <c r="B2" s="35"/>
      <c r="C2" s="35" t="n">
        <v>1001</v>
      </c>
      <c r="D2" s="35"/>
      <c r="E2" s="35" t="s">
        <v>427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108</v>
      </c>
      <c r="B5" s="38" t="n">
        <v>3</v>
      </c>
      <c r="C5" s="39" t="s">
        <v>205</v>
      </c>
      <c r="D5" s="38" t="s">
        <v>99</v>
      </c>
      <c r="E5" s="36" t="s">
        <v>439</v>
      </c>
      <c r="F5" s="46" t="n">
        <f aca="false">10.7639 *(2.2*2.7)</f>
        <v>63.937566</v>
      </c>
      <c r="G5" s="36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79.346519406</v>
      </c>
      <c r="M5" s="41"/>
      <c r="N5" s="42" t="n">
        <f aca="false">L5+M5</f>
        <v>79.346519406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381</v>
      </c>
      <c r="B6" s="38" t="n">
        <v>6</v>
      </c>
      <c r="C6" s="60" t="s">
        <v>104</v>
      </c>
      <c r="D6" s="38" t="s">
        <v>99</v>
      </c>
      <c r="E6" s="36" t="s">
        <v>352</v>
      </c>
      <c r="F6" s="46" t="n">
        <f aca="false">10.7639 *(2.1*2.7)</f>
        <v>61.031313</v>
      </c>
      <c r="G6" s="36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133.719606783</v>
      </c>
      <c r="M6" s="41"/>
      <c r="N6" s="42" t="n">
        <f aca="false">L6+M6</f>
        <v>133.719606783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430</v>
      </c>
      <c r="B7" s="38" t="n">
        <v>6</v>
      </c>
      <c r="C7" s="60" t="s">
        <v>104</v>
      </c>
      <c r="D7" s="38" t="s">
        <v>99</v>
      </c>
      <c r="E7" s="36" t="s">
        <v>361</v>
      </c>
      <c r="F7" s="46" t="n">
        <f aca="false">10.7639 *(0.1*2.7)</f>
        <v>2.906253</v>
      </c>
      <c r="G7" s="36" t="n">
        <v>78</v>
      </c>
      <c r="H7" s="38" t="n">
        <v>120</v>
      </c>
      <c r="I7" s="41" t="n">
        <f aca="false">H7-G7</f>
        <v>42</v>
      </c>
      <c r="J7" s="38" t="n">
        <v>0.313</v>
      </c>
      <c r="K7" s="38" t="str">
        <f aca="false">_xlfn.UNICHAR(8596)</f>
        <v>↔</v>
      </c>
      <c r="L7" s="42" t="n">
        <f aca="false">F7*I7*J7</f>
        <v>38.205601938</v>
      </c>
      <c r="M7" s="41"/>
      <c r="N7" s="42" t="n">
        <f aca="false">L7+M7</f>
        <v>38.205601938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1</v>
      </c>
      <c r="C8" s="60" t="s">
        <v>175</v>
      </c>
      <c r="D8" s="38" t="s">
        <v>90</v>
      </c>
      <c r="E8" s="38"/>
      <c r="F8" s="46" t="n">
        <f aca="false">10.7639 *(8.36)</f>
        <v>89.986204</v>
      </c>
      <c r="G8" s="36" t="n">
        <v>78</v>
      </c>
      <c r="H8" s="38" t="n">
        <v>95</v>
      </c>
      <c r="I8" s="41" t="n">
        <f aca="false">H8-G8</f>
        <v>17</v>
      </c>
      <c r="J8" s="38" t="n">
        <v>0.171</v>
      </c>
      <c r="K8" s="38" t="str">
        <f aca="false">_xlfn.UNICHAR(8593)</f>
        <v>↑</v>
      </c>
      <c r="L8" s="42" t="n">
        <f aca="false">F8*I8*J8</f>
        <v>261.589895028</v>
      </c>
      <c r="M8" s="41"/>
      <c r="N8" s="42" t="n">
        <f aca="false">L8+M8</f>
        <v>261.589895028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/>
      <c r="B9" s="38"/>
      <c r="C9" s="60"/>
      <c r="D9" s="38"/>
      <c r="E9" s="38"/>
      <c r="F9" s="40"/>
      <c r="G9" s="36"/>
      <c r="H9" s="38"/>
      <c r="I9" s="41"/>
      <c r="J9" s="38"/>
      <c r="K9" s="38"/>
      <c r="L9" s="42"/>
      <c r="M9" s="41"/>
      <c r="N9" s="42"/>
      <c r="O9" s="38"/>
      <c r="P9" s="38"/>
      <c r="Q9" s="41"/>
      <c r="R9" s="38"/>
      <c r="S9" s="38"/>
      <c r="T9" s="43"/>
    </row>
    <row r="10" customFormat="false" ht="13.8" hidden="false" customHeight="false" outlineLevel="0" collapsed="false">
      <c r="A10" s="45"/>
      <c r="B10" s="38"/>
      <c r="C10" s="60"/>
      <c r="D10" s="38"/>
      <c r="E10" s="38"/>
      <c r="F10" s="40"/>
      <c r="G10" s="36"/>
      <c r="H10" s="38"/>
      <c r="I10" s="41"/>
      <c r="J10" s="38"/>
      <c r="K10" s="38"/>
      <c r="L10" s="42"/>
      <c r="M10" s="36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512.861623155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6" t="n">
        <f aca="false">10.7639 *(8.36)</f>
        <v>89.986204</v>
      </c>
      <c r="G21" s="36"/>
      <c r="H21" s="36"/>
      <c r="I21" s="36"/>
      <c r="J21" s="36"/>
      <c r="K21" s="36"/>
      <c r="L21" s="36" t="n">
        <f aca="false">4*F21</f>
        <v>359.944816</v>
      </c>
      <c r="M21" s="36"/>
      <c r="N21" s="40" t="n">
        <f aca="false">L21+M21</f>
        <v>359.944816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2189.473639155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2189.473639155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72" t="n">
        <f aca="false">$F$21</f>
        <v>89.986204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72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3" t="n">
        <f aca="false">F35*F36</f>
        <v>797.121911334672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9" t="n">
        <f aca="false">F37/30</f>
        <v>26.5707303778224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3" t="n">
        <f aca="false">SUM($L$5:$L$28)</f>
        <v>1704.473639155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3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3" t="n">
        <f aca="false">$N$29</f>
        <v>2189.473639155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3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9" t="n">
        <f aca="false">F39/(1.08*F33)</f>
        <v>63.128653302037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64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0.0187565504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0.778485572364699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4" activeCellId="0" sqref="C34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440</v>
      </c>
      <c r="B2" s="35"/>
      <c r="C2" s="35" t="n">
        <v>1001</v>
      </c>
      <c r="D2" s="35"/>
      <c r="E2" s="35" t="s">
        <v>427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190</v>
      </c>
      <c r="B5" s="38" t="n">
        <v>6</v>
      </c>
      <c r="C5" s="60" t="s">
        <v>104</v>
      </c>
      <c r="D5" s="38" t="s">
        <v>99</v>
      </c>
      <c r="E5" s="36" t="s">
        <v>409</v>
      </c>
      <c r="F5" s="46" t="n">
        <f aca="false">10.7639 *(1.2*2.7)</f>
        <v>34.875036</v>
      </c>
      <c r="G5" s="36" t="n">
        <v>78</v>
      </c>
      <c r="H5" s="38" t="n">
        <v>78</v>
      </c>
      <c r="I5" s="41" t="n">
        <f aca="false">H5-G5</f>
        <v>0</v>
      </c>
      <c r="J5" s="38" t="n">
        <v>0.425</v>
      </c>
      <c r="K5" s="38" t="str">
        <f aca="false">_xlfn.UNICHAR(8596)</f>
        <v>↔</v>
      </c>
      <c r="L5" s="42" t="n">
        <f aca="false">F5*I5*J5</f>
        <v>0</v>
      </c>
      <c r="M5" s="41"/>
      <c r="N5" s="42" t="n">
        <f aca="false">L5+M5</f>
        <v>0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385</v>
      </c>
      <c r="B6" s="38" t="n">
        <v>6</v>
      </c>
      <c r="C6" s="60" t="s">
        <v>104</v>
      </c>
      <c r="D6" s="38" t="s">
        <v>99</v>
      </c>
      <c r="E6" s="36" t="s">
        <v>399</v>
      </c>
      <c r="F6" s="46" t="n">
        <f aca="false">10.7639 *(2.4*2.7)</f>
        <v>69.750072</v>
      </c>
      <c r="G6" s="36" t="n">
        <v>78</v>
      </c>
      <c r="H6" s="38" t="n">
        <v>78</v>
      </c>
      <c r="I6" s="41" t="n">
        <f aca="false">H6-G6</f>
        <v>0</v>
      </c>
      <c r="J6" s="38" t="n">
        <v>0.158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434</v>
      </c>
      <c r="B7" s="38" t="n">
        <v>6</v>
      </c>
      <c r="C7" s="60" t="s">
        <v>104</v>
      </c>
      <c r="D7" s="38" t="s">
        <v>99</v>
      </c>
      <c r="E7" s="36" t="s">
        <v>361</v>
      </c>
      <c r="F7" s="46" t="n">
        <f aca="false">10.7639 *(0.1*2.7)</f>
        <v>2.906253</v>
      </c>
      <c r="G7" s="36" t="n">
        <v>78</v>
      </c>
      <c r="H7" s="38" t="n">
        <v>110</v>
      </c>
      <c r="I7" s="41" t="n">
        <f aca="false">H7-G7</f>
        <v>32</v>
      </c>
      <c r="J7" s="38" t="n">
        <v>0.158</v>
      </c>
      <c r="K7" s="38" t="str">
        <f aca="false">_xlfn.UNICHAR(8596)</f>
        <v>↔</v>
      </c>
      <c r="L7" s="42" t="n">
        <f aca="false">F7*I7*J7</f>
        <v>14.694015168</v>
      </c>
      <c r="M7" s="41"/>
      <c r="N7" s="42" t="n">
        <f aca="false">L7+M7</f>
        <v>14.694015168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3</v>
      </c>
      <c r="C8" s="39" t="s">
        <v>205</v>
      </c>
      <c r="D8" s="38" t="s">
        <v>99</v>
      </c>
      <c r="E8" s="36" t="s">
        <v>441</v>
      </c>
      <c r="F8" s="46" t="n">
        <f aca="false">10.7639 *((3.8+4.25)*2.7)</f>
        <v>233.9533665</v>
      </c>
      <c r="G8" s="36" t="n">
        <v>78</v>
      </c>
      <c r="H8" s="38" t="n">
        <v>78</v>
      </c>
      <c r="I8" s="41" t="n">
        <f aca="false">H8-G8</f>
        <v>0</v>
      </c>
      <c r="J8" s="38" t="n">
        <v>0.171</v>
      </c>
      <c r="K8" s="38" t="str">
        <f aca="false">_xlfn.UNICHAR(8593)</f>
        <v>↑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108</v>
      </c>
      <c r="B9" s="38" t="n">
        <v>1</v>
      </c>
      <c r="C9" s="60" t="s">
        <v>175</v>
      </c>
      <c r="D9" s="38" t="s">
        <v>90</v>
      </c>
      <c r="E9" s="38"/>
      <c r="F9" s="40" t="n">
        <f aca="false">10.7639 * (6.4291)</f>
        <v>69.20218949</v>
      </c>
      <c r="G9" s="36" t="n">
        <v>78</v>
      </c>
      <c r="H9" s="38" t="n">
        <v>78</v>
      </c>
      <c r="I9" s="41" t="n">
        <f aca="false">H9-G9</f>
        <v>0</v>
      </c>
      <c r="J9" s="38" t="n">
        <v>0.171</v>
      </c>
      <c r="K9" s="38" t="str">
        <f aca="false">_xlfn.UNICHAR(8593)</f>
        <v>↑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320</v>
      </c>
      <c r="B10" s="38" t="n">
        <v>2</v>
      </c>
      <c r="C10" s="60" t="s">
        <v>175</v>
      </c>
      <c r="D10" s="38" t="s">
        <v>106</v>
      </c>
      <c r="E10" s="38"/>
      <c r="F10" s="46" t="n">
        <f aca="false">10.7639 *(0.45*2.1)</f>
        <v>10.1718855</v>
      </c>
      <c r="G10" s="36" t="n">
        <v>78</v>
      </c>
      <c r="H10" s="38" t="n">
        <v>110</v>
      </c>
      <c r="I10" s="41" t="n">
        <f aca="false">H10-G10</f>
        <v>32</v>
      </c>
      <c r="J10" s="38" t="n">
        <v>0.171</v>
      </c>
      <c r="K10" s="38" t="str">
        <f aca="false">_xlfn.UNICHAR(8593)</f>
        <v>↑</v>
      </c>
      <c r="L10" s="42" t="n">
        <f aca="false">F10*I10*J10</f>
        <v>55.660557456</v>
      </c>
      <c r="M10" s="36"/>
      <c r="N10" s="42" t="n">
        <f aca="false">L10+M10</f>
        <v>55.660557456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190</v>
      </c>
      <c r="B11" s="38" t="n">
        <v>2</v>
      </c>
      <c r="C11" s="60" t="s">
        <v>175</v>
      </c>
      <c r="D11" s="38" t="s">
        <v>106</v>
      </c>
      <c r="E11" s="38"/>
      <c r="F11" s="46" t="n">
        <f aca="false">10.7639 *(1.3*0.3)</f>
        <v>4.197921</v>
      </c>
      <c r="G11" s="36" t="n">
        <v>78</v>
      </c>
      <c r="H11" s="38" t="n">
        <v>78</v>
      </c>
      <c r="I11" s="41" t="n">
        <f aca="false">H11-G11</f>
        <v>0</v>
      </c>
      <c r="J11" s="38" t="n">
        <v>0.144</v>
      </c>
      <c r="K11" s="38" t="str">
        <f aca="false">_xlfn.UNICHAR(8595)</f>
        <v>↓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70.354572624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(0.6*0.5))*3</f>
        <v>9.68751</v>
      </c>
      <c r="G20" s="36"/>
      <c r="H20" s="36"/>
      <c r="I20" s="36"/>
      <c r="J20" s="36"/>
      <c r="K20" s="36"/>
      <c r="L20" s="38" t="n">
        <f aca="false">F20*160</f>
        <v>1550.0016</v>
      </c>
      <c r="M20" s="36"/>
      <c r="N20" s="42" t="n">
        <f aca="false">L20+M20</f>
        <v>1550.0016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(19.22)</f>
        <v>206.882158</v>
      </c>
      <c r="G21" s="36"/>
      <c r="H21" s="36"/>
      <c r="I21" s="36"/>
      <c r="J21" s="36"/>
      <c r="K21" s="36"/>
      <c r="L21" s="36" t="n">
        <f aca="false">6*F21</f>
        <v>1241.292948</v>
      </c>
      <c r="M21" s="36"/>
      <c r="N21" s="40" t="n">
        <f aca="false">L21+M21</f>
        <v>1241.292948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3661.649120624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3661.649120624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206.882158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1832.61759998234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61.0872533327448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3176.649120624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3661.649120624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117.653671134222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118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0.0345823898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0.867546019833449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442</v>
      </c>
      <c r="B2" s="35"/>
      <c r="C2" s="35" t="n">
        <v>1001</v>
      </c>
      <c r="D2" s="35"/>
      <c r="E2" s="35" t="s">
        <v>427</v>
      </c>
      <c r="F2" s="35" t="s">
        <v>443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108</v>
      </c>
      <c r="B5" s="38" t="n">
        <v>6</v>
      </c>
      <c r="C5" s="39" t="s">
        <v>205</v>
      </c>
      <c r="D5" s="38" t="s">
        <v>99</v>
      </c>
      <c r="E5" s="36" t="s">
        <v>439</v>
      </c>
      <c r="F5" s="46" t="n">
        <f aca="false">10.7639 *(2.2*2.7)</f>
        <v>63.937566</v>
      </c>
      <c r="G5" s="36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79.346519406</v>
      </c>
      <c r="M5" s="41"/>
      <c r="N5" s="42" t="n">
        <f aca="false">L5+M5</f>
        <v>79.346519406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385</v>
      </c>
      <c r="B6" s="38" t="n">
        <v>6</v>
      </c>
      <c r="C6" s="60" t="s">
        <v>104</v>
      </c>
      <c r="D6" s="38" t="s">
        <v>99</v>
      </c>
      <c r="E6" s="36" t="s">
        <v>359</v>
      </c>
      <c r="F6" s="46" t="n">
        <f aca="false">10.7639 *(1.1*2.7)</f>
        <v>31.968783</v>
      </c>
      <c r="G6" s="36" t="n">
        <v>78</v>
      </c>
      <c r="H6" s="38" t="n">
        <v>85</v>
      </c>
      <c r="I6" s="41" t="n">
        <f aca="false">H6-G6</f>
        <v>7</v>
      </c>
      <c r="J6" s="38" t="n">
        <v>0.313</v>
      </c>
      <c r="K6" s="38" t="str">
        <f aca="false">_xlfn.UNICHAR(8596)</f>
        <v>↔</v>
      </c>
      <c r="L6" s="42" t="n">
        <f aca="false">F6*I6*J6</f>
        <v>70.043603553</v>
      </c>
      <c r="M6" s="41"/>
      <c r="N6" s="42" t="n">
        <f aca="false">L6+M6</f>
        <v>70.043603553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8" t="n">
        <v>1</v>
      </c>
      <c r="C7" s="60" t="s">
        <v>175</v>
      </c>
      <c r="D7" s="38" t="s">
        <v>90</v>
      </c>
      <c r="E7" s="36"/>
      <c r="F7" s="46" t="n">
        <f aca="false">10.7639 *(0.0569)</f>
        <v>0.61246591</v>
      </c>
      <c r="G7" s="36" t="n">
        <v>78</v>
      </c>
      <c r="H7" s="38" t="n">
        <v>95</v>
      </c>
      <c r="I7" s="41" t="n">
        <f aca="false">H7-G7</f>
        <v>17</v>
      </c>
      <c r="J7" s="38" t="n">
        <v>0.171</v>
      </c>
      <c r="K7" s="38" t="str">
        <f aca="false">_xlfn.UNICHAR(8593)</f>
        <v>↑</v>
      </c>
      <c r="L7" s="42" t="n">
        <f aca="false">F7*I7*J7</f>
        <v>1.78043840037</v>
      </c>
      <c r="M7" s="41"/>
      <c r="N7" s="42" t="n">
        <f aca="false">L7+M7</f>
        <v>1.78043840037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/>
      <c r="B8" s="38"/>
      <c r="C8" s="60"/>
      <c r="D8" s="38"/>
      <c r="E8" s="38"/>
      <c r="F8" s="40"/>
      <c r="G8" s="36"/>
      <c r="H8" s="38"/>
      <c r="I8" s="41"/>
      <c r="J8" s="38"/>
      <c r="K8" s="38"/>
      <c r="L8" s="42"/>
      <c r="M8" s="41"/>
      <c r="N8" s="42"/>
      <c r="O8" s="38"/>
      <c r="P8" s="38"/>
      <c r="Q8" s="41"/>
      <c r="R8" s="38"/>
      <c r="S8" s="38"/>
      <c r="T8" s="43"/>
    </row>
    <row r="9" customFormat="false" ht="13.8" hidden="false" customHeight="false" outlineLevel="0" collapsed="false">
      <c r="A9" s="45"/>
      <c r="B9" s="38"/>
      <c r="C9" s="60"/>
      <c r="D9" s="38"/>
      <c r="E9" s="38"/>
      <c r="F9" s="40"/>
      <c r="G9" s="36"/>
      <c r="H9" s="38"/>
      <c r="I9" s="41"/>
      <c r="J9" s="38"/>
      <c r="K9" s="38"/>
      <c r="L9" s="42"/>
      <c r="M9" s="41"/>
      <c r="N9" s="42"/>
      <c r="O9" s="38"/>
      <c r="P9" s="38"/>
      <c r="Q9" s="41"/>
      <c r="R9" s="38"/>
      <c r="S9" s="38"/>
      <c r="T9" s="43"/>
    </row>
    <row r="10" customFormat="false" ht="13.8" hidden="false" customHeight="false" outlineLevel="0" collapsed="false">
      <c r="A10" s="45"/>
      <c r="B10" s="38"/>
      <c r="C10" s="60"/>
      <c r="D10" s="38"/>
      <c r="E10" s="38"/>
      <c r="F10" s="40"/>
      <c r="G10" s="36"/>
      <c r="H10" s="38"/>
      <c r="I10" s="41"/>
      <c r="J10" s="38"/>
      <c r="K10" s="38"/>
      <c r="L10" s="42"/>
      <c r="M10" s="36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151.17056135937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(0.6*0.5))*1</f>
        <v>3.22917</v>
      </c>
      <c r="G20" s="36"/>
      <c r="H20" s="36"/>
      <c r="I20" s="36"/>
      <c r="J20" s="36"/>
      <c r="K20" s="36"/>
      <c r="L20" s="38" t="n">
        <f aca="false">F20*160</f>
        <v>516.6672</v>
      </c>
      <c r="M20" s="36"/>
      <c r="N20" s="42" t="n">
        <f aca="false">L20+M20</f>
        <v>516.6672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(8.0575)</f>
        <v>86.73012425</v>
      </c>
      <c r="G21" s="36"/>
      <c r="H21" s="36"/>
      <c r="I21" s="36"/>
      <c r="J21" s="36"/>
      <c r="K21" s="36"/>
      <c r="L21" s="36" t="n">
        <f aca="false">4*F21</f>
        <v>346.920497</v>
      </c>
      <c r="M21" s="36"/>
      <c r="N21" s="40" t="n">
        <f aca="false">L21+M21</f>
        <v>346.920497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1814.75825835937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1814.75825835937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86.73012425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768.278684279799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25.6092894759933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1329.75825835937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1814.75825835937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49.2503058651619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50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0.014653555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0.732746773425093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33" activeCellId="0" sqref="A33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444</v>
      </c>
      <c r="B2" s="35"/>
      <c r="C2" s="35" t="n">
        <v>1001</v>
      </c>
      <c r="D2" s="35"/>
      <c r="E2" s="35" t="s">
        <v>427</v>
      </c>
      <c r="F2" s="35" t="s">
        <v>410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108</v>
      </c>
      <c r="B5" s="38" t="n">
        <v>3</v>
      </c>
      <c r="C5" s="39" t="s">
        <v>205</v>
      </c>
      <c r="D5" s="61" t="s">
        <v>99</v>
      </c>
      <c r="E5" s="38" t="s">
        <v>445</v>
      </c>
      <c r="F5" s="40" t="n">
        <f aca="false">10.7639 *(7.3*2.7)</f>
        <v>212.156469</v>
      </c>
      <c r="G5" s="36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263.286178029</v>
      </c>
      <c r="M5" s="41"/>
      <c r="N5" s="42" t="n">
        <f aca="false">L5+M5</f>
        <v>263.286178029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190</v>
      </c>
      <c r="B6" s="38" t="n">
        <v>6</v>
      </c>
      <c r="C6" s="60" t="s">
        <v>104</v>
      </c>
      <c r="D6" s="38" t="s">
        <v>99</v>
      </c>
      <c r="E6" s="38" t="s">
        <v>446</v>
      </c>
      <c r="F6" s="40" t="n">
        <f aca="false">10.7639 *((1+1.9+1.1)*2.7)</f>
        <v>116.25012</v>
      </c>
      <c r="G6" s="36" t="n">
        <v>78</v>
      </c>
      <c r="H6" s="38" t="n">
        <v>80</v>
      </c>
      <c r="I6" s="41" t="n">
        <f aca="false">H6-G6</f>
        <v>2</v>
      </c>
      <c r="J6" s="38" t="n">
        <v>0.313</v>
      </c>
      <c r="K6" s="38" t="str">
        <f aca="false">_xlfn.UNICHAR(8596)</f>
        <v>↔</v>
      </c>
      <c r="L6" s="42" t="n">
        <f aca="false">F6*I6*J6</f>
        <v>72.77257512</v>
      </c>
      <c r="M6" s="41"/>
      <c r="N6" s="42" t="n">
        <f aca="false">L6+M6</f>
        <v>72.77257512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8" t="n">
        <v>3</v>
      </c>
      <c r="C7" s="60" t="s">
        <v>175</v>
      </c>
      <c r="D7" s="38" t="s">
        <v>90</v>
      </c>
      <c r="E7" s="36"/>
      <c r="F7" s="40" t="n">
        <f aca="false">10.7639 *(5.84)</f>
        <v>62.861176</v>
      </c>
      <c r="G7" s="36" t="n">
        <v>78</v>
      </c>
      <c r="H7" s="38" t="n">
        <v>95</v>
      </c>
      <c r="I7" s="41" t="n">
        <f aca="false">H7-G7</f>
        <v>17</v>
      </c>
      <c r="J7" s="38" t="n">
        <v>0.171</v>
      </c>
      <c r="K7" s="38" t="str">
        <f aca="false">_xlfn.UNICHAR(8593)</f>
        <v>↑</v>
      </c>
      <c r="L7" s="42" t="n">
        <f aca="false">F7*I7*J7</f>
        <v>182.737438632</v>
      </c>
      <c r="M7" s="41"/>
      <c r="N7" s="42" t="n">
        <f aca="false">L7+M7</f>
        <v>182.737438632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346</v>
      </c>
      <c r="B8" s="38" t="n">
        <v>2</v>
      </c>
      <c r="C8" s="60" t="s">
        <v>175</v>
      </c>
      <c r="D8" s="38" t="s">
        <v>106</v>
      </c>
      <c r="E8" s="38"/>
      <c r="F8" s="40" t="n">
        <f aca="false">10.7639 *(3.15)</f>
        <v>33.906285</v>
      </c>
      <c r="G8" s="36" t="n">
        <v>78</v>
      </c>
      <c r="H8" s="38" t="n">
        <v>85</v>
      </c>
      <c r="I8" s="41" t="n">
        <f aca="false">H8-G8</f>
        <v>7</v>
      </c>
      <c r="J8" s="38" t="n">
        <v>0.144</v>
      </c>
      <c r="K8" s="38" t="str">
        <f aca="false">_xlfn.UNICHAR(8595)</f>
        <v>↓</v>
      </c>
      <c r="L8" s="42" t="n">
        <f aca="false">F8*I8*J8</f>
        <v>34.17753528</v>
      </c>
      <c r="M8" s="41"/>
      <c r="N8" s="42" t="n">
        <f aca="false">L8+M8</f>
        <v>34.17753528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344</v>
      </c>
      <c r="B9" s="38" t="n">
        <v>2</v>
      </c>
      <c r="C9" s="60" t="s">
        <v>175</v>
      </c>
      <c r="D9" s="38" t="s">
        <v>106</v>
      </c>
      <c r="E9" s="38"/>
      <c r="F9" s="40" t="n">
        <f aca="false">10.7639 *(1.785)</f>
        <v>19.2135615</v>
      </c>
      <c r="G9" s="36" t="n">
        <v>78</v>
      </c>
      <c r="H9" s="38" t="n">
        <v>80</v>
      </c>
      <c r="I9" s="41" t="n">
        <f aca="false">H9-G9</f>
        <v>2</v>
      </c>
      <c r="J9" s="38" t="n">
        <v>0.144</v>
      </c>
      <c r="K9" s="38" t="str">
        <f aca="false">_xlfn.UNICHAR(8595)</f>
        <v>↓</v>
      </c>
      <c r="L9" s="42" t="n">
        <f aca="false">F9*I9*J9</f>
        <v>5.533505712</v>
      </c>
      <c r="M9" s="41"/>
      <c r="N9" s="42" t="n">
        <f aca="false">L9+M9</f>
        <v>5.533505712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190</v>
      </c>
      <c r="B10" s="38" t="n">
        <v>2</v>
      </c>
      <c r="C10" s="60" t="s">
        <v>175</v>
      </c>
      <c r="D10" s="38" t="s">
        <v>106</v>
      </c>
      <c r="E10" s="38"/>
      <c r="F10" s="40" t="n">
        <f aca="false">10.7639 *(0.57)</f>
        <v>6.135423</v>
      </c>
      <c r="G10" s="36" t="n">
        <v>78</v>
      </c>
      <c r="H10" s="38" t="n">
        <v>80</v>
      </c>
      <c r="I10" s="41" t="n">
        <f aca="false">H10-G10</f>
        <v>2</v>
      </c>
      <c r="J10" s="38" t="n">
        <v>0.144</v>
      </c>
      <c r="K10" s="38" t="str">
        <f aca="false">_xlfn.UNICHAR(8595)</f>
        <v>↓</v>
      </c>
      <c r="L10" s="42" t="n">
        <f aca="false">F10*I10*J10</f>
        <v>1.767001824</v>
      </c>
      <c r="M10" s="36"/>
      <c r="N10" s="42" t="n">
        <f aca="false">L10+M10</f>
        <v>1.767001824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320</v>
      </c>
      <c r="B11" s="38" t="n">
        <v>2</v>
      </c>
      <c r="C11" s="60" t="s">
        <v>175</v>
      </c>
      <c r="D11" s="38" t="s">
        <v>106</v>
      </c>
      <c r="E11" s="38"/>
      <c r="F11" s="40" t="n">
        <f aca="false">10.7639 *(2.205)</f>
        <v>23.7343995</v>
      </c>
      <c r="G11" s="36" t="n">
        <v>78</v>
      </c>
      <c r="H11" s="38" t="n">
        <v>85</v>
      </c>
      <c r="I11" s="41" t="n">
        <f aca="false">H11-G11</f>
        <v>7</v>
      </c>
      <c r="J11" s="38" t="n">
        <v>0.144</v>
      </c>
      <c r="K11" s="38" t="str">
        <f aca="false">_xlfn.UNICHAR(8595)</f>
        <v>↓</v>
      </c>
      <c r="L11" s="42" t="n">
        <f aca="false">F11*I11*J11</f>
        <v>23.924274696</v>
      </c>
      <c r="M11" s="36"/>
      <c r="N11" s="42" t="n">
        <f aca="false">L11+M11</f>
        <v>23.924274696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584.198509293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(0.6*0.5))*4</f>
        <v>12.91668</v>
      </c>
      <c r="G20" s="36"/>
      <c r="H20" s="36"/>
      <c r="I20" s="36"/>
      <c r="J20" s="36"/>
      <c r="K20" s="36"/>
      <c r="L20" s="38" t="n">
        <f aca="false">F20*160</f>
        <v>2066.6688</v>
      </c>
      <c r="M20" s="36"/>
      <c r="N20" s="42" t="n">
        <f aca="false">L20+M20</f>
        <v>2066.6688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(30.125)</f>
        <v>324.2624875</v>
      </c>
      <c r="G21" s="36"/>
      <c r="H21" s="36"/>
      <c r="I21" s="36"/>
      <c r="J21" s="36"/>
      <c r="K21" s="36"/>
      <c r="L21" s="36" t="n">
        <f aca="false">4*F21</f>
        <v>1297.04995</v>
      </c>
      <c r="M21" s="36"/>
      <c r="N21" s="40" t="n">
        <f aca="false">L21+M21</f>
        <v>1297.04995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8*315</f>
        <v>2520</v>
      </c>
      <c r="M26" s="38" t="n">
        <f aca="false">8*485</f>
        <v>3880</v>
      </c>
      <c r="N26" s="43" t="n">
        <f aca="false">L26+M26</f>
        <v>6400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10347.917259293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10347.917259293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324.2624875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2872.40401662165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95.746800554055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6467.917259293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3880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10347.917259293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239.552491084926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240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0.070337064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0.625045320446919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39" activeCellId="0" sqref="E39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447</v>
      </c>
      <c r="B2" s="35"/>
      <c r="C2" s="35" t="n">
        <v>1001</v>
      </c>
      <c r="D2" s="35"/>
      <c r="E2" s="35" t="s">
        <v>427</v>
      </c>
      <c r="F2" s="35" t="s">
        <v>448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210</v>
      </c>
      <c r="B5" s="38" t="n">
        <v>6</v>
      </c>
      <c r="C5" s="60" t="s">
        <v>175</v>
      </c>
      <c r="D5" s="38" t="s">
        <v>99</v>
      </c>
      <c r="E5" s="38"/>
      <c r="F5" s="46" t="n">
        <f aca="false">10.7639 *(2.1*2.7)</f>
        <v>61.031313</v>
      </c>
      <c r="G5" s="36" t="n">
        <v>78</v>
      </c>
      <c r="H5" s="38" t="n">
        <v>80</v>
      </c>
      <c r="I5" s="41" t="n">
        <f aca="false">H5-G5</f>
        <v>2</v>
      </c>
      <c r="J5" s="38" t="n">
        <v>0.158</v>
      </c>
      <c r="K5" s="38" t="str">
        <f aca="false">_xlfn.UNICHAR(8596)</f>
        <v>↔</v>
      </c>
      <c r="L5" s="42" t="n">
        <f aca="false">F5*I5*J5</f>
        <v>19.285894908</v>
      </c>
      <c r="M5" s="41"/>
      <c r="N5" s="42" t="n">
        <f aca="false">L5+M5</f>
        <v>19.285894908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340</v>
      </c>
      <c r="B6" s="38" t="n">
        <v>6</v>
      </c>
      <c r="C6" s="60" t="s">
        <v>175</v>
      </c>
      <c r="D6" s="38" t="s">
        <v>99</v>
      </c>
      <c r="E6" s="36"/>
      <c r="F6" s="46" t="n">
        <f aca="false">10.7639 *(1*2.7)</f>
        <v>29.06253</v>
      </c>
      <c r="G6" s="36" t="n">
        <v>78</v>
      </c>
      <c r="H6" s="38" t="n">
        <v>120</v>
      </c>
      <c r="I6" s="41" t="n">
        <f aca="false">H6-G6</f>
        <v>42</v>
      </c>
      <c r="J6" s="38" t="n">
        <v>0.158</v>
      </c>
      <c r="K6" s="38" t="str">
        <f aca="false">_xlfn.UNICHAR(8596)</f>
        <v>↔</v>
      </c>
      <c r="L6" s="42" t="n">
        <f aca="false">F6*I6*J6</f>
        <v>192.85894908</v>
      </c>
      <c r="M6" s="41"/>
      <c r="N6" s="42" t="n">
        <f aca="false">L6+M6</f>
        <v>192.85894908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190</v>
      </c>
      <c r="B7" s="38" t="n">
        <v>6</v>
      </c>
      <c r="C7" s="60" t="s">
        <v>175</v>
      </c>
      <c r="D7" s="38" t="s">
        <v>99</v>
      </c>
      <c r="E7" s="36"/>
      <c r="F7" s="46" t="n">
        <f aca="false">10.7639 *((4+2.4)*2.7)</f>
        <v>186.000192</v>
      </c>
      <c r="G7" s="36" t="n">
        <v>78</v>
      </c>
      <c r="H7" s="38" t="n">
        <v>80</v>
      </c>
      <c r="I7" s="41" t="n">
        <f aca="false">H7-G7</f>
        <v>2</v>
      </c>
      <c r="J7" s="38" t="n">
        <v>0.158</v>
      </c>
      <c r="K7" s="38" t="str">
        <f aca="false">_xlfn.UNICHAR(8596)</f>
        <v>↔</v>
      </c>
      <c r="L7" s="42" t="n">
        <f aca="false">F7*I7*J7</f>
        <v>58.776060672</v>
      </c>
      <c r="M7" s="41"/>
      <c r="N7" s="42" t="n">
        <f aca="false">L7+M7</f>
        <v>58.776060672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3</v>
      </c>
      <c r="C8" s="39" t="s">
        <v>205</v>
      </c>
      <c r="D8" s="61" t="s">
        <v>99</v>
      </c>
      <c r="E8" s="38"/>
      <c r="F8" s="46" t="n">
        <f aca="false">10.7639 *(1.6*2.7)</f>
        <v>46.500048</v>
      </c>
      <c r="G8" s="36" t="n">
        <v>78</v>
      </c>
      <c r="H8" s="38" t="n">
        <v>95</v>
      </c>
      <c r="I8" s="41" t="n">
        <f aca="false">H8-G8</f>
        <v>17</v>
      </c>
      <c r="J8" s="38" t="n">
        <v>0.063</v>
      </c>
      <c r="K8" s="38" t="str">
        <f aca="false">_xlfn.UNICHAR(8596)</f>
        <v>↔</v>
      </c>
      <c r="L8" s="42" t="n">
        <f aca="false">F8*I8*J8</f>
        <v>49.801551408</v>
      </c>
      <c r="M8" s="41"/>
      <c r="N8" s="42" t="n">
        <f aca="false">L8+M8</f>
        <v>49.801551408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403</v>
      </c>
      <c r="B9" s="38" t="n">
        <v>6</v>
      </c>
      <c r="C9" s="60" t="s">
        <v>175</v>
      </c>
      <c r="D9" s="38" t="s">
        <v>99</v>
      </c>
      <c r="E9" s="38"/>
      <c r="F9" s="46" t="n">
        <f aca="false">10.7639 *((1.5+1.6)*2.7)</f>
        <v>90.093843</v>
      </c>
      <c r="G9" s="36" t="n">
        <v>78</v>
      </c>
      <c r="H9" s="38" t="n">
        <v>110</v>
      </c>
      <c r="I9" s="41" t="n">
        <f aca="false">H9-G9</f>
        <v>32</v>
      </c>
      <c r="J9" s="38" t="n">
        <v>0.158</v>
      </c>
      <c r="K9" s="38" t="str">
        <f aca="false">_xlfn.UNICHAR(8596)</f>
        <v>↔</v>
      </c>
      <c r="L9" s="42" t="n">
        <f aca="false">F9*I9*J9</f>
        <v>455.514470208</v>
      </c>
      <c r="M9" s="41"/>
      <c r="N9" s="42" t="n">
        <f aca="false">L9+M9</f>
        <v>455.514470208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449</v>
      </c>
      <c r="B10" s="38" t="n">
        <v>2</v>
      </c>
      <c r="C10" s="60" t="s">
        <v>175</v>
      </c>
      <c r="D10" s="38" t="s">
        <v>106</v>
      </c>
      <c r="E10" s="38"/>
      <c r="F10" s="46" t="n">
        <f aca="false">10.7639 *((1.5+1.6)*2.7)</f>
        <v>90.093843</v>
      </c>
      <c r="G10" s="36" t="n">
        <v>78</v>
      </c>
      <c r="H10" s="38" t="n">
        <v>78</v>
      </c>
      <c r="I10" s="41" t="n">
        <f aca="false">H10-G10</f>
        <v>0</v>
      </c>
      <c r="J10" s="38" t="n">
        <v>0.144</v>
      </c>
      <c r="K10" s="38" t="str">
        <f aca="false">_xlfn.UNICHAR(8595)</f>
        <v>↓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356</v>
      </c>
      <c r="B11" s="38" t="n">
        <v>2</v>
      </c>
      <c r="C11" s="60" t="s">
        <v>175</v>
      </c>
      <c r="D11" s="38" t="s">
        <v>106</v>
      </c>
      <c r="E11" s="38"/>
      <c r="F11" s="46" t="n">
        <f aca="false">10.7639 *(1.2*3.1)</f>
        <v>40.041708</v>
      </c>
      <c r="G11" s="36" t="n">
        <v>78</v>
      </c>
      <c r="H11" s="38" t="n">
        <v>78</v>
      </c>
      <c r="I11" s="41" t="n">
        <f aca="false">H11-G11</f>
        <v>0</v>
      </c>
      <c r="J11" s="38" t="n">
        <v>0.144</v>
      </c>
      <c r="K11" s="38" t="str">
        <f aca="false">_xlfn.UNICHAR(8595)</f>
        <v>↓</v>
      </c>
      <c r="L11" s="42" t="n">
        <f aca="false">F11*I11*J11</f>
        <v>0</v>
      </c>
      <c r="M11" s="36"/>
      <c r="N11" s="42" t="n">
        <f aca="false">L11+M11</f>
        <v>0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357</v>
      </c>
      <c r="B12" s="38" t="n">
        <v>2</v>
      </c>
      <c r="C12" s="60" t="s">
        <v>175</v>
      </c>
      <c r="D12" s="38" t="s">
        <v>106</v>
      </c>
      <c r="E12" s="36"/>
      <c r="F12" s="46" t="n">
        <f aca="false">10.7639 *(1.6*0.4)</f>
        <v>6.888896</v>
      </c>
      <c r="G12" s="36" t="n">
        <v>78</v>
      </c>
      <c r="H12" s="38" t="n">
        <v>110</v>
      </c>
      <c r="I12" s="41" t="n">
        <f aca="false">H12-G12</f>
        <v>32</v>
      </c>
      <c r="J12" s="38" t="n">
        <v>0.144</v>
      </c>
      <c r="K12" s="38" t="str">
        <f aca="false">_xlfn.UNICHAR(8595)</f>
        <v>↓</v>
      </c>
      <c r="L12" s="42" t="n">
        <f aca="false">F12*I12*J12</f>
        <v>31.744032768</v>
      </c>
      <c r="M12" s="36"/>
      <c r="N12" s="42" t="n">
        <f aca="false">L12+M12</f>
        <v>31.744032768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340</v>
      </c>
      <c r="B13" s="38" t="n">
        <v>2</v>
      </c>
      <c r="C13" s="60" t="s">
        <v>175</v>
      </c>
      <c r="D13" s="38" t="s">
        <v>106</v>
      </c>
      <c r="E13" s="36"/>
      <c r="F13" s="46" t="n">
        <f aca="false">10.7639 *(0.3*1.2)</f>
        <v>3.875004</v>
      </c>
      <c r="G13" s="36" t="n">
        <v>78</v>
      </c>
      <c r="H13" s="38" t="n">
        <v>120</v>
      </c>
      <c r="I13" s="41" t="n">
        <f aca="false">H13-G13</f>
        <v>42</v>
      </c>
      <c r="J13" s="38" t="n">
        <v>0.144</v>
      </c>
      <c r="K13" s="38" t="str">
        <f aca="false">_xlfn.UNICHAR(8595)</f>
        <v>↓</v>
      </c>
      <c r="L13" s="42" t="n">
        <f aca="false">F13*I13*J13</f>
        <v>23.436024192</v>
      </c>
      <c r="M13" s="36"/>
      <c r="N13" s="42" t="n">
        <f aca="false">L13+M13</f>
        <v>23.436024192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108</v>
      </c>
      <c r="B14" s="38" t="n">
        <v>3</v>
      </c>
      <c r="C14" s="60" t="s">
        <v>175</v>
      </c>
      <c r="D14" s="38" t="s">
        <v>90</v>
      </c>
      <c r="E14" s="36"/>
      <c r="F14" s="46" t="n">
        <f aca="false">10.7639 *(7.3867)</f>
        <v>79.50970013</v>
      </c>
      <c r="G14" s="36" t="n">
        <v>78</v>
      </c>
      <c r="H14" s="38" t="n">
        <v>95</v>
      </c>
      <c r="I14" s="41" t="n">
        <f aca="false">H14-G14</f>
        <v>17</v>
      </c>
      <c r="J14" s="38" t="n">
        <v>0.171</v>
      </c>
      <c r="K14" s="38" t="str">
        <f aca="false">_xlfn.UNICHAR(8593)</f>
        <v>↑</v>
      </c>
      <c r="L14" s="42" t="n">
        <f aca="false">F14*I14*J14</f>
        <v>231.13469827791</v>
      </c>
      <c r="M14" s="36"/>
      <c r="N14" s="42" t="n">
        <f aca="false">L14+M14</f>
        <v>231.13469827791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 t="s">
        <v>436</v>
      </c>
      <c r="B15" s="38" t="n">
        <v>1</v>
      </c>
      <c r="C15" s="60" t="s">
        <v>175</v>
      </c>
      <c r="D15" s="38" t="s">
        <v>90</v>
      </c>
      <c r="E15" s="36"/>
      <c r="F15" s="46" t="n">
        <f aca="false">10.7639 *(0)</f>
        <v>0</v>
      </c>
      <c r="G15" s="36" t="n">
        <v>78</v>
      </c>
      <c r="H15" s="38" t="n">
        <v>78</v>
      </c>
      <c r="I15" s="41" t="n">
        <f aca="false">H15-G15</f>
        <v>0</v>
      </c>
      <c r="J15" s="38" t="n">
        <v>0.171</v>
      </c>
      <c r="K15" s="38" t="str">
        <f aca="false">_xlfn.UNICHAR(8593)</f>
        <v>↑</v>
      </c>
      <c r="L15" s="42" t="n">
        <f aca="false">F15*I15*J15</f>
        <v>0</v>
      </c>
      <c r="M15" s="36"/>
      <c r="N15" s="42" t="n">
        <f aca="false">L15+M15</f>
        <v>0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45" t="s">
        <v>340</v>
      </c>
      <c r="B16" s="38" t="n">
        <v>1</v>
      </c>
      <c r="C16" s="60" t="s">
        <v>175</v>
      </c>
      <c r="D16" s="38" t="s">
        <v>90</v>
      </c>
      <c r="E16" s="36"/>
      <c r="F16" s="46" t="n">
        <f aca="false">10.7639 *(2.189)</f>
        <v>23.5621771</v>
      </c>
      <c r="G16" s="36" t="n">
        <v>78</v>
      </c>
      <c r="H16" s="38" t="n">
        <v>120</v>
      </c>
      <c r="I16" s="41" t="n">
        <f aca="false">H16-G16</f>
        <v>42</v>
      </c>
      <c r="J16" s="38" t="n">
        <v>0.171</v>
      </c>
      <c r="K16" s="38" t="str">
        <f aca="false">_xlfn.UNICHAR(8593)</f>
        <v>↑</v>
      </c>
      <c r="L16" s="42" t="n">
        <f aca="false">F16*I16*J16</f>
        <v>169.2235559322</v>
      </c>
      <c r="M16" s="36"/>
      <c r="N16" s="42" t="n">
        <f aca="false">L16+M16</f>
        <v>169.2235559322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 t="s">
        <v>180</v>
      </c>
      <c r="B17" s="38" t="n">
        <v>1</v>
      </c>
      <c r="C17" s="60" t="s">
        <v>175</v>
      </c>
      <c r="D17" s="38" t="s">
        <v>90</v>
      </c>
      <c r="E17" s="36" t="s">
        <v>450</v>
      </c>
      <c r="F17" s="46" t="n">
        <f aca="false">10.7639 *(0.343)</f>
        <v>3.6920177</v>
      </c>
      <c r="G17" s="36" t="n">
        <v>78</v>
      </c>
      <c r="H17" s="38" t="n">
        <v>85</v>
      </c>
      <c r="I17" s="41" t="n">
        <f aca="false">H17-G17</f>
        <v>7</v>
      </c>
      <c r="J17" s="38" t="n">
        <v>0.171</v>
      </c>
      <c r="K17" s="38" t="str">
        <f aca="false">_xlfn.UNICHAR(8593)</f>
        <v>↑</v>
      </c>
      <c r="L17" s="42" t="n">
        <f aca="false">F17*I17*J17</f>
        <v>4.4193451869</v>
      </c>
      <c r="M17" s="36"/>
      <c r="N17" s="42" t="n">
        <f aca="false">L17+M17</f>
        <v>4.4193451869</v>
      </c>
      <c r="O17" s="38" t="n">
        <v>70</v>
      </c>
      <c r="P17" s="38" t="n">
        <v>70</v>
      </c>
      <c r="Q17" s="41" t="n">
        <f aca="false">O17-P17</f>
        <v>0</v>
      </c>
      <c r="R17" s="38"/>
      <c r="S17" s="38"/>
      <c r="T17" s="43" t="n">
        <f aca="false">F17*Q17*R17</f>
        <v>0</v>
      </c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1236.19458263301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(0.6*0.5))*0</f>
        <v>0</v>
      </c>
      <c r="G20" s="36"/>
      <c r="H20" s="36"/>
      <c r="I20" s="36"/>
      <c r="J20" s="36"/>
      <c r="K20" s="36"/>
      <c r="L20" s="38" t="n">
        <f aca="false">F20*160</f>
        <v>0</v>
      </c>
      <c r="M20" s="36"/>
      <c r="N20" s="42" t="n">
        <f aca="false">L20+M20</f>
        <v>0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(10)</f>
        <v>107.639</v>
      </c>
      <c r="G21" s="36"/>
      <c r="H21" s="36"/>
      <c r="I21" s="36"/>
      <c r="J21" s="36"/>
      <c r="K21" s="36"/>
      <c r="L21" s="36" t="n">
        <f aca="false">4*F21</f>
        <v>430.556</v>
      </c>
      <c r="M21" s="36"/>
      <c r="N21" s="42" t="n">
        <f aca="false">L21+M21</f>
        <v>430.556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2466.75058263301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2466.75058263301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40" t="n">
        <f aca="false">$F$21</f>
        <v>107.639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1" t="n">
        <f aca="false">F35*F36</f>
        <v>953.495109252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8" t="n">
        <f aca="false">F37/30</f>
        <v>31.7831703084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2" t="n">
        <f aca="false">SUM($L$5:$L$28)</f>
        <v>1981.75058263301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2" t="n">
        <f aca="false">$N$29</f>
        <v>2466.75058263301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8" t="n">
        <f aca="false">F39/(1.08*F33)</f>
        <v>73.3981697271485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74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0.0216872614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0.803385067215709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4" man="true" max="16383" min="0"/>
    <brk id="94" man="true" max="16383" min="0"/>
    <brk id="134" man="true" max="16383" min="0"/>
    <brk id="174" man="true" max="16383" min="0"/>
    <brk id="214" man="true" max="16383" min="0"/>
  </rowBreak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451</v>
      </c>
      <c r="B2" s="35"/>
      <c r="C2" s="35" t="n">
        <v>1001</v>
      </c>
      <c r="D2" s="35"/>
      <c r="E2" s="35" t="s">
        <v>427</v>
      </c>
      <c r="F2" s="35" t="s">
        <v>410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419</v>
      </c>
      <c r="B5" s="38" t="n">
        <v>6</v>
      </c>
      <c r="C5" s="60" t="s">
        <v>104</v>
      </c>
      <c r="D5" s="38" t="s">
        <v>99</v>
      </c>
      <c r="E5" s="38" t="s">
        <v>393</v>
      </c>
      <c r="F5" s="40" t="n">
        <f aca="false">10.7639 * (1.4*2.7)</f>
        <v>40.687542</v>
      </c>
      <c r="G5" s="36" t="n">
        <v>78</v>
      </c>
      <c r="H5" s="38" t="n">
        <v>85</v>
      </c>
      <c r="I5" s="41" t="n">
        <f aca="false">H5-G5</f>
        <v>7</v>
      </c>
      <c r="J5" s="38" t="n">
        <v>0.313</v>
      </c>
      <c r="K5" s="38" t="str">
        <f aca="false">_xlfn.UNICHAR(8596)</f>
        <v>↔</v>
      </c>
      <c r="L5" s="42" t="n">
        <f aca="false">F5*I5*J5</f>
        <v>89.146404522</v>
      </c>
      <c r="M5" s="41"/>
      <c r="N5" s="42" t="n">
        <f aca="false">L5+M5</f>
        <v>89.146404522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190</v>
      </c>
      <c r="B6" s="38" t="n">
        <v>6</v>
      </c>
      <c r="C6" s="60" t="s">
        <v>104</v>
      </c>
      <c r="D6" s="38" t="s">
        <v>99</v>
      </c>
      <c r="E6" s="38" t="s">
        <v>432</v>
      </c>
      <c r="F6" s="40" t="n">
        <f aca="false">10.7639 *(2.7*2.7)</f>
        <v>78.468831</v>
      </c>
      <c r="G6" s="36" t="n">
        <v>78</v>
      </c>
      <c r="H6" s="38" t="n">
        <v>80</v>
      </c>
      <c r="I6" s="41" t="n">
        <f aca="false">H6-G6</f>
        <v>2</v>
      </c>
      <c r="J6" s="38" t="n">
        <v>0.313</v>
      </c>
      <c r="K6" s="38" t="str">
        <f aca="false">_xlfn.UNICHAR(8596)</f>
        <v>↔</v>
      </c>
      <c r="L6" s="42" t="n">
        <f aca="false">F6*I6*J6</f>
        <v>49.121488206</v>
      </c>
      <c r="M6" s="41"/>
      <c r="N6" s="42" t="n">
        <f aca="false">L6+M6</f>
        <v>49.121488206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8" t="n">
        <v>3</v>
      </c>
      <c r="C7" s="39" t="s">
        <v>205</v>
      </c>
      <c r="D7" s="61" t="s">
        <v>99</v>
      </c>
      <c r="E7" s="38" t="s">
        <v>433</v>
      </c>
      <c r="F7" s="40" t="n">
        <f aca="false">10.7639 *(3.8*2.7)</f>
        <v>110.437614</v>
      </c>
      <c r="G7" s="36" t="n">
        <v>78</v>
      </c>
      <c r="H7" s="38" t="n">
        <v>95</v>
      </c>
      <c r="I7" s="41" t="n">
        <f aca="false">H7-G7</f>
        <v>17</v>
      </c>
      <c r="J7" s="38" t="n">
        <v>0.063</v>
      </c>
      <c r="K7" s="38" t="str">
        <f aca="false">_xlfn.UNICHAR(8596)</f>
        <v>↔</v>
      </c>
      <c r="L7" s="42" t="n">
        <f aca="false">F7*I7*J7</f>
        <v>118.278684594</v>
      </c>
      <c r="M7" s="41"/>
      <c r="N7" s="42" t="n">
        <f aca="false">L7+M7</f>
        <v>118.278684594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422</v>
      </c>
      <c r="B8" s="38" t="n">
        <v>6</v>
      </c>
      <c r="C8" s="60" t="s">
        <v>104</v>
      </c>
      <c r="D8" s="38" t="s">
        <v>99</v>
      </c>
      <c r="E8" s="38" t="s">
        <v>393</v>
      </c>
      <c r="F8" s="40" t="n">
        <f aca="false">10.7639 * (1.4*2.7)</f>
        <v>40.687542</v>
      </c>
      <c r="G8" s="36" t="n">
        <v>78</v>
      </c>
      <c r="H8" s="38" t="n">
        <v>85</v>
      </c>
      <c r="I8" s="41" t="n">
        <f aca="false">H8-G8</f>
        <v>7</v>
      </c>
      <c r="J8" s="38" t="n">
        <v>0.313</v>
      </c>
      <c r="K8" s="38" t="str">
        <f aca="false">_xlfn.UNICHAR(8596)</f>
        <v>↔</v>
      </c>
      <c r="L8" s="42" t="n">
        <f aca="false">F8*I8*J8</f>
        <v>89.146404522</v>
      </c>
      <c r="M8" s="41"/>
      <c r="N8" s="42" t="n">
        <f aca="false">L8+M8</f>
        <v>89.146404522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108</v>
      </c>
      <c r="B9" s="38" t="n">
        <v>3</v>
      </c>
      <c r="C9" s="60" t="s">
        <v>175</v>
      </c>
      <c r="D9" s="38" t="s">
        <v>90</v>
      </c>
      <c r="E9" s="38"/>
      <c r="F9" s="40" t="n">
        <f aca="false">10.7639 * (10.566)</f>
        <v>113.7313674</v>
      </c>
      <c r="G9" s="36" t="n">
        <v>78</v>
      </c>
      <c r="H9" s="38" t="n">
        <v>95</v>
      </c>
      <c r="I9" s="41" t="n">
        <f aca="false">H9-G9</f>
        <v>17</v>
      </c>
      <c r="J9" s="38" t="n">
        <v>0.171</v>
      </c>
      <c r="K9" s="38" t="str">
        <f aca="false">_xlfn.UNICHAR(8593)</f>
        <v>↑</v>
      </c>
      <c r="L9" s="42" t="n">
        <f aca="false">F9*I9*J9</f>
        <v>330.6170850318</v>
      </c>
      <c r="M9" s="41"/>
      <c r="N9" s="42" t="n">
        <f aca="false">L9+M9</f>
        <v>330.6170850318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436</v>
      </c>
      <c r="B10" s="38" t="n">
        <v>1</v>
      </c>
      <c r="C10" s="60" t="s">
        <v>175</v>
      </c>
      <c r="D10" s="38" t="s">
        <v>90</v>
      </c>
      <c r="E10" s="38"/>
      <c r="F10" s="40" t="n">
        <f aca="false">10.7639 * (7.654)</f>
        <v>82.3868906</v>
      </c>
      <c r="G10" s="36" t="n">
        <v>78</v>
      </c>
      <c r="H10" s="38" t="n">
        <v>78</v>
      </c>
      <c r="I10" s="41" t="n">
        <f aca="false">H10-G10</f>
        <v>0</v>
      </c>
      <c r="J10" s="38" t="n">
        <v>0.171</v>
      </c>
      <c r="K10" s="38" t="str">
        <f aca="false">_xlfn.UNICHAR(8593)</f>
        <v>↑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452</v>
      </c>
      <c r="B11" s="38" t="n">
        <v>2</v>
      </c>
      <c r="C11" s="60" t="s">
        <v>175</v>
      </c>
      <c r="D11" s="38" t="s">
        <v>106</v>
      </c>
      <c r="E11" s="38"/>
      <c r="F11" s="40" t="n">
        <f aca="false">10.7639 * (2.72)</f>
        <v>29.277808</v>
      </c>
      <c r="G11" s="36" t="n">
        <v>78</v>
      </c>
      <c r="H11" s="38" t="n">
        <v>85</v>
      </c>
      <c r="I11" s="41" t="n">
        <f aca="false">H11-G11</f>
        <v>7</v>
      </c>
      <c r="J11" s="38" t="n">
        <v>0.144</v>
      </c>
      <c r="K11" s="38" t="str">
        <f aca="false">_xlfn.UNICHAR(8595)</f>
        <v>↓</v>
      </c>
      <c r="L11" s="42" t="n">
        <f aca="false">F11*I11*J11</f>
        <v>29.512030464</v>
      </c>
      <c r="M11" s="36"/>
      <c r="N11" s="42" t="n">
        <f aca="false">L11+M11</f>
        <v>29.512030464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190</v>
      </c>
      <c r="B12" s="38" t="n">
        <v>2</v>
      </c>
      <c r="C12" s="60" t="s">
        <v>175</v>
      </c>
      <c r="D12" s="38" t="s">
        <v>106</v>
      </c>
      <c r="E12" s="36"/>
      <c r="F12" s="40" t="n">
        <f aca="false">10.7639 * (0.27)</f>
        <v>2.906253</v>
      </c>
      <c r="G12" s="36" t="n">
        <v>78</v>
      </c>
      <c r="H12" s="38" t="n">
        <v>80</v>
      </c>
      <c r="I12" s="41" t="n">
        <f aca="false">H12-G12</f>
        <v>2</v>
      </c>
      <c r="J12" s="38" t="n">
        <v>0.144</v>
      </c>
      <c r="K12" s="38" t="str">
        <f aca="false">_xlfn.UNICHAR(8595)</f>
        <v>↓</v>
      </c>
      <c r="L12" s="42" t="n">
        <f aca="false">F12*I12*J12</f>
        <v>0.837000864</v>
      </c>
      <c r="M12" s="36"/>
      <c r="N12" s="42" t="n">
        <f aca="false">L12+M12</f>
        <v>0.837000864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337</v>
      </c>
      <c r="B13" s="38" t="n">
        <v>2</v>
      </c>
      <c r="C13" s="60" t="s">
        <v>175</v>
      </c>
      <c r="D13" s="38" t="s">
        <v>106</v>
      </c>
      <c r="E13" s="36"/>
      <c r="F13" s="40" t="n">
        <f aca="false">10.7639 * (1.81)</f>
        <v>19.482659</v>
      </c>
      <c r="G13" s="36" t="n">
        <v>78</v>
      </c>
      <c r="H13" s="38" t="n">
        <v>85</v>
      </c>
      <c r="I13" s="41" t="n">
        <f aca="false">H13-G13</f>
        <v>7</v>
      </c>
      <c r="J13" s="38" t="n">
        <v>0.144</v>
      </c>
      <c r="K13" s="38" t="str">
        <f aca="false">_xlfn.UNICHAR(8595)</f>
        <v>↓</v>
      </c>
      <c r="L13" s="42" t="n">
        <f aca="false">F13*I13*J13</f>
        <v>19.638520272</v>
      </c>
      <c r="M13" s="36"/>
      <c r="N13" s="42" t="n">
        <f aca="false">L13+M13</f>
        <v>19.638520272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726.2976184758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(18.22)</f>
        <v>196.118258</v>
      </c>
      <c r="G21" s="36"/>
      <c r="H21" s="36"/>
      <c r="I21" s="36"/>
      <c r="J21" s="36"/>
      <c r="K21" s="36"/>
      <c r="L21" s="36" t="n">
        <f aca="false">4*F21</f>
        <v>784.473032</v>
      </c>
      <c r="M21" s="36"/>
      <c r="N21" s="40" t="n">
        <f aca="false">L21+M21</f>
        <v>784.473032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3344.1050504758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3344.1050504758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fals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false" customHeight="false" outlineLevel="0" collapsed="false">
      <c r="E35" s="36" t="s">
        <v>119</v>
      </c>
      <c r="F35" s="72" t="n">
        <f aca="false">$F$21</f>
        <v>196.118258</v>
      </c>
      <c r="G35" s="36" t="s">
        <v>120</v>
      </c>
    </row>
    <row r="36" customFormat="false" ht="13.8" hidden="fals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false" customHeight="false" outlineLevel="0" collapsed="false">
      <c r="E37" s="36" t="s">
        <v>123</v>
      </c>
      <c r="F37" s="43" t="n">
        <f aca="false">F35*F36</f>
        <v>1737.26808905714</v>
      </c>
      <c r="G37" s="36" t="s">
        <v>124</v>
      </c>
    </row>
    <row r="38" customFormat="false" ht="13.8" hidden="false" customHeight="false" outlineLevel="0" collapsed="false">
      <c r="E38" s="36" t="s">
        <v>125</v>
      </c>
      <c r="F38" s="49" t="n">
        <f aca="false">F37/30</f>
        <v>57.9089363019048</v>
      </c>
      <c r="G38" s="36" t="s">
        <v>126</v>
      </c>
    </row>
    <row r="39" customFormat="false" ht="13.8" hidden="false" customHeight="false" outlineLevel="0" collapsed="false">
      <c r="E39" s="36" t="s">
        <v>127</v>
      </c>
      <c r="F39" s="43" t="n">
        <f aca="false">SUM($L$5:$L$28)</f>
        <v>2859.1050504758</v>
      </c>
      <c r="G39" s="36" t="s">
        <v>128</v>
      </c>
    </row>
    <row r="40" customFormat="false" ht="13.8" hidden="false" customHeight="false" outlineLevel="0" collapsed="false">
      <c r="E40" s="36" t="s">
        <v>129</v>
      </c>
      <c r="F40" s="43" t="n">
        <f aca="false">SUM($M$5:$M$28)</f>
        <v>485</v>
      </c>
      <c r="G40" s="36" t="s">
        <v>128</v>
      </c>
    </row>
    <row r="41" customFormat="false" ht="13.8" hidden="false" customHeight="false" outlineLevel="0" collapsed="false">
      <c r="E41" s="36" t="s">
        <v>130</v>
      </c>
      <c r="F41" s="43" t="n">
        <f aca="false">$N$29</f>
        <v>3344.1050504758</v>
      </c>
      <c r="G41" s="36" t="s">
        <v>128</v>
      </c>
    </row>
    <row r="42" customFormat="false" ht="13.8" hidden="false" customHeight="false" outlineLevel="0" collapsed="false">
      <c r="E42" s="36" t="s">
        <v>131</v>
      </c>
      <c r="F42" s="43" t="n">
        <f aca="false">$T$29</f>
        <v>0</v>
      </c>
      <c r="G42" s="36" t="s">
        <v>128</v>
      </c>
    </row>
    <row r="43" customFormat="false" ht="13.8" hidden="false" customHeight="false" outlineLevel="0" collapsed="false">
      <c r="E43" s="36" t="s">
        <v>132</v>
      </c>
      <c r="F43" s="49" t="n">
        <f aca="false">F39/(1.08*F33)</f>
        <v>105.892779647252</v>
      </c>
      <c r="G43" s="36" t="s">
        <v>126</v>
      </c>
    </row>
    <row r="44" customFormat="false" ht="13.8" hidden="false" customHeight="false" outlineLevel="0" collapsed="false">
      <c r="E44" s="36" t="s">
        <v>126</v>
      </c>
      <c r="F44" s="49" t="n">
        <f aca="false">ROUNDUP(F43,0)</f>
        <v>106</v>
      </c>
      <c r="G44" s="36" t="s">
        <v>126</v>
      </c>
    </row>
    <row r="45" customFormat="false" ht="13.8" hidden="false" customHeight="false" outlineLevel="0" collapsed="false">
      <c r="E45" s="36" t="s">
        <v>133</v>
      </c>
      <c r="F45" s="42" t="n">
        <f aca="false">F44*0.0002930711</f>
        <v>0.0310655366</v>
      </c>
      <c r="G45" s="36" t="s">
        <v>134</v>
      </c>
    </row>
    <row r="46" customFormat="false" ht="13.8" hidden="false" customHeight="false" outlineLevel="0" collapsed="false">
      <c r="E46" s="36" t="s">
        <v>135</v>
      </c>
      <c r="F46" s="42" t="n">
        <f aca="false">F39/F41</f>
        <v>0.854968670936042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9" activeCellId="0" sqref="E49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false" outlineLevel="0" max="15" min="15" style="30" width="3"/>
    <col collapsed="false" customWidth="true" hidden="false" outlineLevel="0" max="16" min="16" style="30" width="3.22"/>
    <col collapsed="false" customWidth="true" hidden="false" outlineLevel="0" max="17" min="17" style="30" width="3.56"/>
    <col collapsed="false" customWidth="true" hidden="false" outlineLevel="0" max="18" min="18" style="30" width="7.44"/>
    <col collapsed="false" customWidth="true" hidden="false" outlineLevel="0" max="19" min="19" style="30" width="4.44"/>
    <col collapsed="false" customWidth="true" hidden="fals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453</v>
      </c>
      <c r="B2" s="35"/>
      <c r="C2" s="35" t="n">
        <v>1001</v>
      </c>
      <c r="D2" s="35"/>
      <c r="E2" s="35" t="s">
        <v>427</v>
      </c>
      <c r="F2" s="35" t="s">
        <v>203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89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37" t="s">
        <v>422</v>
      </c>
      <c r="B5" s="38" t="n">
        <v>6</v>
      </c>
      <c r="C5" s="60" t="s">
        <v>104</v>
      </c>
      <c r="D5" s="38" t="s">
        <v>99</v>
      </c>
      <c r="E5" s="38" t="s">
        <v>439</v>
      </c>
      <c r="F5" s="40" t="n">
        <f aca="false">10.7639 *(2.2*2.7)</f>
        <v>63.937566</v>
      </c>
      <c r="G5" s="36" t="n">
        <v>78</v>
      </c>
      <c r="H5" s="38" t="n">
        <v>85</v>
      </c>
      <c r="I5" s="41" t="n">
        <f aca="false">H5-G5</f>
        <v>7</v>
      </c>
      <c r="J5" s="38" t="n">
        <v>0.313</v>
      </c>
      <c r="K5" s="38" t="str">
        <f aca="false">_xlfn.UNICHAR(8596)</f>
        <v>↔</v>
      </c>
      <c r="L5" s="42" t="n">
        <f aca="false">F5*I5*J5</f>
        <v>140.087207106</v>
      </c>
      <c r="M5" s="41"/>
      <c r="N5" s="42" t="n">
        <f aca="false">L5+M5</f>
        <v>140.087207106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37" t="s">
        <v>451</v>
      </c>
      <c r="B6" s="38" t="n">
        <v>6</v>
      </c>
      <c r="C6" s="60" t="s">
        <v>104</v>
      </c>
      <c r="D6" s="38" t="s">
        <v>99</v>
      </c>
      <c r="E6" s="36"/>
      <c r="F6" s="46"/>
      <c r="G6" s="36" t="n">
        <v>78</v>
      </c>
      <c r="H6" s="38" t="n">
        <v>78</v>
      </c>
      <c r="I6" s="41" t="n">
        <f aca="false">H6-G6</f>
        <v>0</v>
      </c>
      <c r="J6" s="38" t="n">
        <v>0.313</v>
      </c>
      <c r="K6" s="38" t="str">
        <f aca="false">_xlfn.UNICHAR(8596)</f>
        <v>↔</v>
      </c>
      <c r="L6" s="42" t="n">
        <f aca="false">F6*I6*J6</f>
        <v>0</v>
      </c>
      <c r="M6" s="41"/>
      <c r="N6" s="42" t="n">
        <f aca="false">L6+M6</f>
        <v>0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37" t="s">
        <v>108</v>
      </c>
      <c r="B7" s="38" t="n">
        <v>3</v>
      </c>
      <c r="C7" s="39" t="s">
        <v>205</v>
      </c>
      <c r="D7" s="61" t="s">
        <v>99</v>
      </c>
      <c r="E7" s="38" t="s">
        <v>454</v>
      </c>
      <c r="F7" s="40" t="n">
        <f aca="false">10.7639 *((3.8+2.2)*2.7)</f>
        <v>174.37518</v>
      </c>
      <c r="G7" s="36" t="n">
        <v>78</v>
      </c>
      <c r="H7" s="38" t="n">
        <v>95</v>
      </c>
      <c r="I7" s="41" t="n">
        <f aca="false">H7-G7</f>
        <v>17</v>
      </c>
      <c r="J7" s="38" t="n">
        <v>0.063</v>
      </c>
      <c r="K7" s="38" t="str">
        <f aca="false">_xlfn.UNICHAR(8596)</f>
        <v>↔</v>
      </c>
      <c r="L7" s="42" t="n">
        <f aca="false">F7*I7*J7</f>
        <v>186.75581778</v>
      </c>
      <c r="M7" s="41"/>
      <c r="N7" s="42" t="n">
        <f aca="false">L7+M7</f>
        <v>186.75581778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37" t="s">
        <v>108</v>
      </c>
      <c r="B8" s="38" t="n">
        <v>3</v>
      </c>
      <c r="C8" s="60" t="s">
        <v>175</v>
      </c>
      <c r="D8" s="38" t="s">
        <v>90</v>
      </c>
      <c r="E8" s="38" t="s">
        <v>455</v>
      </c>
      <c r="F8" s="40" t="n">
        <f aca="false">10.7639 *(2.2*3.8)</f>
        <v>89.986204</v>
      </c>
      <c r="G8" s="36" t="n">
        <v>78</v>
      </c>
      <c r="H8" s="38" t="n">
        <v>95</v>
      </c>
      <c r="I8" s="41" t="n">
        <f aca="false">H8-G8</f>
        <v>17</v>
      </c>
      <c r="J8" s="38" t="n">
        <v>0.171</v>
      </c>
      <c r="K8" s="38" t="str">
        <f aca="false">_xlfn.UNICHAR(8593)</f>
        <v>↑</v>
      </c>
      <c r="L8" s="42" t="n">
        <f aca="false">F8*I8*J8</f>
        <v>261.589895028</v>
      </c>
      <c r="M8" s="41"/>
      <c r="N8" s="42" t="n">
        <f aca="false">L8+M8</f>
        <v>261.589895028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37" t="s">
        <v>338</v>
      </c>
      <c r="B9" s="38" t="n">
        <v>2</v>
      </c>
      <c r="C9" s="60" t="s">
        <v>175</v>
      </c>
      <c r="D9" s="38" t="s">
        <v>106</v>
      </c>
      <c r="E9" s="38"/>
      <c r="F9" s="40"/>
      <c r="G9" s="36" t="n">
        <v>78</v>
      </c>
      <c r="H9" s="38" t="n">
        <v>78</v>
      </c>
      <c r="I9" s="41" t="n">
        <f aca="false">H9-G9</f>
        <v>0</v>
      </c>
      <c r="J9" s="38" t="n">
        <v>0.144</v>
      </c>
      <c r="K9" s="38" t="str">
        <f aca="false">_xlfn.UNICHAR(8595)</f>
        <v>↓</v>
      </c>
      <c r="L9" s="42" t="n">
        <f aca="false">F9*I9*J9</f>
        <v>0</v>
      </c>
      <c r="M9" s="41"/>
      <c r="N9" s="42" t="n">
        <f aca="false">L9+M9</f>
        <v>0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37" t="s">
        <v>424</v>
      </c>
      <c r="B10" s="38" t="n">
        <v>2</v>
      </c>
      <c r="C10" s="60" t="s">
        <v>175</v>
      </c>
      <c r="D10" s="38" t="s">
        <v>106</v>
      </c>
      <c r="E10" s="38"/>
      <c r="F10" s="40"/>
      <c r="G10" s="36" t="n">
        <v>78</v>
      </c>
      <c r="H10" s="38" t="n">
        <v>78</v>
      </c>
      <c r="I10" s="41" t="n">
        <f aca="false">H10-G10</f>
        <v>0</v>
      </c>
      <c r="J10" s="38" t="n">
        <v>0.144</v>
      </c>
      <c r="K10" s="38" t="str">
        <f aca="false">_xlfn.UNICHAR(8595)</f>
        <v>↓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588.432919914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(0.6*0.5))*2</f>
        <v>6.45834</v>
      </c>
      <c r="G20" s="36"/>
      <c r="H20" s="36"/>
      <c r="I20" s="36"/>
      <c r="J20" s="36"/>
      <c r="K20" s="36"/>
      <c r="L20" s="38" t="n">
        <f aca="false">F20*160</f>
        <v>1033.3344</v>
      </c>
      <c r="M20" s="36"/>
      <c r="N20" s="42" t="n">
        <f aca="false">L20+M20</f>
        <v>1033.3344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*(2.2*3.8)</f>
        <v>89.986204</v>
      </c>
      <c r="G21" s="36"/>
      <c r="H21" s="36"/>
      <c r="I21" s="36"/>
      <c r="J21" s="36"/>
      <c r="K21" s="36"/>
      <c r="L21" s="36" t="n">
        <f aca="false">4*F21</f>
        <v>359.944816</v>
      </c>
      <c r="M21" s="36"/>
      <c r="N21" s="40" t="n">
        <f aca="false">L21+M21</f>
        <v>359.944816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42" t="n">
        <f aca="false">SUM(N19:N28)</f>
        <v>2781.712135914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2781.712135914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tru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tru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true" customHeight="false" outlineLevel="0" collapsed="false">
      <c r="E35" s="36" t="s">
        <v>119</v>
      </c>
      <c r="F35" s="40" t="n">
        <f aca="false">$F$21</f>
        <v>89.986204</v>
      </c>
      <c r="G35" s="36" t="s">
        <v>120</v>
      </c>
    </row>
    <row r="36" customFormat="false" ht="13.8" hidden="tru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true" customHeight="false" outlineLevel="0" collapsed="false">
      <c r="E37" s="36" t="s">
        <v>123</v>
      </c>
      <c r="F37" s="41" t="n">
        <f aca="false">F35*F36</f>
        <v>797.121911334672</v>
      </c>
      <c r="G37" s="36" t="s">
        <v>124</v>
      </c>
    </row>
    <row r="38" customFormat="false" ht="13.8" hidden="true" customHeight="false" outlineLevel="0" collapsed="false">
      <c r="E38" s="36" t="s">
        <v>125</v>
      </c>
      <c r="F38" s="48" t="n">
        <f aca="false">F37/30</f>
        <v>26.5707303778224</v>
      </c>
      <c r="G38" s="36" t="s">
        <v>126</v>
      </c>
    </row>
    <row r="39" customFormat="false" ht="13.8" hidden="true" customHeight="false" outlineLevel="0" collapsed="false">
      <c r="E39" s="36" t="s">
        <v>127</v>
      </c>
      <c r="F39" s="42" t="n">
        <f aca="false">SUM($L$5:$L$28)</f>
        <v>2296.712135914</v>
      </c>
      <c r="G39" s="36" t="s">
        <v>128</v>
      </c>
    </row>
    <row r="40" customFormat="false" ht="13.8" hidden="tru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true" customHeight="false" outlineLevel="0" collapsed="false">
      <c r="E41" s="36" t="s">
        <v>130</v>
      </c>
      <c r="F41" s="42" t="n">
        <f aca="false">$N$29</f>
        <v>2781.712135914</v>
      </c>
      <c r="G41" s="36" t="s">
        <v>128</v>
      </c>
    </row>
    <row r="42" customFormat="false" ht="13.8" hidden="tru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true" customHeight="false" outlineLevel="0" collapsed="false">
      <c r="E43" s="36" t="s">
        <v>132</v>
      </c>
      <c r="F43" s="48" t="n">
        <f aca="false">F39/(1.08*F33)</f>
        <v>85.0634124412593</v>
      </c>
      <c r="G43" s="36" t="s">
        <v>126</v>
      </c>
    </row>
    <row r="44" customFormat="false" ht="13.8" hidden="true" customHeight="false" outlineLevel="0" collapsed="false">
      <c r="E44" s="36" t="s">
        <v>126</v>
      </c>
      <c r="F44" s="49" t="n">
        <f aca="false">ROUNDUP(F43,0)</f>
        <v>86</v>
      </c>
      <c r="G44" s="36" t="s">
        <v>126</v>
      </c>
    </row>
    <row r="45" customFormat="false" ht="13.8" hidden="true" customHeight="false" outlineLevel="0" collapsed="false">
      <c r="E45" s="36" t="s">
        <v>133</v>
      </c>
      <c r="F45" s="42" t="n">
        <f aca="false">F44*0.0002930711</f>
        <v>0.0252041146</v>
      </c>
      <c r="G45" s="36" t="s">
        <v>134</v>
      </c>
    </row>
    <row r="46" customFormat="false" ht="13.8" hidden="true" customHeight="false" outlineLevel="0" collapsed="false">
      <c r="E46" s="36" t="s">
        <v>135</v>
      </c>
      <c r="F46" s="42" t="n">
        <f aca="false">F39/F41</f>
        <v>0.825646948245189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160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V25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F20" activeCellId="0" sqref="F20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false" outlineLevel="0" max="7" min="7" style="30" width="6.11"/>
    <col collapsed="false" customWidth="true" hidden="false" outlineLevel="0" max="8" min="8" style="30" width="12.44"/>
    <col collapsed="false" customWidth="true" hidden="false" outlineLevel="0" max="9" min="9" style="30" width="6.11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true" outlineLevel="0" max="15" min="15" style="30" width="3"/>
    <col collapsed="false" customWidth="true" hidden="true" outlineLevel="0" max="16" min="16" style="30" width="3.22"/>
    <col collapsed="false" customWidth="true" hidden="true" outlineLevel="0" max="17" min="17" style="30" width="3.56"/>
    <col collapsed="false" customWidth="true" hidden="true" outlineLevel="0" max="18" min="18" style="30" width="7.44"/>
    <col collapsed="false" customWidth="true" hidden="true" outlineLevel="0" max="19" min="19" style="30" width="4.44"/>
    <col collapsed="false" customWidth="true" hidden="tru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456</v>
      </c>
      <c r="B2" s="35"/>
      <c r="C2" s="35" t="n">
        <v>1001</v>
      </c>
      <c r="D2" s="35"/>
      <c r="E2" s="35" t="s">
        <v>427</v>
      </c>
      <c r="F2" s="35" t="s">
        <v>410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457</v>
      </c>
      <c r="J3" s="33" t="s">
        <v>90</v>
      </c>
      <c r="K3" s="33"/>
      <c r="L3" s="33" t="s">
        <v>458</v>
      </c>
      <c r="M3" s="33" t="s">
        <v>459</v>
      </c>
      <c r="N3" s="33" t="s">
        <v>460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461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108</v>
      </c>
      <c r="B5" s="38" t="n">
        <v>3</v>
      </c>
      <c r="C5" s="39" t="s">
        <v>205</v>
      </c>
      <c r="D5" s="61" t="s">
        <v>99</v>
      </c>
      <c r="E5" s="38" t="s">
        <v>441</v>
      </c>
      <c r="F5" s="40" t="n">
        <f aca="false">10.7639 *((3.8+4.25)*2.7)</f>
        <v>233.9533665</v>
      </c>
      <c r="G5" s="36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290.3361278265</v>
      </c>
      <c r="M5" s="41"/>
      <c r="N5" s="42" t="n">
        <f aca="false">L5+M5</f>
        <v>290.3361278265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190</v>
      </c>
      <c r="B6" s="38" t="n">
        <v>6</v>
      </c>
      <c r="C6" s="60" t="s">
        <v>104</v>
      </c>
      <c r="D6" s="38" t="s">
        <v>99</v>
      </c>
      <c r="E6" s="38" t="s">
        <v>462</v>
      </c>
      <c r="F6" s="40" t="n">
        <f aca="false">10.7639 *((1.2+1)*2.7)</f>
        <v>63.937566</v>
      </c>
      <c r="G6" s="36" t="n">
        <v>78</v>
      </c>
      <c r="H6" s="38" t="n">
        <v>80</v>
      </c>
      <c r="I6" s="41" t="n">
        <f aca="false">H6-G6</f>
        <v>2</v>
      </c>
      <c r="J6" s="38" t="n">
        <v>0.313</v>
      </c>
      <c r="K6" s="38" t="str">
        <f aca="false">_xlfn.UNICHAR(8596)</f>
        <v>↔</v>
      </c>
      <c r="L6" s="42" t="n">
        <f aca="false">F6*I6*J6</f>
        <v>40.024916316</v>
      </c>
      <c r="M6" s="41"/>
      <c r="N6" s="42" t="n">
        <f aca="false">L6+M6</f>
        <v>40.024916316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419</v>
      </c>
      <c r="B7" s="38" t="n">
        <v>6</v>
      </c>
      <c r="C7" s="60" t="s">
        <v>104</v>
      </c>
      <c r="D7" s="38" t="s">
        <v>99</v>
      </c>
      <c r="E7" s="38" t="s">
        <v>393</v>
      </c>
      <c r="F7" s="40" t="n">
        <f aca="false">10.7639 *(1.4*2.7)</f>
        <v>40.687542</v>
      </c>
      <c r="G7" s="36" t="n">
        <v>78</v>
      </c>
      <c r="H7" s="38" t="n">
        <v>85</v>
      </c>
      <c r="I7" s="41" t="n">
        <f aca="false">H7-G7</f>
        <v>7</v>
      </c>
      <c r="J7" s="38" t="n">
        <v>0.313</v>
      </c>
      <c r="K7" s="38" t="str">
        <f aca="false">_xlfn.UNICHAR(8596)</f>
        <v>↔</v>
      </c>
      <c r="L7" s="42" t="n">
        <f aca="false">F7*I7*J7</f>
        <v>89.146404522</v>
      </c>
      <c r="M7" s="41"/>
      <c r="N7" s="42" t="n">
        <f aca="false">L7+M7</f>
        <v>89.146404522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 t="s">
        <v>108</v>
      </c>
      <c r="B8" s="38" t="n">
        <v>1</v>
      </c>
      <c r="C8" s="60" t="s">
        <v>175</v>
      </c>
      <c r="D8" s="38" t="s">
        <v>106</v>
      </c>
      <c r="E8" s="38"/>
      <c r="F8" s="40" t="n">
        <f aca="false">10.7639 *(6.429)</f>
        <v>69.2011131</v>
      </c>
      <c r="G8" s="36" t="n">
        <v>78</v>
      </c>
      <c r="H8" s="38" t="n">
        <v>95</v>
      </c>
      <c r="I8" s="41" t="n">
        <f aca="false">H8-G8</f>
        <v>17</v>
      </c>
      <c r="J8" s="38" t="n">
        <v>0.171</v>
      </c>
      <c r="K8" s="38" t="str">
        <f aca="false">_xlfn.UNICHAR(8595)</f>
        <v>↓</v>
      </c>
      <c r="L8" s="42" t="n">
        <f aca="false">F8*I8*J8</f>
        <v>201.1676357817</v>
      </c>
      <c r="M8" s="41"/>
      <c r="N8" s="42" t="n">
        <f aca="false">L8+M8</f>
        <v>201.1676357817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190</v>
      </c>
      <c r="B9" s="38" t="n">
        <v>2</v>
      </c>
      <c r="C9" s="60" t="s">
        <v>175</v>
      </c>
      <c r="D9" s="38" t="s">
        <v>90</v>
      </c>
      <c r="E9" s="38"/>
      <c r="F9" s="40" t="n">
        <f aca="false">10.7639 *(0.39)</f>
        <v>4.197921</v>
      </c>
      <c r="G9" s="36" t="n">
        <v>78</v>
      </c>
      <c r="H9" s="38" t="n">
        <v>80</v>
      </c>
      <c r="I9" s="41" t="n">
        <f aca="false">H9-G9</f>
        <v>2</v>
      </c>
      <c r="J9" s="38" t="n">
        <v>0.171</v>
      </c>
      <c r="K9" s="38" t="str">
        <f aca="false">_xlfn.UNICHAR(8593)</f>
        <v>↑</v>
      </c>
      <c r="L9" s="42" t="n">
        <f aca="false">F9*I9*J9</f>
        <v>1.435688982</v>
      </c>
      <c r="M9" s="41"/>
      <c r="N9" s="42" t="n">
        <f aca="false">L9+M9</f>
        <v>1.435688982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false" customHeight="false" outlineLevel="0" collapsed="false">
      <c r="A10" s="45" t="s">
        <v>344</v>
      </c>
      <c r="B10" s="38" t="n">
        <v>2</v>
      </c>
      <c r="C10" s="60" t="s">
        <v>175</v>
      </c>
      <c r="D10" s="38" t="s">
        <v>90</v>
      </c>
      <c r="E10" s="38"/>
      <c r="F10" s="40" t="n">
        <f aca="false">10.7639 * (1.365)</f>
        <v>14.6927235</v>
      </c>
      <c r="G10" s="36" t="n">
        <v>78</v>
      </c>
      <c r="H10" s="38" t="n">
        <v>85</v>
      </c>
      <c r="I10" s="41" t="n">
        <f aca="false">H10-G10</f>
        <v>7</v>
      </c>
      <c r="J10" s="38" t="n">
        <v>0.171</v>
      </c>
      <c r="K10" s="38" t="str">
        <f aca="false">_xlfn.UNICHAR(8593)</f>
        <v>↑</v>
      </c>
      <c r="L10" s="42" t="n">
        <f aca="false">F10*I10*J10</f>
        <v>17.5871900295</v>
      </c>
      <c r="M10" s="36"/>
      <c r="N10" s="42" t="n">
        <f aca="false">L10+M10</f>
        <v>17.5871900295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639.6979634577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(0.6*0.5))*3</f>
        <v>9.68751</v>
      </c>
      <c r="G20" s="36"/>
      <c r="H20" s="36"/>
      <c r="I20" s="36"/>
      <c r="J20" s="36"/>
      <c r="K20" s="36"/>
      <c r="L20" s="38" t="n">
        <f aca="false">F20*160</f>
        <v>1550.0016</v>
      </c>
      <c r="M20" s="36"/>
      <c r="N20" s="42" t="n">
        <f aca="false">L20+M20</f>
        <v>1550.0016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(19.22)</f>
        <v>206.882158</v>
      </c>
      <c r="G21" s="36"/>
      <c r="H21" s="36"/>
      <c r="I21" s="36"/>
      <c r="J21" s="36"/>
      <c r="K21" s="36"/>
      <c r="L21" s="38" t="n">
        <f aca="false">4*F21</f>
        <v>827.528632</v>
      </c>
      <c r="M21" s="36"/>
      <c r="N21" s="42" t="n">
        <f aca="false">L21+M21</f>
        <v>827.528632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 t="s">
        <v>111</v>
      </c>
      <c r="B22" s="36" t="n">
        <v>7</v>
      </c>
      <c r="C22" s="36"/>
      <c r="D22" s="36"/>
      <c r="E22" s="36"/>
      <c r="F22" s="40" t="n">
        <f aca="false">10.7639 * (19.22)</f>
        <v>206.882158</v>
      </c>
      <c r="G22" s="36"/>
      <c r="H22" s="36"/>
      <c r="I22" s="36"/>
      <c r="J22" s="36"/>
      <c r="K22" s="36"/>
      <c r="L22" s="38" t="n">
        <f aca="false">V22*3.412*0.9</f>
        <v>61.416</v>
      </c>
      <c r="M22" s="36"/>
      <c r="N22" s="46"/>
      <c r="O22" s="36"/>
      <c r="P22" s="36"/>
      <c r="Q22" s="36"/>
      <c r="R22" s="36"/>
      <c r="S22" s="36"/>
      <c r="T22" s="46"/>
      <c r="U22" s="31" t="n">
        <f aca="false">F22/10.7639*150</f>
        <v>2883</v>
      </c>
      <c r="V22" s="31" t="n">
        <v>20</v>
      </c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115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42" t="n">
        <f aca="false">SUM(L5:L28)</f>
        <v>3393.6441954577</v>
      </c>
      <c r="M29" s="41" t="n">
        <f aca="false">SUM(M5:M28)</f>
        <v>485</v>
      </c>
      <c r="N29" s="42" t="n">
        <f aca="false">SUM(N19:N28)</f>
        <v>3817.2281954577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115</v>
      </c>
      <c r="B30" s="36"/>
      <c r="C30" s="36"/>
      <c r="D30" s="36"/>
      <c r="E30" s="36"/>
      <c r="F30" s="36"/>
      <c r="G30" s="42" t="n">
        <f aca="false">N29+T29</f>
        <v>3817.2281954577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tru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tru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true" customHeight="false" outlineLevel="0" collapsed="false">
      <c r="E35" s="36" t="s">
        <v>119</v>
      </c>
      <c r="F35" s="40" t="n">
        <f aca="false">$F$21</f>
        <v>206.882158</v>
      </c>
      <c r="G35" s="36" t="s">
        <v>120</v>
      </c>
    </row>
    <row r="36" customFormat="false" ht="13.8" hidden="tru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true" customHeight="false" outlineLevel="0" collapsed="false">
      <c r="E37" s="36" t="s">
        <v>123</v>
      </c>
      <c r="F37" s="41" t="n">
        <f aca="false">F35*F36</f>
        <v>1832.61759998234</v>
      </c>
      <c r="G37" s="36" t="s">
        <v>124</v>
      </c>
    </row>
    <row r="38" customFormat="false" ht="13.8" hidden="true" customHeight="false" outlineLevel="0" collapsed="false">
      <c r="E38" s="36" t="s">
        <v>125</v>
      </c>
      <c r="F38" s="48" t="n">
        <f aca="false">F37/30</f>
        <v>61.0872533327448</v>
      </c>
      <c r="G38" s="36" t="s">
        <v>126</v>
      </c>
    </row>
    <row r="39" customFormat="false" ht="13.8" hidden="true" customHeight="false" outlineLevel="0" collapsed="false">
      <c r="E39" s="36" t="s">
        <v>127</v>
      </c>
      <c r="F39" s="42" t="n">
        <f aca="false">SUM($L$5:$L$28)</f>
        <v>3393.6441954577</v>
      </c>
      <c r="G39" s="36" t="s">
        <v>128</v>
      </c>
    </row>
    <row r="40" customFormat="false" ht="13.8" hidden="tru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true" customHeight="false" outlineLevel="0" collapsed="false">
      <c r="E41" s="36" t="s">
        <v>130</v>
      </c>
      <c r="F41" s="42" t="n">
        <f aca="false">$N$29</f>
        <v>3817.2281954577</v>
      </c>
      <c r="G41" s="36" t="s">
        <v>128</v>
      </c>
    </row>
    <row r="42" customFormat="false" ht="13.8" hidden="tru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true" customHeight="false" outlineLevel="0" collapsed="false">
      <c r="E43" s="36" t="s">
        <v>132</v>
      </c>
      <c r="F43" s="48" t="n">
        <f aca="false">F39/(1.08*F33)</f>
        <v>125.690525757693</v>
      </c>
      <c r="G43" s="36" t="s">
        <v>126</v>
      </c>
    </row>
    <row r="44" customFormat="false" ht="13.8" hidden="true" customHeight="false" outlineLevel="0" collapsed="false">
      <c r="E44" s="36" t="s">
        <v>126</v>
      </c>
      <c r="F44" s="49" t="n">
        <f aca="false">ROUNDUP(F43,0)</f>
        <v>126</v>
      </c>
      <c r="G44" s="36" t="s">
        <v>126</v>
      </c>
    </row>
    <row r="45" customFormat="false" ht="13.8" hidden="true" customHeight="false" outlineLevel="0" collapsed="false">
      <c r="E45" s="36" t="s">
        <v>133</v>
      </c>
      <c r="F45" s="42" t="n">
        <f aca="false">F44*0.0002930711</f>
        <v>0.0369269586</v>
      </c>
      <c r="G45" s="36" t="s">
        <v>134</v>
      </c>
    </row>
    <row r="46" customFormat="false" ht="13.8" hidden="true" customHeight="false" outlineLevel="0" collapsed="false">
      <c r="E46" s="36" t="s">
        <v>135</v>
      </c>
      <c r="F46" s="42" t="n">
        <f aca="false">F39/F41</f>
        <v>0.889033618554939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147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152</v>
      </c>
      <c r="D50" s="36" t="s">
        <v>148</v>
      </c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156</v>
      </c>
      <c r="D51" s="36"/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 t="s">
        <v>463</v>
      </c>
      <c r="D52" s="36" t="s">
        <v>148</v>
      </c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fals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true" outlineLevel="0" collapsed="false">
      <c r="A57" s="53"/>
      <c r="B57" s="53"/>
      <c r="C57" s="53"/>
      <c r="D57" s="53"/>
      <c r="E57" s="55"/>
      <c r="F57" s="55"/>
      <c r="G57" s="53"/>
      <c r="H57" s="53"/>
      <c r="I57" s="53"/>
      <c r="J57" s="53"/>
      <c r="K57" s="53"/>
      <c r="L57" s="53"/>
      <c r="M57" s="53"/>
      <c r="N57" s="53"/>
      <c r="O57" s="59"/>
      <c r="P57" s="59"/>
      <c r="Q57" s="59"/>
      <c r="R57" s="59"/>
      <c r="S57" s="59"/>
      <c r="T57" s="59"/>
    </row>
    <row r="58" s="31" customFormat="true" ht="13.5" hidden="false" customHeight="false" outlineLevel="0" collapsed="false">
      <c r="E58" s="29"/>
      <c r="F58" s="29"/>
      <c r="G58" s="53"/>
      <c r="H58" s="53"/>
      <c r="I58" s="53"/>
      <c r="J58" s="53"/>
      <c r="K58" s="53"/>
      <c r="L58" s="53"/>
      <c r="M58" s="53"/>
      <c r="N58" s="53"/>
      <c r="O58" s="59"/>
      <c r="P58" s="59"/>
      <c r="Q58" s="59"/>
      <c r="R58" s="59"/>
      <c r="S58" s="59"/>
      <c r="T58" s="59"/>
    </row>
    <row r="59" customFormat="false" ht="13.5" hidden="false" customHeight="false" outlineLevel="0" collapsed="false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</row>
    <row r="60" customFormat="false" ht="13.5" hidden="false" customHeight="false" outlineLevel="0" collapsed="false">
      <c r="A60" s="53"/>
      <c r="B60" s="53"/>
      <c r="C60" s="53"/>
      <c r="D60" s="53"/>
      <c r="E60" s="53"/>
      <c r="F60" s="53"/>
      <c r="G60" s="53"/>
      <c r="H60" s="53"/>
      <c r="I60" s="53"/>
      <c r="L60" s="53"/>
      <c r="M60" s="53"/>
      <c r="N60" s="53"/>
      <c r="O60" s="53"/>
      <c r="P60" s="53"/>
      <c r="Q60" s="53"/>
      <c r="T60" s="53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F68" s="54"/>
      <c r="L68" s="54"/>
    </row>
    <row r="69" customFormat="false" ht="13.5" hidden="false" customHeight="false" outlineLevel="0" collapsed="false">
      <c r="F69" s="54"/>
      <c r="L69" s="54"/>
    </row>
    <row r="70" customFormat="false" ht="13.5" hidden="false" customHeight="false" outlineLevel="0" collapsed="false">
      <c r="A70" s="55"/>
      <c r="N70" s="54"/>
    </row>
    <row r="71" customFormat="false" ht="13.5" hidden="false" customHeight="false" outlineLevel="0" collapsed="false">
      <c r="F71" s="54"/>
    </row>
    <row r="74" customFormat="false" ht="13.5" hidden="false" customHeight="false" outlineLevel="0" collapsed="false">
      <c r="A74" s="55"/>
    </row>
    <row r="75" customFormat="false" ht="13.5" hidden="false" customHeight="false" outlineLevel="0" collapsed="false">
      <c r="A75" s="55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</row>
    <row r="89" s="31" customFormat="true" ht="13.5" hidden="false" customHeight="false" outlineLevel="0" collapsed="false"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customFormat="false" ht="13.5" hidden="false" customHeight="false" outlineLevel="0" collapsed="false">
      <c r="E93" s="29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</row>
    <row r="94" customFormat="false" ht="13.5" hidden="false" customHeight="false" outlineLevel="0" collapsed="false">
      <c r="E94" s="29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</row>
    <row r="95" s="31" customFormat="true" ht="13.5" hidden="false" customHeight="false" outlineLevel="0" collapsed="false">
      <c r="A95" s="58"/>
      <c r="B95" s="58"/>
      <c r="C95" s="58"/>
      <c r="D95" s="58"/>
      <c r="E95" s="58"/>
      <c r="F95" s="58"/>
    </row>
    <row r="96" s="31" customFormat="true" ht="13.5" hidden="false" customHeight="false" outlineLevel="0" collapsed="false">
      <c r="A96" s="58"/>
      <c r="B96" s="58"/>
      <c r="C96" s="58"/>
      <c r="D96" s="58"/>
      <c r="E96" s="58"/>
      <c r="F96" s="58"/>
      <c r="R96" s="29"/>
    </row>
    <row r="97" customFormat="false" ht="13.5" hidden="false" customHeight="true" outlineLevel="0" collapsed="false">
      <c r="A97" s="53"/>
      <c r="B97" s="53"/>
      <c r="C97" s="53"/>
      <c r="D97" s="53"/>
      <c r="E97" s="55"/>
      <c r="F97" s="55"/>
      <c r="G97" s="53"/>
      <c r="H97" s="53"/>
      <c r="I97" s="53"/>
      <c r="J97" s="53"/>
      <c r="K97" s="53"/>
      <c r="L97" s="53"/>
      <c r="M97" s="53"/>
      <c r="N97" s="53"/>
      <c r="O97" s="59"/>
      <c r="P97" s="59"/>
      <c r="Q97" s="59"/>
      <c r="R97" s="59"/>
      <c r="S97" s="59"/>
      <c r="T97" s="59"/>
    </row>
    <row r="98" s="31" customFormat="true" ht="13.5" hidden="false" customHeight="false" outlineLevel="0" collapsed="false">
      <c r="E98" s="29"/>
      <c r="F98" s="29"/>
      <c r="G98" s="53"/>
      <c r="H98" s="53"/>
      <c r="I98" s="53"/>
      <c r="J98" s="53"/>
      <c r="K98" s="53"/>
      <c r="L98" s="53"/>
      <c r="M98" s="53"/>
      <c r="N98" s="53"/>
      <c r="O98" s="59"/>
      <c r="P98" s="59"/>
      <c r="Q98" s="59"/>
      <c r="R98" s="59"/>
      <c r="S98" s="59"/>
      <c r="T98" s="59"/>
    </row>
    <row r="99" customFormat="false" ht="13.5" hidden="false" customHeight="false" outlineLevel="0" collapsed="false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</row>
    <row r="100" customFormat="false" ht="13.5" hidden="false" customHeight="false" outlineLevel="0" collapsed="false">
      <c r="A100" s="53"/>
      <c r="B100" s="53"/>
      <c r="C100" s="53"/>
      <c r="D100" s="53"/>
      <c r="E100" s="53"/>
      <c r="F100" s="53"/>
      <c r="G100" s="53"/>
      <c r="H100" s="53"/>
      <c r="I100" s="53"/>
      <c r="L100" s="53"/>
      <c r="M100" s="53"/>
      <c r="N100" s="53"/>
      <c r="O100" s="53"/>
      <c r="P100" s="53"/>
      <c r="Q100" s="53"/>
      <c r="T100" s="53"/>
    </row>
    <row r="129" s="31" customFormat="true" ht="13.5" hidden="false" customHeight="false" outlineLevel="0" collapsed="false"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customFormat="false" ht="13.5" hidden="false" customHeight="false" outlineLevel="0" collapsed="false">
      <c r="E133" s="29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</row>
    <row r="134" customFormat="false" ht="13.5" hidden="false" customHeight="false" outlineLevel="0" collapsed="false">
      <c r="E134" s="29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</row>
    <row r="135" s="31" customFormat="true" ht="13.5" hidden="false" customHeight="false" outlineLevel="0" collapsed="false">
      <c r="A135" s="58"/>
      <c r="B135" s="58"/>
      <c r="C135" s="58"/>
      <c r="D135" s="58"/>
      <c r="E135" s="58"/>
      <c r="F135" s="58"/>
    </row>
    <row r="136" s="31" customFormat="true" ht="13.5" hidden="false" customHeight="false" outlineLevel="0" collapsed="false">
      <c r="A136" s="58"/>
      <c r="B136" s="58"/>
      <c r="C136" s="58"/>
      <c r="D136" s="58"/>
      <c r="E136" s="58"/>
      <c r="F136" s="58"/>
      <c r="R136" s="29"/>
    </row>
    <row r="137" customFormat="false" ht="13.5" hidden="false" customHeight="true" outlineLevel="0" collapsed="false">
      <c r="A137" s="53"/>
      <c r="B137" s="53"/>
      <c r="C137" s="53"/>
      <c r="D137" s="53"/>
      <c r="E137" s="55"/>
      <c r="F137" s="55"/>
      <c r="G137" s="53"/>
      <c r="H137" s="53"/>
      <c r="I137" s="53"/>
      <c r="J137" s="53"/>
      <c r="K137" s="53"/>
      <c r="L137" s="53"/>
      <c r="M137" s="53"/>
      <c r="N137" s="53"/>
      <c r="O137" s="59"/>
      <c r="P137" s="59"/>
      <c r="Q137" s="59"/>
      <c r="R137" s="59"/>
      <c r="S137" s="59"/>
      <c r="T137" s="59"/>
    </row>
    <row r="138" s="31" customFormat="true" ht="13.5" hidden="false" customHeight="false" outlineLevel="0" collapsed="false">
      <c r="E138" s="29"/>
      <c r="F138" s="29"/>
      <c r="G138" s="53"/>
      <c r="H138" s="53"/>
      <c r="I138" s="53"/>
      <c r="J138" s="53"/>
      <c r="K138" s="53"/>
      <c r="L138" s="53"/>
      <c r="M138" s="53"/>
      <c r="N138" s="53"/>
      <c r="O138" s="59"/>
      <c r="P138" s="59"/>
      <c r="Q138" s="59"/>
      <c r="R138" s="59"/>
      <c r="S138" s="59"/>
      <c r="T138" s="59"/>
    </row>
    <row r="139" customFormat="false" ht="13.5" hidden="false" customHeight="false" outlineLevel="0" collapsed="false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</row>
    <row r="140" customFormat="false" ht="13.5" hidden="false" customHeight="false" outlineLevel="0" collapsed="false">
      <c r="A140" s="53"/>
      <c r="B140" s="53"/>
      <c r="C140" s="53"/>
      <c r="D140" s="53"/>
      <c r="E140" s="53"/>
      <c r="F140" s="53"/>
      <c r="G140" s="53"/>
      <c r="H140" s="53"/>
      <c r="I140" s="53"/>
      <c r="L140" s="53"/>
      <c r="M140" s="53"/>
      <c r="N140" s="53"/>
      <c r="O140" s="53"/>
      <c r="P140" s="53"/>
      <c r="Q140" s="53"/>
      <c r="T140" s="53"/>
    </row>
    <row r="169" s="31" customFormat="true" ht="13.5" hidden="false" customHeight="false" outlineLevel="0" collapsed="false"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customFormat="false" ht="13.5" hidden="false" customHeight="false" outlineLevel="0" collapsed="false">
      <c r="E173" s="29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</row>
    <row r="174" customFormat="false" ht="13.5" hidden="false" customHeight="false" outlineLevel="0" collapsed="false">
      <c r="E174" s="29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</row>
    <row r="175" s="31" customFormat="true" ht="13.5" hidden="false" customHeight="false" outlineLevel="0" collapsed="false">
      <c r="A175" s="58"/>
      <c r="B175" s="58"/>
      <c r="C175" s="58"/>
      <c r="D175" s="58"/>
      <c r="E175" s="58"/>
      <c r="F175" s="58"/>
    </row>
    <row r="176" s="31" customFormat="true" ht="13.5" hidden="false" customHeight="false" outlineLevel="0" collapsed="false">
      <c r="A176" s="58"/>
      <c r="B176" s="58"/>
      <c r="C176" s="58"/>
      <c r="D176" s="58"/>
      <c r="E176" s="58"/>
      <c r="F176" s="58"/>
      <c r="R176" s="29"/>
    </row>
    <row r="177" customFormat="false" ht="13.5" hidden="false" customHeight="false" outlineLevel="0" collapsed="false">
      <c r="A177" s="53"/>
      <c r="B177" s="53"/>
      <c r="C177" s="53"/>
      <c r="D177" s="53"/>
      <c r="E177" s="55"/>
      <c r="F177" s="55"/>
      <c r="G177" s="53"/>
      <c r="H177" s="53"/>
      <c r="I177" s="53"/>
      <c r="J177" s="53"/>
      <c r="K177" s="53"/>
      <c r="L177" s="53"/>
      <c r="M177" s="53"/>
      <c r="N177" s="53"/>
      <c r="O177" s="59"/>
      <c r="P177" s="59"/>
      <c r="Q177" s="59"/>
      <c r="R177" s="59"/>
      <c r="S177" s="59"/>
      <c r="T177" s="59"/>
    </row>
    <row r="178" s="31" customFormat="true" ht="13.5" hidden="false" customHeight="false" outlineLevel="0" collapsed="false">
      <c r="E178" s="29"/>
      <c r="F178" s="29"/>
      <c r="G178" s="53"/>
      <c r="H178" s="53"/>
      <c r="I178" s="53"/>
      <c r="J178" s="53"/>
      <c r="K178" s="53"/>
      <c r="L178" s="53"/>
      <c r="M178" s="53"/>
      <c r="N178" s="53"/>
      <c r="O178" s="59"/>
      <c r="P178" s="59"/>
      <c r="Q178" s="59"/>
      <c r="R178" s="59"/>
      <c r="S178" s="59"/>
      <c r="T178" s="59"/>
    </row>
    <row r="179" customFormat="false" ht="13.5" hidden="false" customHeight="false" outlineLevel="0" collapsed="false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</row>
    <row r="180" customFormat="false" ht="13.5" hidden="false" customHeight="false" outlineLevel="0" collapsed="false">
      <c r="A180" s="53"/>
      <c r="B180" s="53"/>
      <c r="C180" s="53"/>
      <c r="D180" s="53"/>
      <c r="E180" s="53"/>
      <c r="F180" s="53"/>
      <c r="G180" s="53"/>
      <c r="H180" s="53"/>
      <c r="I180" s="53"/>
      <c r="L180" s="53"/>
      <c r="M180" s="53"/>
      <c r="N180" s="53"/>
      <c r="O180" s="53"/>
      <c r="P180" s="53"/>
      <c r="Q180" s="53"/>
      <c r="T180" s="53"/>
    </row>
    <row r="209" s="31" customFormat="true" ht="13.5" hidden="false" customHeight="false" outlineLevel="0" collapsed="false"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customFormat="false" ht="13.5" hidden="false" customHeight="false" outlineLevel="0" collapsed="false">
      <c r="E213" s="29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</row>
    <row r="214" customFormat="false" ht="13.5" hidden="false" customHeight="false" outlineLevel="0" collapsed="false">
      <c r="E214" s="29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</row>
    <row r="215" s="31" customFormat="true" ht="13.5" hidden="false" customHeight="false" outlineLevel="0" collapsed="false">
      <c r="A215" s="58"/>
      <c r="B215" s="58"/>
      <c r="C215" s="58"/>
      <c r="D215" s="58"/>
      <c r="E215" s="58"/>
      <c r="F215" s="58"/>
    </row>
    <row r="216" s="31" customFormat="true" ht="13.5" hidden="false" customHeight="false" outlineLevel="0" collapsed="false">
      <c r="A216" s="58"/>
      <c r="B216" s="58"/>
      <c r="C216" s="58"/>
      <c r="D216" s="58"/>
      <c r="E216" s="58"/>
      <c r="F216" s="58"/>
      <c r="R216" s="29"/>
    </row>
    <row r="217" customFormat="false" ht="13.5" hidden="false" customHeight="false" outlineLevel="0" collapsed="false">
      <c r="A217" s="53"/>
      <c r="B217" s="53"/>
      <c r="C217" s="53"/>
      <c r="D217" s="53"/>
      <c r="E217" s="55"/>
      <c r="F217" s="55"/>
      <c r="G217" s="53"/>
      <c r="H217" s="53"/>
      <c r="I217" s="53"/>
      <c r="J217" s="53"/>
      <c r="K217" s="53"/>
      <c r="L217" s="53"/>
      <c r="M217" s="53"/>
      <c r="N217" s="53"/>
      <c r="O217" s="59"/>
      <c r="P217" s="59"/>
      <c r="Q217" s="59"/>
      <c r="R217" s="59"/>
      <c r="S217" s="59"/>
      <c r="T217" s="59"/>
    </row>
    <row r="218" s="31" customFormat="true" ht="13.5" hidden="false" customHeight="false" outlineLevel="0" collapsed="false">
      <c r="E218" s="29"/>
      <c r="F218" s="29"/>
      <c r="G218" s="53"/>
      <c r="H218" s="53"/>
      <c r="I218" s="53"/>
      <c r="J218" s="53"/>
      <c r="K218" s="53"/>
      <c r="L218" s="53"/>
      <c r="M218" s="53"/>
      <c r="N218" s="53"/>
      <c r="O218" s="59"/>
      <c r="P218" s="59"/>
      <c r="Q218" s="59"/>
      <c r="R218" s="59"/>
      <c r="S218" s="59"/>
      <c r="T218" s="59"/>
    </row>
    <row r="219" customFormat="false" ht="13.5" hidden="false" customHeight="false" outlineLevel="0" collapsed="false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</row>
    <row r="220" customFormat="false" ht="13.5" hidden="false" customHeight="false" outlineLevel="0" collapsed="false">
      <c r="A220" s="53"/>
      <c r="B220" s="53"/>
      <c r="C220" s="53"/>
      <c r="D220" s="53"/>
      <c r="E220" s="53"/>
      <c r="F220" s="53"/>
      <c r="G220" s="53"/>
      <c r="H220" s="53"/>
      <c r="I220" s="53"/>
      <c r="L220" s="53"/>
      <c r="M220" s="53"/>
      <c r="N220" s="53"/>
      <c r="O220" s="53"/>
      <c r="P220" s="53"/>
      <c r="Q220" s="53"/>
      <c r="T220" s="53"/>
    </row>
    <row r="249" s="31" customFormat="true" ht="13.5" hidden="false" customHeight="false" outlineLevel="0" collapsed="false"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customFormat="false" ht="13.5" hidden="false" customHeight="false" outlineLevel="0" collapsed="false">
      <c r="E253" s="29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</row>
    <row r="254" customFormat="false" ht="13.5" hidden="false" customHeight="false" outlineLevel="0" collapsed="false">
      <c r="E254" s="29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</row>
    <row r="255" s="31" customFormat="true" ht="13.5" hidden="false" customHeight="false" outlineLevel="0" collapsed="false">
      <c r="A255" s="58"/>
      <c r="B255" s="58"/>
      <c r="C255" s="58"/>
      <c r="D255" s="58"/>
      <c r="E255" s="58"/>
      <c r="F255" s="58"/>
    </row>
    <row r="256" s="31" customFormat="true" ht="13.5" hidden="false" customHeight="false" outlineLevel="0" collapsed="false">
      <c r="A256" s="58"/>
      <c r="B256" s="58"/>
      <c r="C256" s="58"/>
      <c r="D256" s="58"/>
      <c r="E256" s="58"/>
      <c r="F256" s="58"/>
      <c r="R256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96" man="true" max="16383" min="0"/>
    <brk id="136" man="true" max="16383" min="0"/>
    <brk id="176" man="true" max="16383" min="0"/>
    <brk id="216" man="true" max="16383" min="0"/>
  </rowBreak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FF99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tru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8.77"/>
    <col collapsed="false" customWidth="true" hidden="false" outlineLevel="0" max="13" min="13" style="30" width="5.11"/>
    <col collapsed="false" customWidth="true" hidden="false" outlineLevel="0" max="14" min="14" style="30" width="9.78"/>
    <col collapsed="false" customWidth="true" hidden="true" outlineLevel="0" max="15" min="15" style="30" width="3"/>
    <col collapsed="false" customWidth="true" hidden="true" outlineLevel="0" max="16" min="16" style="30" width="3.22"/>
    <col collapsed="false" customWidth="true" hidden="true" outlineLevel="0" max="17" min="17" style="30" width="3.56"/>
    <col collapsed="false" customWidth="true" hidden="true" outlineLevel="0" max="18" min="18" style="30" width="7.44"/>
    <col collapsed="false" customWidth="true" hidden="true" outlineLevel="0" max="19" min="19" style="30" width="4.44"/>
    <col collapsed="false" customWidth="true" hidden="tru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8" hidden="false" customHeight="false" outlineLevel="0" collapsed="false">
      <c r="A2" s="35" t="s">
        <v>464</v>
      </c>
      <c r="B2" s="35"/>
      <c r="C2" s="35" t="n">
        <v>1001</v>
      </c>
      <c r="D2" s="35"/>
      <c r="E2" s="35" t="s">
        <v>427</v>
      </c>
      <c r="F2" s="35" t="s">
        <v>443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8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457</v>
      </c>
      <c r="J3" s="33" t="s">
        <v>90</v>
      </c>
      <c r="K3" s="33"/>
      <c r="L3" s="33" t="s">
        <v>458</v>
      </c>
      <c r="M3" s="33" t="s">
        <v>459</v>
      </c>
      <c r="N3" s="33" t="s">
        <v>460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8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13.8" hidden="false" customHeight="false" outlineLevel="0" collapsed="false">
      <c r="A5" s="45" t="s">
        <v>419</v>
      </c>
      <c r="B5" s="38" t="n">
        <v>6</v>
      </c>
      <c r="C5" s="60" t="s">
        <v>104</v>
      </c>
      <c r="D5" s="38" t="s">
        <v>99</v>
      </c>
      <c r="E5" s="38" t="s">
        <v>359</v>
      </c>
      <c r="F5" s="40" t="n">
        <f aca="false">10.7639*(1.1*2.7)</f>
        <v>31.968783</v>
      </c>
      <c r="G5" s="36" t="n">
        <v>78</v>
      </c>
      <c r="H5" s="38" t="n">
        <v>85</v>
      </c>
      <c r="I5" s="41" t="n">
        <f aca="false">H5-G5</f>
        <v>7</v>
      </c>
      <c r="J5" s="38" t="n">
        <v>0.313</v>
      </c>
      <c r="K5" s="38" t="str">
        <f aca="false">_xlfn.UNICHAR(8596)</f>
        <v>↔</v>
      </c>
      <c r="L5" s="42" t="n">
        <f aca="false">F5*I5*J5</f>
        <v>70.043603553</v>
      </c>
      <c r="M5" s="41"/>
      <c r="N5" s="42" t="n">
        <f aca="false">L5+M5</f>
        <v>70.043603553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108</v>
      </c>
      <c r="B6" s="38" t="n">
        <v>6</v>
      </c>
      <c r="C6" s="39" t="s">
        <v>205</v>
      </c>
      <c r="D6" s="61" t="s">
        <v>99</v>
      </c>
      <c r="E6" s="38" t="s">
        <v>439</v>
      </c>
      <c r="F6" s="40" t="n">
        <f aca="false">10.7639*(2.2*2.7)</f>
        <v>63.937566</v>
      </c>
      <c r="G6" s="36" t="n">
        <v>78</v>
      </c>
      <c r="H6" s="38" t="n">
        <v>95</v>
      </c>
      <c r="I6" s="41" t="n">
        <f aca="false">H6-G6</f>
        <v>17</v>
      </c>
      <c r="J6" s="38" t="n">
        <v>0.063</v>
      </c>
      <c r="K6" s="38" t="str">
        <f aca="false">_xlfn.UNICHAR(8596)</f>
        <v>↔</v>
      </c>
      <c r="L6" s="42" t="n">
        <f aca="false">F6*I6*J6</f>
        <v>68.477133186</v>
      </c>
      <c r="M6" s="41"/>
      <c r="N6" s="42" t="n">
        <f aca="false">L6+M6</f>
        <v>68.477133186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108</v>
      </c>
      <c r="B7" s="38" t="n">
        <v>6</v>
      </c>
      <c r="C7" s="60" t="s">
        <v>175</v>
      </c>
      <c r="D7" s="38" t="s">
        <v>106</v>
      </c>
      <c r="E7" s="36"/>
      <c r="F7" s="40" t="n">
        <f aca="false">10.7639 *(0.057)</f>
        <v>0.6135423</v>
      </c>
      <c r="G7" s="36" t="n">
        <v>78</v>
      </c>
      <c r="H7" s="38" t="n">
        <v>95</v>
      </c>
      <c r="I7" s="41" t="n">
        <f aca="false">H7-G7</f>
        <v>17</v>
      </c>
      <c r="J7" s="38" t="n">
        <v>0.171</v>
      </c>
      <c r="K7" s="38" t="str">
        <f aca="false">_xlfn.UNICHAR(8595)</f>
        <v>↓</v>
      </c>
      <c r="L7" s="42" t="n">
        <f aca="false">F7*I7*J7</f>
        <v>1.7835674661</v>
      </c>
      <c r="M7" s="41"/>
      <c r="N7" s="42" t="n">
        <f aca="false">L7+M7</f>
        <v>1.7835674661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false" customHeight="false" outlineLevel="0" collapsed="false">
      <c r="A8" s="45"/>
      <c r="B8" s="38"/>
      <c r="C8" s="60"/>
      <c r="D8" s="38"/>
      <c r="E8" s="38"/>
      <c r="F8" s="40"/>
      <c r="G8" s="36"/>
      <c r="H8" s="38"/>
      <c r="I8" s="41"/>
      <c r="J8" s="38"/>
      <c r="K8" s="38"/>
      <c r="L8" s="42"/>
      <c r="M8" s="41"/>
      <c r="N8" s="42"/>
      <c r="O8" s="38"/>
      <c r="P8" s="38"/>
      <c r="Q8" s="41"/>
      <c r="R8" s="38"/>
      <c r="S8" s="38"/>
      <c r="T8" s="43"/>
    </row>
    <row r="9" customFormat="false" ht="13.8" hidden="false" customHeight="false" outlineLevel="0" collapsed="false">
      <c r="A9" s="45"/>
      <c r="B9" s="38"/>
      <c r="C9" s="60"/>
      <c r="D9" s="38"/>
      <c r="E9" s="38"/>
      <c r="F9" s="40"/>
      <c r="G9" s="36"/>
      <c r="H9" s="38"/>
      <c r="I9" s="41"/>
      <c r="J9" s="38"/>
      <c r="K9" s="38"/>
      <c r="L9" s="42"/>
      <c r="M9" s="41"/>
      <c r="N9" s="42"/>
      <c r="O9" s="38"/>
      <c r="P9" s="38"/>
      <c r="Q9" s="41"/>
      <c r="R9" s="38"/>
      <c r="S9" s="38"/>
      <c r="T9" s="43"/>
    </row>
    <row r="10" customFormat="false" ht="13.8" hidden="false" customHeight="false" outlineLevel="0" collapsed="false">
      <c r="A10" s="45"/>
      <c r="B10" s="38"/>
      <c r="C10" s="60"/>
      <c r="D10" s="38"/>
      <c r="E10" s="38"/>
      <c r="F10" s="40"/>
      <c r="G10" s="36"/>
      <c r="H10" s="38"/>
      <c r="I10" s="41"/>
      <c r="J10" s="38"/>
      <c r="K10" s="38"/>
      <c r="L10" s="42"/>
      <c r="M10" s="36"/>
      <c r="N10" s="42"/>
      <c r="O10" s="38"/>
      <c r="P10" s="38"/>
      <c r="Q10" s="41"/>
      <c r="R10" s="38"/>
      <c r="S10" s="38"/>
      <c r="T10" s="43"/>
    </row>
    <row r="11" customFormat="false" ht="13.8" hidden="false" customHeight="false" outlineLevel="0" collapsed="false">
      <c r="A11" s="45"/>
      <c r="B11" s="38"/>
      <c r="C11" s="60"/>
      <c r="D11" s="38"/>
      <c r="E11" s="38"/>
      <c r="F11" s="40"/>
      <c r="G11" s="36"/>
      <c r="H11" s="38"/>
      <c r="I11" s="41"/>
      <c r="J11" s="38"/>
      <c r="K11" s="38"/>
      <c r="L11" s="42"/>
      <c r="M11" s="36"/>
      <c r="N11" s="42"/>
      <c r="O11" s="38"/>
      <c r="P11" s="38"/>
      <c r="Q11" s="41"/>
      <c r="R11" s="38"/>
      <c r="S11" s="38"/>
      <c r="T11" s="43"/>
    </row>
    <row r="12" customFormat="false" ht="13.8" hidden="false" customHeight="false" outlineLevel="0" collapsed="false">
      <c r="A12" s="45"/>
      <c r="B12" s="38"/>
      <c r="C12" s="60"/>
      <c r="D12" s="38"/>
      <c r="E12" s="36"/>
      <c r="F12" s="40"/>
      <c r="G12" s="36"/>
      <c r="H12" s="38"/>
      <c r="I12" s="41"/>
      <c r="J12" s="38"/>
      <c r="K12" s="38"/>
      <c r="L12" s="42"/>
      <c r="M12" s="36"/>
      <c r="N12" s="42"/>
      <c r="O12" s="38"/>
      <c r="P12" s="38"/>
      <c r="Q12" s="41"/>
      <c r="R12" s="38"/>
      <c r="S12" s="38"/>
      <c r="T12" s="43"/>
    </row>
    <row r="13" customFormat="false" ht="13.8" hidden="false" customHeight="false" outlineLevel="0" collapsed="false">
      <c r="A13" s="45"/>
      <c r="B13" s="38"/>
      <c r="C13" s="60"/>
      <c r="D13" s="38"/>
      <c r="E13" s="36"/>
      <c r="F13" s="40"/>
      <c r="G13" s="36"/>
      <c r="H13" s="38"/>
      <c r="I13" s="41"/>
      <c r="J13" s="38"/>
      <c r="K13" s="38"/>
      <c r="L13" s="42"/>
      <c r="M13" s="36"/>
      <c r="N13" s="42"/>
      <c r="O13" s="38"/>
      <c r="P13" s="38"/>
      <c r="Q13" s="41"/>
      <c r="R13" s="38"/>
      <c r="S13" s="38"/>
      <c r="T13" s="43"/>
    </row>
    <row r="14" customFormat="false" ht="13.8" hidden="false" customHeight="false" outlineLevel="0" collapsed="false">
      <c r="A14" s="45"/>
      <c r="B14" s="38"/>
      <c r="C14" s="60"/>
      <c r="D14" s="38"/>
      <c r="E14" s="36"/>
      <c r="F14" s="40"/>
      <c r="G14" s="36"/>
      <c r="H14" s="38"/>
      <c r="I14" s="41"/>
      <c r="J14" s="38"/>
      <c r="K14" s="38"/>
      <c r="L14" s="42"/>
      <c r="M14" s="36"/>
      <c r="N14" s="42"/>
      <c r="O14" s="38"/>
      <c r="P14" s="38"/>
      <c r="Q14" s="41"/>
      <c r="R14" s="38"/>
      <c r="S14" s="38"/>
      <c r="T14" s="43"/>
    </row>
    <row r="15" customFormat="false" ht="13.8" hidden="false" customHeight="false" outlineLevel="0" collapsed="false">
      <c r="A15" s="45"/>
      <c r="B15" s="38"/>
      <c r="C15" s="60"/>
      <c r="D15" s="38"/>
      <c r="E15" s="36"/>
      <c r="F15" s="40"/>
      <c r="G15" s="36"/>
      <c r="H15" s="38"/>
      <c r="I15" s="41"/>
      <c r="J15" s="38"/>
      <c r="K15" s="38"/>
      <c r="L15" s="42"/>
      <c r="M15" s="36"/>
      <c r="N15" s="42"/>
      <c r="O15" s="38"/>
      <c r="P15" s="38"/>
      <c r="Q15" s="41"/>
      <c r="R15" s="38"/>
      <c r="S15" s="38"/>
      <c r="T15" s="43"/>
    </row>
    <row r="16" customFormat="false" ht="13.8" hidden="false" customHeight="false" outlineLevel="0" collapsed="false">
      <c r="A16" s="45"/>
      <c r="B16" s="38"/>
      <c r="C16" s="60"/>
      <c r="D16" s="38"/>
      <c r="E16" s="36"/>
      <c r="F16" s="40"/>
      <c r="G16" s="36"/>
      <c r="H16" s="38"/>
      <c r="I16" s="41"/>
      <c r="J16" s="38"/>
      <c r="K16" s="38"/>
      <c r="L16" s="42"/>
      <c r="M16" s="36"/>
      <c r="N16" s="42"/>
      <c r="O16" s="38"/>
      <c r="P16" s="38"/>
      <c r="Q16" s="41"/>
      <c r="R16" s="38"/>
      <c r="S16" s="38"/>
      <c r="T16" s="43"/>
    </row>
    <row r="17" customFormat="false" ht="13.8" hidden="false" customHeight="false" outlineLevel="0" collapsed="false">
      <c r="A17" s="45"/>
      <c r="B17" s="38"/>
      <c r="C17" s="60"/>
      <c r="D17" s="38"/>
      <c r="E17" s="36"/>
      <c r="F17" s="40"/>
      <c r="G17" s="36"/>
      <c r="H17" s="38"/>
      <c r="I17" s="41"/>
      <c r="J17" s="38"/>
      <c r="K17" s="38"/>
      <c r="L17" s="42"/>
      <c r="M17" s="36"/>
      <c r="N17" s="42"/>
      <c r="O17" s="38"/>
      <c r="P17" s="38"/>
      <c r="Q17" s="41"/>
      <c r="R17" s="38"/>
      <c r="S17" s="38"/>
      <c r="T17" s="43"/>
    </row>
    <row r="18" customFormat="false" ht="13.8" hidden="false" customHeight="false" outlineLevel="0" collapsed="false">
      <c r="B18" s="61"/>
      <c r="C18" s="60"/>
      <c r="D18" s="61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140.3043042051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(0.6*0.5))*3</f>
        <v>9.68751</v>
      </c>
      <c r="G20" s="36"/>
      <c r="H20" s="36"/>
      <c r="I20" s="36"/>
      <c r="J20" s="36"/>
      <c r="K20" s="36"/>
      <c r="L20" s="38" t="n">
        <f aca="false">F20*160</f>
        <v>1550.0016</v>
      </c>
      <c r="M20" s="36"/>
      <c r="N20" s="42" t="n">
        <f aca="false">L20+M20</f>
        <v>1550.0016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(8.0575)</f>
        <v>86.73012425</v>
      </c>
      <c r="G21" s="36"/>
      <c r="H21" s="36"/>
      <c r="I21" s="36"/>
      <c r="J21" s="36"/>
      <c r="K21" s="36"/>
      <c r="L21" s="38" t="n">
        <f aca="false">4*F21</f>
        <v>346.920497</v>
      </c>
      <c r="M21" s="36"/>
      <c r="N21" s="40" t="n">
        <f aca="false">L21+M21</f>
        <v>346.920497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1*315</f>
        <v>315</v>
      </c>
      <c r="M26" s="38" t="n">
        <f aca="false">1*485</f>
        <v>485</v>
      </c>
      <c r="N26" s="43" t="n">
        <f aca="false">L26+M26</f>
        <v>800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465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42" t="n">
        <f aca="false">SUM(L5:L28)</f>
        <v>2352.2264012051</v>
      </c>
      <c r="M29" s="41" t="n">
        <f aca="false">SUM(M5:M28)</f>
        <v>485</v>
      </c>
      <c r="N29" s="42" t="n">
        <f aca="false">SUM(N19:N28)</f>
        <v>2837.2264012051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465</v>
      </c>
      <c r="B30" s="36"/>
      <c r="C30" s="36"/>
      <c r="D30" s="36"/>
      <c r="E30" s="36"/>
      <c r="F30" s="36"/>
      <c r="G30" s="42" t="n">
        <f aca="false">N29+T29</f>
        <v>2837.2264012051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tru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tru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true" customHeight="false" outlineLevel="0" collapsed="false">
      <c r="E35" s="36" t="s">
        <v>119</v>
      </c>
      <c r="F35" s="40" t="n">
        <f aca="false">$F$21</f>
        <v>86.73012425</v>
      </c>
      <c r="G35" s="36" t="s">
        <v>120</v>
      </c>
    </row>
    <row r="36" customFormat="false" ht="13.8" hidden="tru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true" customHeight="false" outlineLevel="0" collapsed="false">
      <c r="E37" s="36" t="s">
        <v>123</v>
      </c>
      <c r="F37" s="41" t="n">
        <f aca="false">F35*F36</f>
        <v>768.278684279799</v>
      </c>
      <c r="G37" s="36" t="s">
        <v>124</v>
      </c>
    </row>
    <row r="38" customFormat="false" ht="13.8" hidden="true" customHeight="false" outlineLevel="0" collapsed="false">
      <c r="E38" s="36" t="s">
        <v>125</v>
      </c>
      <c r="F38" s="48" t="n">
        <f aca="false">F37/30</f>
        <v>25.6092894759933</v>
      </c>
      <c r="G38" s="36" t="s">
        <v>126</v>
      </c>
    </row>
    <row r="39" customFormat="false" ht="13.8" hidden="true" customHeight="false" outlineLevel="0" collapsed="false">
      <c r="E39" s="36" t="s">
        <v>127</v>
      </c>
      <c r="F39" s="42" t="n">
        <f aca="false">SUM($L$5:$L$28)</f>
        <v>2352.2264012051</v>
      </c>
      <c r="G39" s="36" t="s">
        <v>128</v>
      </c>
    </row>
    <row r="40" customFormat="false" ht="13.8" hidden="true" customHeight="false" outlineLevel="0" collapsed="false">
      <c r="E40" s="36" t="s">
        <v>129</v>
      </c>
      <c r="F40" s="41" t="n">
        <f aca="false">SUM($M$5:$M$28)</f>
        <v>485</v>
      </c>
      <c r="G40" s="36" t="s">
        <v>128</v>
      </c>
    </row>
    <row r="41" customFormat="false" ht="13.8" hidden="true" customHeight="false" outlineLevel="0" collapsed="false">
      <c r="E41" s="36" t="s">
        <v>130</v>
      </c>
      <c r="F41" s="42" t="n">
        <f aca="false">$N$29</f>
        <v>2837.2264012051</v>
      </c>
      <c r="G41" s="36" t="s">
        <v>128</v>
      </c>
    </row>
    <row r="42" customFormat="false" ht="13.8" hidden="tru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true" customHeight="false" outlineLevel="0" collapsed="false">
      <c r="E43" s="36" t="s">
        <v>132</v>
      </c>
      <c r="F43" s="48" t="n">
        <f aca="false">F39/(1.08*F33)</f>
        <v>87.1194963409296</v>
      </c>
      <c r="G43" s="36" t="s">
        <v>126</v>
      </c>
    </row>
    <row r="44" customFormat="false" ht="13.8" hidden="true" customHeight="false" outlineLevel="0" collapsed="false">
      <c r="E44" s="36" t="s">
        <v>126</v>
      </c>
      <c r="F44" s="49" t="n">
        <f aca="false">ROUNDUP(F43,0)</f>
        <v>88</v>
      </c>
      <c r="G44" s="36" t="s">
        <v>126</v>
      </c>
    </row>
    <row r="45" customFormat="false" ht="13.8" hidden="true" customHeight="false" outlineLevel="0" collapsed="false">
      <c r="E45" s="36" t="s">
        <v>133</v>
      </c>
      <c r="F45" s="42" t="n">
        <f aca="false">F44*0.0002930711</f>
        <v>0.0257902568</v>
      </c>
      <c r="G45" s="36" t="s">
        <v>134</v>
      </c>
    </row>
    <row r="46" customFormat="false" ht="13.8" hidden="true" customHeight="false" outlineLevel="0" collapsed="false">
      <c r="E46" s="36" t="s">
        <v>135</v>
      </c>
      <c r="F46" s="42" t="n">
        <f aca="false">F39/F41</f>
        <v>0.829058407255058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152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156</v>
      </c>
      <c r="D50" s="36"/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463</v>
      </c>
      <c r="D51" s="36" t="s">
        <v>148</v>
      </c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/>
      <c r="D52" s="36"/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69" t="s">
        <v>165</v>
      </c>
      <c r="B55" s="69"/>
      <c r="C55" s="69"/>
      <c r="D55" s="69" t="s">
        <v>166</v>
      </c>
      <c r="E55" s="69"/>
      <c r="F55" s="69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69"/>
      <c r="B56" s="69"/>
      <c r="C56" s="69"/>
      <c r="D56" s="69"/>
      <c r="E56" s="69"/>
      <c r="F56" s="69"/>
      <c r="G56" s="45" t="s">
        <v>168</v>
      </c>
      <c r="H56" s="45"/>
      <c r="I56" s="45"/>
      <c r="J56" s="45"/>
      <c r="K56" s="45" t="s">
        <v>169</v>
      </c>
      <c r="L56" s="45"/>
      <c r="M56" s="45"/>
      <c r="N56" s="45"/>
      <c r="O56" s="45"/>
      <c r="P56" s="45"/>
      <c r="Q56" s="45"/>
      <c r="R56" s="45" t="s">
        <v>170</v>
      </c>
      <c r="S56" s="45"/>
      <c r="T56" s="45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FF99"/>
    <pageSetUpPr fitToPage="false"/>
  </sheetPr>
  <dimension ref="A1:T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8.88671875" defaultRowHeight="13.5" customHeight="false" zeroHeight="false" outlineLevelRow="0" outlineLevelCol="0"/>
  <cols>
    <col collapsed="false" customWidth="true" hidden="false" outlineLevel="0" max="1" min="1" style="29" width="35.56"/>
    <col collapsed="false" customWidth="true" hidden="false" outlineLevel="0" max="2" min="2" style="30" width="11.44"/>
    <col collapsed="false" customWidth="true" hidden="false" outlineLevel="0" max="3" min="3" style="30" width="25.67"/>
    <col collapsed="false" customWidth="true" hidden="false" outlineLevel="0" max="4" min="4" style="30" width="12.67"/>
    <col collapsed="false" customWidth="true" hidden="false" outlineLevel="0" max="5" min="5" style="30" width="26.33"/>
    <col collapsed="false" customWidth="true" hidden="false" outlineLevel="0" max="6" min="6" style="30" width="18.78"/>
    <col collapsed="false" customWidth="true" hidden="true" outlineLevel="0" max="7" min="7" style="30" width="6.11"/>
    <col collapsed="false" customWidth="true" hidden="false" outlineLevel="0" max="8" min="8" style="30" width="4"/>
    <col collapsed="false" customWidth="true" hidden="false" outlineLevel="0" max="9" min="9" style="30" width="3.56"/>
    <col collapsed="false" customWidth="true" hidden="false" outlineLevel="0" max="10" min="10" style="30" width="7.44"/>
    <col collapsed="false" customWidth="true" hidden="false" outlineLevel="0" max="11" min="11" style="30" width="4.44"/>
    <col collapsed="false" customWidth="true" hidden="false" outlineLevel="0" max="12" min="12" style="30" width="9.78"/>
    <col collapsed="false" customWidth="true" hidden="false" outlineLevel="0" max="13" min="13" style="30" width="5.11"/>
    <col collapsed="false" customWidth="true" hidden="false" outlineLevel="0" max="14" min="14" style="30" width="14.11"/>
    <col collapsed="false" customWidth="true" hidden="true" outlineLevel="0" max="15" min="15" style="30" width="3"/>
    <col collapsed="false" customWidth="true" hidden="true" outlineLevel="0" max="16" min="16" style="30" width="3.22"/>
    <col collapsed="false" customWidth="true" hidden="true" outlineLevel="0" max="17" min="17" style="30" width="3.56"/>
    <col collapsed="false" customWidth="true" hidden="true" outlineLevel="0" max="18" min="18" style="30" width="7.44"/>
    <col collapsed="false" customWidth="true" hidden="true" outlineLevel="0" max="19" min="19" style="30" width="4.44"/>
    <col collapsed="false" customWidth="true" hidden="true" outlineLevel="0" max="20" min="20" style="30" width="5.56"/>
    <col collapsed="false" customWidth="false" hidden="false" outlineLevel="0" max="16384" min="21" style="31" width="8.88"/>
  </cols>
  <sheetData>
    <row r="1" s="29" customFormat="true" ht="13.5" hidden="false" customHeight="true" outlineLevel="0" collapsed="false">
      <c r="A1" s="32" t="s">
        <v>72</v>
      </c>
      <c r="B1" s="32"/>
      <c r="C1" s="32" t="s">
        <v>73</v>
      </c>
      <c r="D1" s="32"/>
      <c r="E1" s="32" t="s">
        <v>74</v>
      </c>
      <c r="F1" s="32" t="s">
        <v>75</v>
      </c>
      <c r="G1" s="33" t="s">
        <v>76</v>
      </c>
      <c r="H1" s="33"/>
      <c r="I1" s="33"/>
      <c r="J1" s="33"/>
      <c r="K1" s="33"/>
      <c r="L1" s="33"/>
      <c r="M1" s="33"/>
      <c r="N1" s="33"/>
      <c r="O1" s="34" t="s">
        <v>77</v>
      </c>
      <c r="P1" s="34"/>
      <c r="Q1" s="34"/>
      <c r="R1" s="34"/>
      <c r="S1" s="34"/>
      <c r="T1" s="34"/>
    </row>
    <row r="2" s="29" customFormat="true" ht="13.5" hidden="false" customHeight="false" outlineLevel="0" collapsed="false">
      <c r="A2" s="35" t="s">
        <v>436</v>
      </c>
      <c r="B2" s="35"/>
      <c r="C2" s="35" t="n">
        <v>1001</v>
      </c>
      <c r="D2" s="35"/>
      <c r="E2" s="35" t="s">
        <v>466</v>
      </c>
      <c r="F2" s="35" t="s">
        <v>358</v>
      </c>
      <c r="G2" s="33"/>
      <c r="H2" s="33"/>
      <c r="I2" s="33"/>
      <c r="J2" s="33"/>
      <c r="K2" s="33"/>
      <c r="L2" s="33"/>
      <c r="M2" s="33"/>
      <c r="N2" s="33"/>
      <c r="O2" s="34"/>
      <c r="P2" s="34"/>
      <c r="Q2" s="34"/>
      <c r="R2" s="34"/>
      <c r="S2" s="34"/>
      <c r="T2" s="34"/>
    </row>
    <row r="3" s="30" customFormat="true" ht="13.5" hidden="false" customHeight="false" outlineLevel="0" collapsed="false">
      <c r="A3" s="33" t="s">
        <v>81</v>
      </c>
      <c r="B3" s="33" t="s">
        <v>82</v>
      </c>
      <c r="C3" s="33" t="s">
        <v>83</v>
      </c>
      <c r="D3" s="33" t="s">
        <v>84</v>
      </c>
      <c r="E3" s="33" t="s">
        <v>85</v>
      </c>
      <c r="F3" s="33" t="s">
        <v>86</v>
      </c>
      <c r="G3" s="33" t="s">
        <v>87</v>
      </c>
      <c r="H3" s="33" t="s">
        <v>88</v>
      </c>
      <c r="I3" s="33" t="s">
        <v>457</v>
      </c>
      <c r="J3" s="33" t="s">
        <v>90</v>
      </c>
      <c r="K3" s="33"/>
      <c r="L3" s="33" t="s">
        <v>91</v>
      </c>
      <c r="M3" s="33" t="s">
        <v>92</v>
      </c>
      <c r="N3" s="33" t="s">
        <v>93</v>
      </c>
      <c r="O3" s="33" t="s">
        <v>87</v>
      </c>
      <c r="P3" s="33" t="s">
        <v>88</v>
      </c>
      <c r="Q3" s="33" t="s">
        <v>89</v>
      </c>
      <c r="R3" s="33" t="s">
        <v>90</v>
      </c>
      <c r="S3" s="33"/>
      <c r="T3" s="33" t="s">
        <v>94</v>
      </c>
    </row>
    <row r="4" s="30" customFormat="true" ht="13.5" hidden="false" customHeight="false" outlineLevel="0" collapsed="false">
      <c r="A4" s="33"/>
      <c r="B4" s="33"/>
      <c r="C4" s="33"/>
      <c r="D4" s="33"/>
      <c r="E4" s="33"/>
      <c r="F4" s="33"/>
      <c r="G4" s="33"/>
      <c r="H4" s="33"/>
      <c r="I4" s="33"/>
      <c r="J4" s="36" t="s">
        <v>95</v>
      </c>
      <c r="K4" s="36" t="s">
        <v>96</v>
      </c>
      <c r="L4" s="33"/>
      <c r="M4" s="33"/>
      <c r="N4" s="33"/>
      <c r="O4" s="33"/>
      <c r="P4" s="33"/>
      <c r="Q4" s="33"/>
      <c r="R4" s="36" t="s">
        <v>95</v>
      </c>
      <c r="S4" s="36" t="s">
        <v>96</v>
      </c>
      <c r="T4" s="33"/>
    </row>
    <row r="5" customFormat="false" ht="25.3" hidden="false" customHeight="false" outlineLevel="0" collapsed="false">
      <c r="A5" s="45" t="s">
        <v>108</v>
      </c>
      <c r="B5" s="38" t="n">
        <v>3</v>
      </c>
      <c r="C5" s="39" t="s">
        <v>205</v>
      </c>
      <c r="D5" s="61" t="s">
        <v>99</v>
      </c>
      <c r="E5" s="73" t="s">
        <v>467</v>
      </c>
      <c r="F5" s="40" t="n">
        <f aca="false">10.7639 *((2.8 + 7.6 + 8.0718/2 + 7.8/2 + 4.8 + 5)*2*2.9)</f>
        <v>1756.541681258</v>
      </c>
      <c r="G5" s="36" t="n">
        <v>78</v>
      </c>
      <c r="H5" s="38" t="n">
        <v>95</v>
      </c>
      <c r="I5" s="41" t="n">
        <f aca="false">H5-G5</f>
        <v>17</v>
      </c>
      <c r="J5" s="38" t="n">
        <v>0.073</v>
      </c>
      <c r="K5" s="38" t="str">
        <f aca="false">_xlfn.UNICHAR(8596)</f>
        <v>↔</v>
      </c>
      <c r="L5" s="42" t="n">
        <f aca="false">F5*I5*J5</f>
        <v>2179.86822644118</v>
      </c>
      <c r="M5" s="41"/>
      <c r="N5" s="42" t="n">
        <f aca="false">L5+M5</f>
        <v>2179.86822644118</v>
      </c>
      <c r="O5" s="38" t="n">
        <v>70</v>
      </c>
      <c r="P5" s="38" t="n">
        <v>70</v>
      </c>
      <c r="Q5" s="41" t="n">
        <f aca="false">O5-P5</f>
        <v>0</v>
      </c>
      <c r="R5" s="38"/>
      <c r="S5" s="38"/>
      <c r="T5" s="43" t="n">
        <f aca="false">F5*Q5*R5</f>
        <v>0</v>
      </c>
    </row>
    <row r="6" customFormat="false" ht="13.8" hidden="false" customHeight="false" outlineLevel="0" collapsed="false">
      <c r="A6" s="45" t="s">
        <v>468</v>
      </c>
      <c r="B6" s="38" t="n">
        <v>2</v>
      </c>
      <c r="C6" s="60" t="s">
        <v>175</v>
      </c>
      <c r="D6" s="38" t="s">
        <v>90</v>
      </c>
      <c r="E6" s="36"/>
      <c r="F6" s="40" t="n">
        <f aca="false">10.7639 *(6.329)</f>
        <v>68.1247231</v>
      </c>
      <c r="G6" s="36" t="n">
        <v>78</v>
      </c>
      <c r="H6" s="38" t="n">
        <v>95</v>
      </c>
      <c r="I6" s="41" t="n">
        <f aca="false">H6-G6</f>
        <v>17</v>
      </c>
      <c r="J6" s="38" t="n">
        <v>0.144</v>
      </c>
      <c r="K6" s="38" t="str">
        <f aca="false">_xlfn.UNICHAR(8593)</f>
        <v>↑</v>
      </c>
      <c r="L6" s="42" t="n">
        <f aca="false">F6*I6*J6</f>
        <v>166.7693221488</v>
      </c>
      <c r="M6" s="41"/>
      <c r="N6" s="42" t="n">
        <f aca="false">L6+M6</f>
        <v>166.7693221488</v>
      </c>
      <c r="O6" s="38" t="n">
        <v>70</v>
      </c>
      <c r="P6" s="38" t="n">
        <v>70</v>
      </c>
      <c r="Q6" s="41" t="n">
        <f aca="false">O6-P6</f>
        <v>0</v>
      </c>
      <c r="R6" s="38"/>
      <c r="S6" s="38"/>
      <c r="T6" s="42" t="n">
        <f aca="false">F6*Q6*R6</f>
        <v>0</v>
      </c>
    </row>
    <row r="7" customFormat="false" ht="13.8" hidden="false" customHeight="false" outlineLevel="0" collapsed="false">
      <c r="A7" s="45" t="s">
        <v>469</v>
      </c>
      <c r="B7" s="38" t="n">
        <v>2</v>
      </c>
      <c r="C7" s="60" t="s">
        <v>175</v>
      </c>
      <c r="D7" s="38" t="s">
        <v>90</v>
      </c>
      <c r="E7" s="36"/>
      <c r="F7" s="40" t="n">
        <f aca="false">10.7639 *(6.329)</f>
        <v>68.1247231</v>
      </c>
      <c r="G7" s="36" t="n">
        <v>78</v>
      </c>
      <c r="H7" s="38" t="n">
        <v>95</v>
      </c>
      <c r="I7" s="41" t="n">
        <f aca="false">H7-G7</f>
        <v>17</v>
      </c>
      <c r="J7" s="38" t="n">
        <v>0.144</v>
      </c>
      <c r="K7" s="38" t="str">
        <f aca="false">_xlfn.UNICHAR(8593)</f>
        <v>↑</v>
      </c>
      <c r="L7" s="42" t="n">
        <f aca="false">F7*I7*J7</f>
        <v>166.7693221488</v>
      </c>
      <c r="M7" s="41"/>
      <c r="N7" s="42" t="n">
        <f aca="false">L7+M7</f>
        <v>166.7693221488</v>
      </c>
      <c r="O7" s="38" t="n">
        <v>70</v>
      </c>
      <c r="P7" s="38" t="n">
        <v>70</v>
      </c>
      <c r="Q7" s="41" t="n">
        <f aca="false">O7-P7</f>
        <v>0</v>
      </c>
      <c r="R7" s="38"/>
      <c r="S7" s="38"/>
      <c r="T7" s="43" t="n">
        <f aca="false">F7*Q7*R7</f>
        <v>0</v>
      </c>
    </row>
    <row r="8" customFormat="false" ht="13.8" hidden="true" customHeight="false" outlineLevel="0" collapsed="false">
      <c r="A8" s="45" t="s">
        <v>440</v>
      </c>
      <c r="B8" s="38" t="n">
        <v>2</v>
      </c>
      <c r="C8" s="60" t="s">
        <v>175</v>
      </c>
      <c r="D8" s="38" t="s">
        <v>90</v>
      </c>
      <c r="E8" s="38"/>
      <c r="F8" s="46"/>
      <c r="G8" s="36" t="n">
        <v>78</v>
      </c>
      <c r="H8" s="38" t="n">
        <v>78</v>
      </c>
      <c r="I8" s="41" t="n">
        <f aca="false">H8-G8</f>
        <v>0</v>
      </c>
      <c r="J8" s="38" t="n">
        <v>0.144</v>
      </c>
      <c r="K8" s="38" t="str">
        <f aca="false">_xlfn.UNICHAR(8593)</f>
        <v>↑</v>
      </c>
      <c r="L8" s="42" t="n">
        <f aca="false">F8*I8*J8</f>
        <v>0</v>
      </c>
      <c r="M8" s="41"/>
      <c r="N8" s="42" t="n">
        <f aca="false">L8+M8</f>
        <v>0</v>
      </c>
      <c r="O8" s="38" t="n">
        <v>70</v>
      </c>
      <c r="P8" s="38" t="n">
        <v>70</v>
      </c>
      <c r="Q8" s="41" t="n">
        <f aca="false">O8-P8</f>
        <v>0</v>
      </c>
      <c r="R8" s="38"/>
      <c r="S8" s="38"/>
      <c r="T8" s="43" t="n">
        <f aca="false">F8*Q8*R8</f>
        <v>0</v>
      </c>
    </row>
    <row r="9" customFormat="false" ht="13.8" hidden="false" customHeight="false" outlineLevel="0" collapsed="false">
      <c r="A9" s="45" t="s">
        <v>385</v>
      </c>
      <c r="B9" s="38" t="n">
        <v>2</v>
      </c>
      <c r="C9" s="60" t="s">
        <v>175</v>
      </c>
      <c r="D9" s="38" t="s">
        <v>90</v>
      </c>
      <c r="E9" s="36"/>
      <c r="F9" s="40" t="n">
        <f aca="false">10.7639 *(3.08)</f>
        <v>33.152812</v>
      </c>
      <c r="G9" s="36" t="n">
        <v>78</v>
      </c>
      <c r="H9" s="38" t="n">
        <v>85</v>
      </c>
      <c r="I9" s="41" t="n">
        <f aca="false">H9-G9</f>
        <v>7</v>
      </c>
      <c r="J9" s="38" t="n">
        <v>0.144</v>
      </c>
      <c r="K9" s="38" t="str">
        <f aca="false">_xlfn.UNICHAR(8593)</f>
        <v>↑</v>
      </c>
      <c r="L9" s="42" t="n">
        <f aca="false">F9*I9*J9</f>
        <v>33.418034496</v>
      </c>
      <c r="M9" s="36"/>
      <c r="N9" s="42" t="n">
        <f aca="false">L9+M9</f>
        <v>33.418034496</v>
      </c>
      <c r="O9" s="38" t="n">
        <v>70</v>
      </c>
      <c r="P9" s="38" t="n">
        <v>70</v>
      </c>
      <c r="Q9" s="41" t="n">
        <f aca="false">O9-P9</f>
        <v>0</v>
      </c>
      <c r="R9" s="38"/>
      <c r="S9" s="38"/>
      <c r="T9" s="43" t="n">
        <f aca="false">F9*Q9*R9</f>
        <v>0</v>
      </c>
    </row>
    <row r="10" customFormat="false" ht="13.8" hidden="true" customHeight="false" outlineLevel="0" collapsed="false">
      <c r="A10" s="45" t="s">
        <v>381</v>
      </c>
      <c r="B10" s="38" t="n">
        <v>2</v>
      </c>
      <c r="C10" s="60" t="s">
        <v>175</v>
      </c>
      <c r="D10" s="38" t="s">
        <v>90</v>
      </c>
      <c r="E10" s="36"/>
      <c r="F10" s="46"/>
      <c r="G10" s="36" t="n">
        <v>78</v>
      </c>
      <c r="H10" s="38" t="n">
        <v>85</v>
      </c>
      <c r="I10" s="41" t="n">
        <f aca="false">H10-G10</f>
        <v>7</v>
      </c>
      <c r="J10" s="38" t="n">
        <v>0.144</v>
      </c>
      <c r="K10" s="38" t="str">
        <f aca="false">_xlfn.UNICHAR(8593)</f>
        <v>↑</v>
      </c>
      <c r="L10" s="42" t="n">
        <f aca="false">F10*I10*J10</f>
        <v>0</v>
      </c>
      <c r="M10" s="36"/>
      <c r="N10" s="42" t="n">
        <f aca="false">L10+M10</f>
        <v>0</v>
      </c>
      <c r="O10" s="38" t="n">
        <v>70</v>
      </c>
      <c r="P10" s="38" t="n">
        <v>70</v>
      </c>
      <c r="Q10" s="41" t="n">
        <f aca="false">O10-P10</f>
        <v>0</v>
      </c>
      <c r="R10" s="38"/>
      <c r="S10" s="38"/>
      <c r="T10" s="43" t="n">
        <f aca="false">F10*Q10*R10</f>
        <v>0</v>
      </c>
    </row>
    <row r="11" customFormat="false" ht="13.8" hidden="false" customHeight="false" outlineLevel="0" collapsed="false">
      <c r="A11" s="45" t="s">
        <v>190</v>
      </c>
      <c r="B11" s="38" t="n">
        <v>2</v>
      </c>
      <c r="C11" s="60" t="s">
        <v>175</v>
      </c>
      <c r="D11" s="38" t="s">
        <v>90</v>
      </c>
      <c r="E11" s="36"/>
      <c r="F11" s="40" t="n">
        <f aca="false">10.7639 *(18.249)</f>
        <v>196.4304111</v>
      </c>
      <c r="G11" s="36" t="n">
        <v>78</v>
      </c>
      <c r="H11" s="38" t="n">
        <v>80</v>
      </c>
      <c r="I11" s="41" t="n">
        <f aca="false">H11-G11</f>
        <v>2</v>
      </c>
      <c r="J11" s="38" t="n">
        <v>0.144</v>
      </c>
      <c r="K11" s="38" t="str">
        <f aca="false">_xlfn.UNICHAR(8593)</f>
        <v>↑</v>
      </c>
      <c r="L11" s="42" t="n">
        <f aca="false">F11*I11*J11</f>
        <v>56.5719583968</v>
      </c>
      <c r="M11" s="36"/>
      <c r="N11" s="42" t="n">
        <f aca="false">L11+M11</f>
        <v>56.5719583968</v>
      </c>
      <c r="O11" s="38" t="n">
        <v>70</v>
      </c>
      <c r="P11" s="38" t="n">
        <v>70</v>
      </c>
      <c r="Q11" s="41" t="n">
        <f aca="false">O11-P11</f>
        <v>0</v>
      </c>
      <c r="R11" s="38"/>
      <c r="S11" s="38"/>
      <c r="T11" s="43" t="n">
        <f aca="false">F11*Q11*R11</f>
        <v>0</v>
      </c>
    </row>
    <row r="12" customFormat="false" ht="13.8" hidden="false" customHeight="false" outlineLevel="0" collapsed="false">
      <c r="A12" s="45" t="s">
        <v>210</v>
      </c>
      <c r="B12" s="38" t="n">
        <v>2</v>
      </c>
      <c r="C12" s="60" t="s">
        <v>175</v>
      </c>
      <c r="D12" s="38" t="s">
        <v>90</v>
      </c>
      <c r="E12" s="36"/>
      <c r="F12" s="40" t="n">
        <f aca="false">10.7639 *(7.77)</f>
        <v>83.635503</v>
      </c>
      <c r="G12" s="36" t="n">
        <v>78</v>
      </c>
      <c r="H12" s="38" t="n">
        <v>85</v>
      </c>
      <c r="I12" s="41" t="n">
        <f aca="false">H12-G12</f>
        <v>7</v>
      </c>
      <c r="J12" s="38" t="n">
        <v>0.144</v>
      </c>
      <c r="K12" s="38" t="str">
        <f aca="false">_xlfn.UNICHAR(8593)</f>
        <v>↑</v>
      </c>
      <c r="L12" s="42" t="n">
        <f aca="false">F12*I12*J12</f>
        <v>84.304587024</v>
      </c>
      <c r="M12" s="36"/>
      <c r="N12" s="42" t="n">
        <f aca="false">L12+M12</f>
        <v>84.304587024</v>
      </c>
      <c r="O12" s="38" t="n">
        <v>70</v>
      </c>
      <c r="P12" s="38" t="n">
        <v>70</v>
      </c>
      <c r="Q12" s="41" t="n">
        <f aca="false">O12-P12</f>
        <v>0</v>
      </c>
      <c r="R12" s="38"/>
      <c r="S12" s="38"/>
      <c r="T12" s="43" t="n">
        <f aca="false">F12*Q12*R12</f>
        <v>0</v>
      </c>
    </row>
    <row r="13" customFormat="false" ht="13.8" hidden="false" customHeight="false" outlineLevel="0" collapsed="false">
      <c r="A13" s="45" t="s">
        <v>470</v>
      </c>
      <c r="B13" s="38" t="n">
        <v>2</v>
      </c>
      <c r="C13" s="60" t="s">
        <v>175</v>
      </c>
      <c r="D13" s="38" t="s">
        <v>90</v>
      </c>
      <c r="E13" s="36" t="s">
        <v>471</v>
      </c>
      <c r="F13" s="40" t="n">
        <f aca="false">10.7639 *(1.9*1)</f>
        <v>20.45141</v>
      </c>
      <c r="G13" s="36" t="n">
        <v>78</v>
      </c>
      <c r="H13" s="38" t="n">
        <v>120</v>
      </c>
      <c r="I13" s="41" t="n">
        <f aca="false">H13-G13</f>
        <v>42</v>
      </c>
      <c r="J13" s="38" t="n">
        <v>0.144</v>
      </c>
      <c r="K13" s="38" t="str">
        <f aca="false">_xlfn.UNICHAR(8593)</f>
        <v>↑</v>
      </c>
      <c r="L13" s="42" t="n">
        <f aca="false">F13*I13*J13</f>
        <v>123.69012768</v>
      </c>
      <c r="M13" s="36"/>
      <c r="N13" s="42" t="n">
        <f aca="false">L13+M13</f>
        <v>123.69012768</v>
      </c>
      <c r="O13" s="38" t="n">
        <v>70</v>
      </c>
      <c r="P13" s="38" t="n">
        <v>70</v>
      </c>
      <c r="Q13" s="41" t="n">
        <f aca="false">O13-P13</f>
        <v>0</v>
      </c>
      <c r="R13" s="38"/>
      <c r="S13" s="38"/>
      <c r="T13" s="43" t="n">
        <f aca="false">F13*Q13*R13</f>
        <v>0</v>
      </c>
    </row>
    <row r="14" customFormat="false" ht="13.8" hidden="false" customHeight="false" outlineLevel="0" collapsed="false">
      <c r="A14" s="45" t="s">
        <v>340</v>
      </c>
      <c r="B14" s="38" t="n">
        <v>2</v>
      </c>
      <c r="C14" s="60" t="s">
        <v>175</v>
      </c>
      <c r="D14" s="38" t="s">
        <v>90</v>
      </c>
      <c r="E14" s="36"/>
      <c r="F14" s="46" t="n">
        <f aca="false">10.7639 *(2.4*2.7)</f>
        <v>69.750072</v>
      </c>
      <c r="G14" s="36" t="n">
        <v>78</v>
      </c>
      <c r="H14" s="38" t="n">
        <v>120</v>
      </c>
      <c r="I14" s="41" t="n">
        <f aca="false">H14-G14</f>
        <v>42</v>
      </c>
      <c r="J14" s="38" t="n">
        <v>0.144</v>
      </c>
      <c r="K14" s="38" t="str">
        <f aca="false">_xlfn.UNICHAR(8593)</f>
        <v>↑</v>
      </c>
      <c r="L14" s="42" t="n">
        <f aca="false">F14*I14*J14</f>
        <v>421.848435456</v>
      </c>
      <c r="M14" s="36"/>
      <c r="N14" s="42" t="n">
        <f aca="false">L14+M14</f>
        <v>421.848435456</v>
      </c>
      <c r="O14" s="38" t="n">
        <v>70</v>
      </c>
      <c r="P14" s="38" t="n">
        <v>70</v>
      </c>
      <c r="Q14" s="41" t="n">
        <f aca="false">O14-P14</f>
        <v>0</v>
      </c>
      <c r="R14" s="38"/>
      <c r="S14" s="38"/>
      <c r="T14" s="43" t="n">
        <f aca="false">F14*Q14*R14</f>
        <v>0</v>
      </c>
    </row>
    <row r="15" customFormat="false" ht="13.8" hidden="false" customHeight="false" outlineLevel="0" collapsed="false">
      <c r="A15" s="45" t="s">
        <v>419</v>
      </c>
      <c r="B15" s="38" t="n">
        <v>2</v>
      </c>
      <c r="C15" s="60" t="s">
        <v>175</v>
      </c>
      <c r="D15" s="38" t="s">
        <v>90</v>
      </c>
      <c r="E15" s="36" t="s">
        <v>472</v>
      </c>
      <c r="F15" s="40" t="n">
        <f aca="false">10.7639 *(1.4*2.2)</f>
        <v>33.152812</v>
      </c>
      <c r="G15" s="36" t="n">
        <v>78</v>
      </c>
      <c r="H15" s="38" t="n">
        <v>85</v>
      </c>
      <c r="I15" s="41" t="n">
        <f aca="false">H15-G15</f>
        <v>7</v>
      </c>
      <c r="J15" s="38" t="n">
        <v>0.144</v>
      </c>
      <c r="K15" s="38" t="str">
        <f aca="false">_xlfn.UNICHAR(8593)</f>
        <v>↑</v>
      </c>
      <c r="L15" s="42" t="n">
        <f aca="false">F15*I15*J15</f>
        <v>33.418034496</v>
      </c>
      <c r="M15" s="36"/>
      <c r="N15" s="42" t="n">
        <f aca="false">L15+M15</f>
        <v>33.418034496</v>
      </c>
      <c r="O15" s="38" t="n">
        <v>70</v>
      </c>
      <c r="P15" s="38" t="n">
        <v>70</v>
      </c>
      <c r="Q15" s="41" t="n">
        <f aca="false">O15-P15</f>
        <v>0</v>
      </c>
      <c r="R15" s="38"/>
      <c r="S15" s="38"/>
      <c r="T15" s="43" t="n">
        <f aca="false">F15*Q15*R15</f>
        <v>0</v>
      </c>
    </row>
    <row r="16" customFormat="false" ht="13.8" hidden="false" customHeight="false" outlineLevel="0" collapsed="false">
      <c r="A16" s="45" t="s">
        <v>422</v>
      </c>
      <c r="B16" s="38" t="n">
        <v>2</v>
      </c>
      <c r="C16" s="60" t="s">
        <v>175</v>
      </c>
      <c r="D16" s="38" t="s">
        <v>90</v>
      </c>
      <c r="E16" s="36"/>
      <c r="F16" s="46" t="n">
        <f aca="false">10.7639 *(0.616)</f>
        <v>6.6305624</v>
      </c>
      <c r="G16" s="36" t="n">
        <v>78</v>
      </c>
      <c r="H16" s="38" t="n">
        <v>85</v>
      </c>
      <c r="I16" s="41" t="n">
        <f aca="false">H16-G16</f>
        <v>7</v>
      </c>
      <c r="J16" s="38" t="n">
        <v>0.144</v>
      </c>
      <c r="K16" s="38" t="str">
        <f aca="false">_xlfn.UNICHAR(8593)</f>
        <v>↑</v>
      </c>
      <c r="L16" s="42" t="n">
        <f aca="false">F16*I16*J16</f>
        <v>6.6836068992</v>
      </c>
      <c r="M16" s="36"/>
      <c r="N16" s="42" t="n">
        <f aca="false">L16+M16</f>
        <v>6.6836068992</v>
      </c>
      <c r="O16" s="38" t="n">
        <v>70</v>
      </c>
      <c r="P16" s="38" t="n">
        <v>70</v>
      </c>
      <c r="Q16" s="41" t="n">
        <f aca="false">O16-P16</f>
        <v>0</v>
      </c>
      <c r="R16" s="38"/>
      <c r="S16" s="38"/>
      <c r="T16" s="43" t="n">
        <f aca="false">F16*Q16*R16</f>
        <v>0</v>
      </c>
    </row>
    <row r="17" customFormat="false" ht="13.8" hidden="false" customHeight="false" outlineLevel="0" collapsed="false">
      <c r="A17" s="45" t="s">
        <v>108</v>
      </c>
      <c r="B17" s="38" t="n">
        <v>1</v>
      </c>
      <c r="C17" s="60" t="s">
        <v>175</v>
      </c>
      <c r="D17" s="38" t="s">
        <v>106</v>
      </c>
      <c r="E17" s="36"/>
      <c r="F17" s="46" t="n">
        <f aca="false">10.7639 *(0.616)</f>
        <v>6.6305624</v>
      </c>
      <c r="G17" s="36" t="n">
        <v>78</v>
      </c>
      <c r="H17" s="38" t="n">
        <v>95</v>
      </c>
      <c r="I17" s="41" t="n">
        <f aca="false">H17-G17</f>
        <v>17</v>
      </c>
      <c r="J17" s="38" t="n">
        <v>0.171</v>
      </c>
      <c r="K17" s="38" t="str">
        <f aca="false">_xlfn.UNICHAR(8595)</f>
        <v>↓</v>
      </c>
      <c r="L17" s="42" t="n">
        <f aca="false">F17*I17*J17</f>
        <v>19.2750448968</v>
      </c>
      <c r="M17" s="36"/>
      <c r="N17" s="42" t="n">
        <f aca="false">L17+M17</f>
        <v>19.2750448968</v>
      </c>
      <c r="O17" s="38" t="n">
        <v>70</v>
      </c>
      <c r="P17" s="38" t="n">
        <v>70</v>
      </c>
      <c r="Q17" s="41" t="n">
        <f aca="false">O17-P17</f>
        <v>0</v>
      </c>
      <c r="R17" s="38"/>
      <c r="S17" s="38"/>
      <c r="T17" s="43" t="n">
        <f aca="false">F17*Q17*R17</f>
        <v>0</v>
      </c>
    </row>
    <row r="18" customFormat="false" ht="13.8" hidden="false" customHeight="false" outlineLevel="0" collapsed="false">
      <c r="A18" s="45"/>
      <c r="B18" s="38"/>
      <c r="C18" s="60"/>
      <c r="D18" s="38"/>
      <c r="E18" s="38"/>
      <c r="F18" s="40"/>
      <c r="G18" s="36"/>
      <c r="H18" s="38"/>
      <c r="I18" s="41"/>
      <c r="J18" s="38"/>
      <c r="K18" s="38"/>
      <c r="L18" s="42"/>
      <c r="M18" s="36"/>
      <c r="N18" s="42"/>
      <c r="O18" s="38"/>
      <c r="P18" s="38"/>
      <c r="Q18" s="41"/>
      <c r="R18" s="38"/>
      <c r="S18" s="38"/>
      <c r="T18" s="43"/>
    </row>
    <row r="19" customFormat="false" ht="13.8" hidden="false" customHeight="false" outlineLevel="0" collapsed="false">
      <c r="A19" s="44" t="s">
        <v>109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42" t="n">
        <f aca="false">SUM(N5:N18)</f>
        <v>3292.61670008358</v>
      </c>
      <c r="O19" s="36"/>
      <c r="P19" s="36"/>
      <c r="Q19" s="36"/>
      <c r="R19" s="36"/>
      <c r="S19" s="36"/>
      <c r="T19" s="42" t="n">
        <f aca="false">SUM(T5:T18)</f>
        <v>0</v>
      </c>
    </row>
    <row r="20" customFormat="false" ht="13.8" hidden="false" customHeight="false" outlineLevel="0" collapsed="false">
      <c r="A20" s="45" t="s">
        <v>110</v>
      </c>
      <c r="B20" s="36"/>
      <c r="C20" s="36"/>
      <c r="D20" s="36"/>
      <c r="E20" s="36"/>
      <c r="F20" s="38" t="n">
        <f aca="false">(10.7639 * (1.8*8*1) * (1.8*2.8*2) * (1.8*3.9*2) * (1.8*4.8*2) * (1.8*(2.3+1.8)*1))*1</f>
        <v>2797434.24060547</v>
      </c>
      <c r="G20" s="36"/>
      <c r="H20" s="36"/>
      <c r="I20" s="36"/>
      <c r="J20" s="36"/>
      <c r="K20" s="36"/>
      <c r="L20" s="38" t="n">
        <f aca="false">F20/160</f>
        <v>17483.9640037842</v>
      </c>
      <c r="M20" s="36"/>
      <c r="N20" s="42" t="n">
        <f aca="false">L20+M20</f>
        <v>17483.9640037842</v>
      </c>
      <c r="O20" s="36"/>
      <c r="P20" s="36"/>
      <c r="Q20" s="36"/>
      <c r="R20" s="36"/>
      <c r="S20" s="36"/>
      <c r="T20" s="42"/>
    </row>
    <row r="21" customFormat="false" ht="13.8" hidden="false" customHeight="false" outlineLevel="0" collapsed="false">
      <c r="A21" s="45" t="s">
        <v>111</v>
      </c>
      <c r="B21" s="36" t="n">
        <v>7</v>
      </c>
      <c r="C21" s="36"/>
      <c r="D21" s="36"/>
      <c r="E21" s="36"/>
      <c r="F21" s="40" t="n">
        <f aca="false">10.7639 * (174.99)</f>
        <v>1883.574861</v>
      </c>
      <c r="G21" s="36"/>
      <c r="H21" s="36"/>
      <c r="I21" s="36"/>
      <c r="J21" s="36"/>
      <c r="K21" s="36"/>
      <c r="L21" s="38" t="n">
        <f aca="false">16*F21</f>
        <v>30137.197776</v>
      </c>
      <c r="M21" s="36"/>
      <c r="N21" s="40" t="n">
        <f aca="false">L21+M21</f>
        <v>30137.197776</v>
      </c>
      <c r="O21" s="36"/>
      <c r="P21" s="36"/>
      <c r="Q21" s="36"/>
      <c r="R21" s="36"/>
      <c r="S21" s="36"/>
      <c r="T21" s="46"/>
    </row>
    <row r="22" customFormat="false" ht="13.8" hidden="false" customHeight="false" outlineLevel="0" collapsed="false">
      <c r="A22" s="4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46"/>
      <c r="O22" s="36"/>
      <c r="P22" s="36"/>
      <c r="Q22" s="36"/>
      <c r="R22" s="36"/>
      <c r="S22" s="36"/>
      <c r="T22" s="46"/>
    </row>
    <row r="23" customFormat="false" ht="13.8" hidden="false" customHeight="false" outlineLevel="0" collapsed="false">
      <c r="A23" s="4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46"/>
      <c r="O23" s="36"/>
      <c r="P23" s="36"/>
      <c r="Q23" s="36"/>
      <c r="R23" s="36"/>
      <c r="S23" s="36"/>
      <c r="T23" s="46"/>
    </row>
    <row r="24" customFormat="false" ht="13.8" hidden="false" customHeight="false" outlineLevel="0" collapsed="false">
      <c r="A24" s="4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46"/>
      <c r="O24" s="36"/>
      <c r="P24" s="36"/>
      <c r="Q24" s="36"/>
      <c r="R24" s="36"/>
      <c r="S24" s="36"/>
      <c r="T24" s="46"/>
    </row>
    <row r="25" customFormat="false" ht="13.8" hidden="false" customHeight="false" outlineLevel="0" collapsed="false">
      <c r="A25" s="4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</row>
    <row r="26" customFormat="false" ht="13.8" hidden="false" customHeight="false" outlineLevel="0" collapsed="false">
      <c r="A26" s="45" t="s">
        <v>114</v>
      </c>
      <c r="B26" s="36" t="n">
        <v>9</v>
      </c>
      <c r="C26" s="36"/>
      <c r="D26" s="36"/>
      <c r="E26" s="36"/>
      <c r="F26" s="36"/>
      <c r="G26" s="36"/>
      <c r="H26" s="36"/>
      <c r="I26" s="36"/>
      <c r="J26" s="36"/>
      <c r="K26" s="36"/>
      <c r="L26" s="38" t="n">
        <f aca="false">4*315</f>
        <v>1260</v>
      </c>
      <c r="M26" s="38" t="n">
        <f aca="false">4*485</f>
        <v>1940</v>
      </c>
      <c r="N26" s="43" t="n">
        <f aca="false">L26+M26</f>
        <v>3200</v>
      </c>
      <c r="O26" s="36"/>
      <c r="P26" s="36"/>
      <c r="Q26" s="36"/>
      <c r="R26" s="36"/>
      <c r="S26" s="36"/>
      <c r="T26" s="46"/>
    </row>
    <row r="27" customFormat="false" ht="13.8" hidden="false" customHeight="false" outlineLevel="0" collapsed="false">
      <c r="A27" s="45" t="s">
        <v>201</v>
      </c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62"/>
      <c r="O27" s="36"/>
      <c r="P27" s="36"/>
      <c r="Q27" s="36"/>
      <c r="R27" s="36"/>
      <c r="S27" s="36"/>
      <c r="T27" s="46"/>
    </row>
    <row r="28" customFormat="false" ht="13.8" hidden="false" customHeight="false" outlineLevel="0" collapsed="false">
      <c r="A28" s="4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62"/>
      <c r="O28" s="36"/>
      <c r="P28" s="36"/>
      <c r="Q28" s="36"/>
      <c r="R28" s="36"/>
      <c r="S28" s="36"/>
      <c r="T28" s="46"/>
    </row>
    <row r="29" customFormat="false" ht="13.8" hidden="false" customHeight="false" outlineLevel="0" collapsed="false">
      <c r="A29" s="44" t="s">
        <v>465</v>
      </c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42" t="n">
        <f aca="false">SUM(L5:L28)</f>
        <v>52173.7784798678</v>
      </c>
      <c r="M29" s="41" t="n">
        <f aca="false">SUM(M5:M28)</f>
        <v>1940</v>
      </c>
      <c r="N29" s="42" t="n">
        <f aca="false">SUM(N19:N28)</f>
        <v>54113.7784798678</v>
      </c>
      <c r="O29" s="36"/>
      <c r="P29" s="36"/>
      <c r="Q29" s="36"/>
      <c r="R29" s="36"/>
      <c r="S29" s="36"/>
      <c r="T29" s="42" t="n">
        <f aca="false">SUM(T19:T28)</f>
        <v>0</v>
      </c>
    </row>
    <row r="30" customFormat="false" ht="13.8" hidden="false" customHeight="false" outlineLevel="0" collapsed="false">
      <c r="A30" s="44" t="s">
        <v>465</v>
      </c>
      <c r="B30" s="36"/>
      <c r="C30" s="36"/>
      <c r="D30" s="36"/>
      <c r="E30" s="36"/>
      <c r="F30" s="36"/>
      <c r="G30" s="42" t="n">
        <f aca="false">N29+T29</f>
        <v>54113.7784798678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</row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true" customHeight="false" outlineLevel="0" collapsed="false">
      <c r="E33" s="36" t="s">
        <v>116</v>
      </c>
      <c r="F33" s="36" t="n">
        <v>25</v>
      </c>
      <c r="G33" s="13" t="s">
        <v>117</v>
      </c>
    </row>
    <row r="34" customFormat="false" ht="13.8" hidden="true" customHeight="false" outlineLevel="0" collapsed="false">
      <c r="E34" s="36" t="s">
        <v>118</v>
      </c>
      <c r="F34" s="36" t="n">
        <f aca="false">15*1</f>
        <v>15</v>
      </c>
      <c r="G34" s="36"/>
    </row>
    <row r="35" customFormat="false" ht="13.8" hidden="true" customHeight="false" outlineLevel="0" collapsed="false">
      <c r="E35" s="36" t="s">
        <v>119</v>
      </c>
      <c r="F35" s="72" t="n">
        <f aca="false">$F$21</f>
        <v>1883.574861</v>
      </c>
      <c r="G35" s="36" t="s">
        <v>120</v>
      </c>
    </row>
    <row r="36" customFormat="false" ht="13.8" hidden="true" customHeight="false" outlineLevel="0" collapsed="false">
      <c r="E36" s="36" t="s">
        <v>121</v>
      </c>
      <c r="F36" s="40" t="n">
        <f aca="false">3.28084 * 2.7</f>
        <v>8.858268</v>
      </c>
      <c r="G36" s="36" t="s">
        <v>122</v>
      </c>
    </row>
    <row r="37" customFormat="false" ht="13.8" hidden="true" customHeight="false" outlineLevel="0" collapsed="false">
      <c r="E37" s="36" t="s">
        <v>123</v>
      </c>
      <c r="F37" s="43" t="n">
        <f aca="false">F35*F36</f>
        <v>16685.2109168008</v>
      </c>
      <c r="G37" s="36" t="s">
        <v>124</v>
      </c>
    </row>
    <row r="38" customFormat="false" ht="13.8" hidden="true" customHeight="false" outlineLevel="0" collapsed="false">
      <c r="E38" s="36" t="s">
        <v>473</v>
      </c>
      <c r="F38" s="49" t="n">
        <f aca="false">F37/30</f>
        <v>556.173697226692</v>
      </c>
      <c r="G38" s="36" t="s">
        <v>126</v>
      </c>
    </row>
    <row r="39" customFormat="false" ht="13.8" hidden="true" customHeight="false" outlineLevel="0" collapsed="false">
      <c r="E39" s="36" t="s">
        <v>127</v>
      </c>
      <c r="F39" s="43" t="n">
        <f aca="false">SUM($L$5:$L$28)</f>
        <v>52173.7784798678</v>
      </c>
      <c r="G39" s="36" t="s">
        <v>128</v>
      </c>
    </row>
    <row r="40" customFormat="false" ht="13.8" hidden="true" customHeight="false" outlineLevel="0" collapsed="false">
      <c r="E40" s="36" t="s">
        <v>129</v>
      </c>
      <c r="F40" s="43" t="n">
        <f aca="false">SUM($M$5:$M$28)</f>
        <v>1940</v>
      </c>
      <c r="G40" s="36" t="s">
        <v>128</v>
      </c>
    </row>
    <row r="41" customFormat="false" ht="13.8" hidden="true" customHeight="false" outlineLevel="0" collapsed="false">
      <c r="E41" s="36" t="s">
        <v>130</v>
      </c>
      <c r="F41" s="43" t="n">
        <f aca="false">$N$29</f>
        <v>54113.7784798678</v>
      </c>
      <c r="G41" s="36" t="s">
        <v>128</v>
      </c>
    </row>
    <row r="42" customFormat="false" ht="13.8" hidden="true" customHeight="false" outlineLevel="0" collapsed="false">
      <c r="E42" s="36" t="s">
        <v>131</v>
      </c>
      <c r="F42" s="42" t="n">
        <f aca="false">$T$29</f>
        <v>0</v>
      </c>
      <c r="G42" s="36" t="s">
        <v>128</v>
      </c>
    </row>
    <row r="43" customFormat="false" ht="13.8" hidden="true" customHeight="false" outlineLevel="0" collapsed="false">
      <c r="E43" s="36" t="s">
        <v>132</v>
      </c>
      <c r="F43" s="49" t="n">
        <f aca="false">F39/(1.08*F33)</f>
        <v>1932.36216592103</v>
      </c>
      <c r="G43" s="36" t="s">
        <v>126</v>
      </c>
    </row>
    <row r="44" customFormat="false" ht="13.8" hidden="true" customHeight="false" outlineLevel="0" collapsed="false">
      <c r="E44" s="36" t="s">
        <v>132</v>
      </c>
      <c r="F44" s="49" t="n">
        <f aca="false">ROUNDUP(F43,0)</f>
        <v>1933</v>
      </c>
      <c r="G44" s="36" t="s">
        <v>126</v>
      </c>
    </row>
    <row r="45" customFormat="false" ht="13.8" hidden="true" customHeight="false" outlineLevel="0" collapsed="false">
      <c r="E45" s="36" t="s">
        <v>133</v>
      </c>
      <c r="F45" s="42" t="n">
        <f aca="false">F44*0.0002930711</f>
        <v>0.5665064363</v>
      </c>
      <c r="G45" s="36" t="s">
        <v>134</v>
      </c>
    </row>
    <row r="46" customFormat="false" ht="13.8" hidden="true" customHeight="false" outlineLevel="0" collapsed="false">
      <c r="E46" s="36" t="s">
        <v>135</v>
      </c>
      <c r="F46" s="42" t="n">
        <f aca="false">F39/F41</f>
        <v>0.964149611161938</v>
      </c>
      <c r="G46" s="36"/>
    </row>
    <row r="47" customFormat="false" ht="13.5" hidden="false" customHeight="true" outlineLevel="0" collapsed="false">
      <c r="A47" s="36" t="s">
        <v>136</v>
      </c>
      <c r="B47" s="36"/>
      <c r="C47" s="36"/>
      <c r="D47" s="36"/>
      <c r="E47" s="36" t="s">
        <v>137</v>
      </c>
      <c r="F47" s="36"/>
      <c r="G47" s="50" t="s">
        <v>138</v>
      </c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</row>
    <row r="48" customFormat="false" ht="13.5" hidden="false" customHeight="false" outlineLevel="0" collapsed="false">
      <c r="A48" s="45" t="s">
        <v>139</v>
      </c>
      <c r="B48" s="36" t="s">
        <v>140</v>
      </c>
      <c r="C48" s="36" t="s">
        <v>141</v>
      </c>
      <c r="D48" s="36" t="s">
        <v>142</v>
      </c>
      <c r="E48" s="45" t="s">
        <v>143</v>
      </c>
      <c r="F48" s="36" t="s">
        <v>144</v>
      </c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</row>
    <row r="49" customFormat="false" ht="13.5" hidden="false" customHeight="false" outlineLevel="0" collapsed="false">
      <c r="A49" s="45" t="s">
        <v>145</v>
      </c>
      <c r="B49" s="36" t="s">
        <v>146</v>
      </c>
      <c r="C49" s="36" t="s">
        <v>152</v>
      </c>
      <c r="D49" s="36" t="s">
        <v>148</v>
      </c>
      <c r="E49" s="45" t="s">
        <v>149</v>
      </c>
      <c r="F49" s="36" t="s">
        <v>150</v>
      </c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</row>
    <row r="50" customFormat="false" ht="13.5" hidden="false" customHeight="false" outlineLevel="0" collapsed="false">
      <c r="A50" s="45" t="s">
        <v>151</v>
      </c>
      <c r="B50" s="36" t="s">
        <v>146</v>
      </c>
      <c r="C50" s="36" t="s">
        <v>156</v>
      </c>
      <c r="D50" s="36"/>
      <c r="E50" s="45" t="s">
        <v>153</v>
      </c>
      <c r="F50" s="36" t="s">
        <v>154</v>
      </c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</row>
    <row r="51" customFormat="false" ht="13.5" hidden="false" customHeight="false" outlineLevel="0" collapsed="false">
      <c r="A51" s="45" t="s">
        <v>155</v>
      </c>
      <c r="B51" s="36" t="s">
        <v>146</v>
      </c>
      <c r="C51" s="36" t="s">
        <v>463</v>
      </c>
      <c r="D51" s="36" t="s">
        <v>148</v>
      </c>
      <c r="E51" s="45" t="s">
        <v>157</v>
      </c>
      <c r="F51" s="36" t="s">
        <v>158</v>
      </c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</row>
    <row r="52" customFormat="false" ht="13.5" hidden="false" customHeight="false" outlineLevel="0" collapsed="false">
      <c r="A52" s="45" t="s">
        <v>159</v>
      </c>
      <c r="B52" s="36" t="s">
        <v>146</v>
      </c>
      <c r="C52" s="36"/>
      <c r="D52" s="36"/>
      <c r="E52" s="45" t="s">
        <v>161</v>
      </c>
      <c r="F52" s="36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</row>
    <row r="53" customFormat="false" ht="13.5" hidden="false" customHeight="false" outlineLevel="0" collapsed="false">
      <c r="A53" s="45" t="s">
        <v>162</v>
      </c>
      <c r="B53" s="36" t="s">
        <v>163</v>
      </c>
      <c r="C53" s="36"/>
      <c r="D53" s="36"/>
      <c r="E53" s="45"/>
      <c r="F53" s="36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</row>
    <row r="54" customFormat="false" ht="13.5" hidden="false" customHeight="false" outlineLevel="0" collapsed="false">
      <c r="A54" s="45" t="s">
        <v>164</v>
      </c>
      <c r="B54" s="36" t="s">
        <v>163</v>
      </c>
      <c r="C54" s="36"/>
      <c r="D54" s="36"/>
      <c r="E54" s="45"/>
      <c r="F54" s="36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</row>
    <row r="55" customFormat="false" ht="13.5" hidden="false" customHeight="true" outlineLevel="0" collapsed="false">
      <c r="A55" s="51" t="s">
        <v>165</v>
      </c>
      <c r="B55" s="51"/>
      <c r="C55" s="51"/>
      <c r="D55" s="51" t="s">
        <v>166</v>
      </c>
      <c r="E55" s="51"/>
      <c r="F55" s="51"/>
      <c r="G55" s="45" t="s">
        <v>167</v>
      </c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</row>
    <row r="56" customFormat="false" ht="13.5" hidden="false" customHeight="false" outlineLevel="0" collapsed="false">
      <c r="A56" s="51"/>
      <c r="B56" s="51"/>
      <c r="C56" s="51"/>
      <c r="D56" s="51"/>
      <c r="E56" s="51"/>
      <c r="F56" s="51"/>
      <c r="G56" s="52" t="s">
        <v>168</v>
      </c>
      <c r="H56" s="52"/>
      <c r="I56" s="52"/>
      <c r="J56" s="52"/>
      <c r="K56" s="52" t="s">
        <v>169</v>
      </c>
      <c r="L56" s="52"/>
      <c r="M56" s="52"/>
      <c r="N56" s="52"/>
      <c r="O56" s="52"/>
      <c r="P56" s="52"/>
      <c r="Q56" s="52"/>
      <c r="R56" s="52" t="s">
        <v>170</v>
      </c>
      <c r="S56" s="52"/>
      <c r="T56" s="52"/>
    </row>
    <row r="57" customFormat="false" ht="13.5" hidden="false" customHeight="false" outlineLevel="0" collapsed="false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</row>
    <row r="58" customFormat="false" ht="13.5" hidden="false" customHeight="false" outlineLevel="0" collapsed="false">
      <c r="A58" s="53"/>
      <c r="B58" s="53"/>
      <c r="C58" s="53"/>
      <c r="D58" s="53"/>
      <c r="E58" s="53"/>
      <c r="F58" s="53"/>
      <c r="G58" s="53"/>
      <c r="H58" s="53"/>
      <c r="I58" s="53"/>
      <c r="L58" s="53"/>
      <c r="M58" s="53"/>
      <c r="N58" s="53"/>
      <c r="O58" s="53"/>
      <c r="P58" s="53"/>
      <c r="Q58" s="53"/>
      <c r="T58" s="53"/>
    </row>
    <row r="59" customFormat="false" ht="13.5" hidden="false" customHeight="false" outlineLevel="0" collapsed="false">
      <c r="F59" s="54"/>
      <c r="L59" s="54"/>
    </row>
    <row r="60" customFormat="false" ht="13.5" hidden="false" customHeight="false" outlineLevel="0" collapsed="false">
      <c r="F60" s="54"/>
      <c r="L60" s="54"/>
    </row>
    <row r="61" customFormat="false" ht="13.5" hidden="false" customHeight="false" outlineLevel="0" collapsed="false">
      <c r="F61" s="54"/>
      <c r="L61" s="54"/>
    </row>
    <row r="62" customFormat="false" ht="13.5" hidden="false" customHeight="false" outlineLevel="0" collapsed="false">
      <c r="F62" s="54"/>
      <c r="L62" s="54"/>
    </row>
    <row r="63" customFormat="false" ht="13.5" hidden="false" customHeight="false" outlineLevel="0" collapsed="false">
      <c r="F63" s="54"/>
      <c r="L63" s="54"/>
    </row>
    <row r="64" customFormat="false" ht="13.5" hidden="false" customHeight="false" outlineLevel="0" collapsed="false">
      <c r="F64" s="54"/>
      <c r="L64" s="54"/>
    </row>
    <row r="65" customFormat="false" ht="13.5" hidden="false" customHeight="false" outlineLevel="0" collapsed="false">
      <c r="F65" s="54"/>
      <c r="L65" s="54"/>
    </row>
    <row r="66" customFormat="false" ht="13.5" hidden="false" customHeight="false" outlineLevel="0" collapsed="false">
      <c r="F66" s="54"/>
      <c r="L66" s="54"/>
    </row>
    <row r="67" customFormat="false" ht="13.5" hidden="false" customHeight="false" outlineLevel="0" collapsed="false">
      <c r="F67" s="54"/>
      <c r="L67" s="54"/>
    </row>
    <row r="68" customFormat="false" ht="13.5" hidden="false" customHeight="false" outlineLevel="0" collapsed="false">
      <c r="A68" s="55"/>
      <c r="N68" s="54"/>
    </row>
    <row r="69" customFormat="false" ht="13.5" hidden="false" customHeight="false" outlineLevel="0" collapsed="false">
      <c r="F69" s="54"/>
    </row>
    <row r="72" customFormat="false" ht="13.5" hidden="false" customHeight="false" outlineLevel="0" collapsed="false">
      <c r="A72" s="55"/>
    </row>
    <row r="73" customFormat="false" ht="13.5" hidden="false" customHeight="false" outlineLevel="0" collapsed="false">
      <c r="A73" s="55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87" s="31" customFormat="true" ht="13.5" hidden="false" customHeight="false" outlineLevel="0" collapsed="false"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customFormat="false" ht="13.5" hidden="false" customHeight="false" outlineLevel="0" collapsed="false">
      <c r="E88" s="29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customFormat="false" ht="13.5" hidden="false" customHeight="false" outlineLevel="0" collapsed="false">
      <c r="E89" s="29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customFormat="false" ht="13.5" hidden="false" customHeight="false" outlineLevel="0" collapsed="false">
      <c r="E90" s="29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customFormat="false" ht="13.5" hidden="false" customHeight="false" outlineLevel="0" collapsed="false">
      <c r="E91" s="29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customFormat="false" ht="13.5" hidden="false" customHeight="false" outlineLevel="0" collapsed="false">
      <c r="E92" s="29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="31" customFormat="true" ht="13.5" hidden="false" customHeight="false" outlineLevel="0" collapsed="false">
      <c r="A93" s="58"/>
      <c r="B93" s="58"/>
      <c r="C93" s="58"/>
      <c r="D93" s="58"/>
      <c r="E93" s="58"/>
      <c r="F93" s="58"/>
    </row>
    <row r="94" s="31" customFormat="true" ht="13.5" hidden="false" customHeight="false" outlineLevel="0" collapsed="false">
      <c r="A94" s="58"/>
      <c r="B94" s="58"/>
      <c r="C94" s="58"/>
      <c r="D94" s="58"/>
      <c r="E94" s="58"/>
      <c r="F94" s="58"/>
      <c r="R94" s="29"/>
    </row>
    <row r="95" customFormat="false" ht="13.5" hidden="false" customHeight="true" outlineLevel="0" collapsed="false">
      <c r="A95" s="53"/>
      <c r="B95" s="53"/>
      <c r="C95" s="53"/>
      <c r="D95" s="53"/>
      <c r="E95" s="55"/>
      <c r="F95" s="55"/>
      <c r="G95" s="53"/>
      <c r="H95" s="53"/>
      <c r="I95" s="53"/>
      <c r="J95" s="53"/>
      <c r="K95" s="53"/>
      <c r="L95" s="53"/>
      <c r="M95" s="53"/>
      <c r="N95" s="53"/>
      <c r="O95" s="59"/>
      <c r="P95" s="59"/>
      <c r="Q95" s="59"/>
      <c r="R95" s="59"/>
      <c r="S95" s="59"/>
      <c r="T95" s="59"/>
    </row>
    <row r="96" s="31" customFormat="true" ht="13.5" hidden="false" customHeight="false" outlineLevel="0" collapsed="false"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9"/>
      <c r="P96" s="59"/>
      <c r="Q96" s="59"/>
      <c r="R96" s="59"/>
      <c r="S96" s="59"/>
      <c r="T96" s="59"/>
    </row>
    <row r="97" customFormat="false" ht="13.5" hidden="false" customHeight="false" outlineLevel="0" collapsed="false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</row>
    <row r="98" customFormat="false" ht="13.5" hidden="false" customHeight="false" outlineLevel="0" collapsed="false">
      <c r="A98" s="53"/>
      <c r="B98" s="53"/>
      <c r="C98" s="53"/>
      <c r="D98" s="53"/>
      <c r="E98" s="53"/>
      <c r="F98" s="53"/>
      <c r="G98" s="53"/>
      <c r="H98" s="53"/>
      <c r="I98" s="53"/>
      <c r="L98" s="53"/>
      <c r="M98" s="53"/>
      <c r="N98" s="53"/>
      <c r="O98" s="53"/>
      <c r="P98" s="53"/>
      <c r="Q98" s="53"/>
      <c r="T98" s="53"/>
    </row>
    <row r="127" s="31" customFormat="true" ht="13.5" hidden="false" customHeight="false" outlineLevel="0" collapsed="false"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</row>
    <row r="128" customFormat="false" ht="13.5" hidden="false" customHeight="false" outlineLevel="0" collapsed="false">
      <c r="E128" s="29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</row>
    <row r="129" customFormat="false" ht="13.5" hidden="false" customHeight="false" outlineLevel="0" collapsed="false">
      <c r="E129" s="29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</row>
    <row r="130" customFormat="false" ht="13.5" hidden="false" customHeight="false" outlineLevel="0" collapsed="false">
      <c r="E130" s="29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</row>
    <row r="131" customFormat="false" ht="13.5" hidden="false" customHeight="false" outlineLevel="0" collapsed="false">
      <c r="E131" s="29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</row>
    <row r="132" customFormat="false" ht="13.5" hidden="false" customHeight="false" outlineLevel="0" collapsed="false">
      <c r="E132" s="29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</row>
    <row r="133" s="31" customFormat="true" ht="13.5" hidden="false" customHeight="false" outlineLevel="0" collapsed="false">
      <c r="A133" s="58"/>
      <c r="B133" s="58"/>
      <c r="C133" s="58"/>
      <c r="D133" s="58"/>
      <c r="E133" s="58"/>
      <c r="F133" s="58"/>
    </row>
    <row r="134" s="31" customFormat="true" ht="13.5" hidden="false" customHeight="false" outlineLevel="0" collapsed="false">
      <c r="A134" s="58"/>
      <c r="B134" s="58"/>
      <c r="C134" s="58"/>
      <c r="D134" s="58"/>
      <c r="E134" s="58"/>
      <c r="F134" s="58"/>
      <c r="R134" s="29"/>
    </row>
    <row r="135" customFormat="false" ht="13.5" hidden="false" customHeight="true" outlineLevel="0" collapsed="false">
      <c r="A135" s="53"/>
      <c r="B135" s="53"/>
      <c r="C135" s="53"/>
      <c r="D135" s="53"/>
      <c r="E135" s="55"/>
      <c r="F135" s="55"/>
      <c r="G135" s="53"/>
      <c r="H135" s="53"/>
      <c r="I135" s="53"/>
      <c r="J135" s="53"/>
      <c r="K135" s="53"/>
      <c r="L135" s="53"/>
      <c r="M135" s="53"/>
      <c r="N135" s="53"/>
      <c r="O135" s="59"/>
      <c r="P135" s="59"/>
      <c r="Q135" s="59"/>
      <c r="R135" s="59"/>
      <c r="S135" s="59"/>
      <c r="T135" s="59"/>
    </row>
    <row r="136" s="31" customFormat="true" ht="13.5" hidden="false" customHeight="false" outlineLevel="0" collapsed="false"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9"/>
      <c r="P136" s="59"/>
      <c r="Q136" s="59"/>
      <c r="R136" s="59"/>
      <c r="S136" s="59"/>
      <c r="T136" s="59"/>
    </row>
    <row r="137" customFormat="false" ht="13.5" hidden="false" customHeight="false" outlineLevel="0" collapsed="false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</row>
    <row r="138" customFormat="false" ht="13.5" hidden="false" customHeight="false" outlineLevel="0" collapsed="false">
      <c r="A138" s="53"/>
      <c r="B138" s="53"/>
      <c r="C138" s="53"/>
      <c r="D138" s="53"/>
      <c r="E138" s="53"/>
      <c r="F138" s="53"/>
      <c r="G138" s="53"/>
      <c r="H138" s="53"/>
      <c r="I138" s="53"/>
      <c r="L138" s="53"/>
      <c r="M138" s="53"/>
      <c r="N138" s="53"/>
      <c r="O138" s="53"/>
      <c r="P138" s="53"/>
      <c r="Q138" s="53"/>
      <c r="T138" s="53"/>
    </row>
    <row r="167" s="31" customFormat="true" ht="13.5" hidden="false" customHeight="false" outlineLevel="0" collapsed="false"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</row>
    <row r="168" customFormat="false" ht="13.5" hidden="false" customHeight="false" outlineLevel="0" collapsed="false">
      <c r="E168" s="29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</row>
    <row r="169" customFormat="false" ht="13.5" hidden="false" customHeight="false" outlineLevel="0" collapsed="false">
      <c r="E169" s="29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</row>
    <row r="170" customFormat="false" ht="13.5" hidden="false" customHeight="false" outlineLevel="0" collapsed="false">
      <c r="E170" s="29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</row>
    <row r="171" customFormat="false" ht="13.5" hidden="false" customHeight="false" outlineLevel="0" collapsed="false">
      <c r="E171" s="29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</row>
    <row r="172" customFormat="false" ht="13.5" hidden="false" customHeight="false" outlineLevel="0" collapsed="false">
      <c r="E172" s="29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</row>
    <row r="173" s="31" customFormat="true" ht="13.5" hidden="false" customHeight="false" outlineLevel="0" collapsed="false">
      <c r="A173" s="58"/>
      <c r="B173" s="58"/>
      <c r="C173" s="58"/>
      <c r="D173" s="58"/>
      <c r="E173" s="58"/>
      <c r="F173" s="58"/>
    </row>
    <row r="174" s="31" customFormat="true" ht="13.5" hidden="false" customHeight="false" outlineLevel="0" collapsed="false">
      <c r="A174" s="58"/>
      <c r="B174" s="58"/>
      <c r="C174" s="58"/>
      <c r="D174" s="58"/>
      <c r="E174" s="58"/>
      <c r="F174" s="58"/>
      <c r="R174" s="29"/>
    </row>
    <row r="175" customFormat="false" ht="13.5" hidden="false" customHeight="false" outlineLevel="0" collapsed="false">
      <c r="A175" s="53"/>
      <c r="B175" s="53"/>
      <c r="C175" s="53"/>
      <c r="D175" s="53"/>
      <c r="E175" s="55"/>
      <c r="F175" s="55"/>
      <c r="G175" s="53"/>
      <c r="H175" s="53"/>
      <c r="I175" s="53"/>
      <c r="J175" s="53"/>
      <c r="K175" s="53"/>
      <c r="L175" s="53"/>
      <c r="M175" s="53"/>
      <c r="N175" s="53"/>
      <c r="O175" s="59"/>
      <c r="P175" s="59"/>
      <c r="Q175" s="59"/>
      <c r="R175" s="59"/>
      <c r="S175" s="59"/>
      <c r="T175" s="59"/>
    </row>
    <row r="176" s="31" customFormat="true" ht="13.5" hidden="false" customHeight="false" outlineLevel="0" collapsed="false"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9"/>
      <c r="P176" s="59"/>
      <c r="Q176" s="59"/>
      <c r="R176" s="59"/>
      <c r="S176" s="59"/>
      <c r="T176" s="59"/>
    </row>
    <row r="177" customFormat="false" ht="13.5" hidden="false" customHeight="false" outlineLevel="0" collapsed="false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</row>
    <row r="178" customFormat="false" ht="13.5" hidden="false" customHeight="false" outlineLevel="0" collapsed="false">
      <c r="A178" s="53"/>
      <c r="B178" s="53"/>
      <c r="C178" s="53"/>
      <c r="D178" s="53"/>
      <c r="E178" s="53"/>
      <c r="F178" s="53"/>
      <c r="G178" s="53"/>
      <c r="H178" s="53"/>
      <c r="I178" s="53"/>
      <c r="L178" s="53"/>
      <c r="M178" s="53"/>
      <c r="N178" s="53"/>
      <c r="O178" s="53"/>
      <c r="P178" s="53"/>
      <c r="Q178" s="53"/>
      <c r="T178" s="53"/>
    </row>
    <row r="207" s="31" customFormat="true" ht="13.5" hidden="false" customHeight="false" outlineLevel="0" collapsed="false"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</row>
    <row r="208" customFormat="false" ht="13.5" hidden="false" customHeight="false" outlineLevel="0" collapsed="false">
      <c r="E208" s="29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</row>
    <row r="209" customFormat="false" ht="13.5" hidden="false" customHeight="false" outlineLevel="0" collapsed="false">
      <c r="E209" s="29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</row>
    <row r="210" customFormat="false" ht="13.5" hidden="false" customHeight="false" outlineLevel="0" collapsed="false">
      <c r="E210" s="29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</row>
    <row r="211" customFormat="false" ht="13.5" hidden="false" customHeight="false" outlineLevel="0" collapsed="false">
      <c r="E211" s="29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</row>
    <row r="212" customFormat="false" ht="13.5" hidden="false" customHeight="false" outlineLevel="0" collapsed="false">
      <c r="E212" s="29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</row>
    <row r="213" s="31" customFormat="true" ht="13.5" hidden="false" customHeight="false" outlineLevel="0" collapsed="false">
      <c r="A213" s="58"/>
      <c r="B213" s="58"/>
      <c r="C213" s="58"/>
      <c r="D213" s="58"/>
      <c r="E213" s="58"/>
      <c r="F213" s="58"/>
    </row>
    <row r="214" s="31" customFormat="true" ht="13.5" hidden="false" customHeight="false" outlineLevel="0" collapsed="false">
      <c r="A214" s="58"/>
      <c r="B214" s="58"/>
      <c r="C214" s="58"/>
      <c r="D214" s="58"/>
      <c r="E214" s="58"/>
      <c r="F214" s="58"/>
      <c r="R214" s="29"/>
    </row>
    <row r="215" customFormat="false" ht="13.5" hidden="false" customHeight="false" outlineLevel="0" collapsed="false">
      <c r="A215" s="53"/>
      <c r="B215" s="53"/>
      <c r="C215" s="53"/>
      <c r="D215" s="53"/>
      <c r="E215" s="55"/>
      <c r="F215" s="55"/>
      <c r="G215" s="53"/>
      <c r="H215" s="53"/>
      <c r="I215" s="53"/>
      <c r="J215" s="53"/>
      <c r="K215" s="53"/>
      <c r="L215" s="53"/>
      <c r="M215" s="53"/>
      <c r="N215" s="53"/>
      <c r="O215" s="59"/>
      <c r="P215" s="59"/>
      <c r="Q215" s="59"/>
      <c r="R215" s="59"/>
      <c r="S215" s="59"/>
      <c r="T215" s="59"/>
    </row>
    <row r="216" s="31" customFormat="true" ht="13.5" hidden="false" customHeight="false" outlineLevel="0" collapsed="false"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9"/>
      <c r="P216" s="59"/>
      <c r="Q216" s="59"/>
      <c r="R216" s="59"/>
      <c r="S216" s="59"/>
      <c r="T216" s="59"/>
    </row>
    <row r="217" customFormat="false" ht="13.5" hidden="false" customHeight="false" outlineLevel="0" collapsed="false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</row>
    <row r="218" customFormat="false" ht="13.5" hidden="false" customHeight="false" outlineLevel="0" collapsed="false">
      <c r="A218" s="53"/>
      <c r="B218" s="53"/>
      <c r="C218" s="53"/>
      <c r="D218" s="53"/>
      <c r="E218" s="53"/>
      <c r="F218" s="53"/>
      <c r="G218" s="53"/>
      <c r="H218" s="53"/>
      <c r="I218" s="53"/>
      <c r="L218" s="53"/>
      <c r="M218" s="53"/>
      <c r="N218" s="53"/>
      <c r="O218" s="53"/>
      <c r="P218" s="53"/>
      <c r="Q218" s="53"/>
      <c r="T218" s="53"/>
    </row>
    <row r="247" s="31" customFormat="true" ht="13.5" hidden="false" customHeight="false" outlineLevel="0" collapsed="false"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</row>
    <row r="248" customFormat="false" ht="13.5" hidden="false" customHeight="false" outlineLevel="0" collapsed="false">
      <c r="E248" s="29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</row>
    <row r="249" customFormat="false" ht="13.5" hidden="false" customHeight="false" outlineLevel="0" collapsed="false">
      <c r="E249" s="29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</row>
    <row r="250" customFormat="false" ht="13.5" hidden="false" customHeight="false" outlineLevel="0" collapsed="false">
      <c r="E250" s="29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</row>
    <row r="251" customFormat="false" ht="13.5" hidden="false" customHeight="false" outlineLevel="0" collapsed="false">
      <c r="E251" s="29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</row>
    <row r="252" customFormat="false" ht="13.5" hidden="false" customHeight="false" outlineLevel="0" collapsed="false">
      <c r="E252" s="29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</row>
    <row r="253" s="31" customFormat="true" ht="13.5" hidden="false" customHeight="false" outlineLevel="0" collapsed="false">
      <c r="A253" s="58"/>
      <c r="B253" s="58"/>
      <c r="C253" s="58"/>
      <c r="D253" s="58"/>
      <c r="E253" s="58"/>
      <c r="F253" s="58"/>
    </row>
    <row r="254" s="31" customFormat="true" ht="13.5" hidden="false" customHeight="false" outlineLevel="0" collapsed="false">
      <c r="A254" s="58"/>
      <c r="B254" s="58"/>
      <c r="C254" s="58"/>
      <c r="D254" s="58"/>
      <c r="E254" s="58"/>
      <c r="F254" s="58"/>
      <c r="R254" s="29"/>
    </row>
  </sheetData>
  <mergeCells count="35">
    <mergeCell ref="A1:B1"/>
    <mergeCell ref="C1:D1"/>
    <mergeCell ref="G1:N2"/>
    <mergeCell ref="O1:T2"/>
    <mergeCell ref="A2:B2"/>
    <mergeCell ref="C2:D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K3"/>
    <mergeCell ref="L3:L4"/>
    <mergeCell ref="M3:M4"/>
    <mergeCell ref="N3:N4"/>
    <mergeCell ref="O3:O4"/>
    <mergeCell ref="P3:P4"/>
    <mergeCell ref="Q3:Q4"/>
    <mergeCell ref="R3:S3"/>
    <mergeCell ref="T3:T4"/>
    <mergeCell ref="G30:T30"/>
    <mergeCell ref="A47:D47"/>
    <mergeCell ref="E47:F47"/>
    <mergeCell ref="G47:T52"/>
    <mergeCell ref="A55:C56"/>
    <mergeCell ref="D55:F56"/>
    <mergeCell ref="G55:T55"/>
    <mergeCell ref="G56:J56"/>
    <mergeCell ref="K56:N56"/>
    <mergeCell ref="O56:Q56"/>
    <mergeCell ref="S56:T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8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94" man="true" max="16383" min="0"/>
    <brk id="134" man="true" max="16383" min="0"/>
    <brk id="174" man="true" max="16383" min="0"/>
    <brk id="214" man="true" max="16383" min="0"/>
  </rowBreak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2" topLeftCell="A3" activePane="bottomLeft" state="frozen"/>
      <selection pane="topLeft" activeCell="A1" activeCellId="0" sqref="A1"/>
      <selection pane="bottomLeft" activeCell="M20" activeCellId="0" sqref="M20"/>
    </sheetView>
  </sheetViews>
  <sheetFormatPr defaultColWidth="8.88671875" defaultRowHeight="15" customHeight="false" zeroHeight="false" outlineLevelRow="0" outlineLevelCol="0"/>
  <cols>
    <col collapsed="false" customWidth="true" hidden="false" outlineLevel="0" max="1" min="1" style="74" width="34.44"/>
    <col collapsed="false" customWidth="true" hidden="false" outlineLevel="0" max="2" min="2" style="74" width="11.67"/>
    <col collapsed="false" customWidth="true" hidden="false" outlineLevel="0" max="12" min="3" style="74" width="14.67"/>
    <col collapsed="false" customWidth="true" hidden="false" outlineLevel="0" max="13" min="13" style="16" width="14.21"/>
    <col collapsed="false" customWidth="true" hidden="false" outlineLevel="0" max="14" min="14" style="16" width="12.44"/>
    <col collapsed="false" customWidth="true" hidden="false" outlineLevel="0" max="15" min="15" style="16" width="12"/>
    <col collapsed="false" customWidth="true" hidden="false" outlineLevel="0" max="16" min="16" style="16" width="19.56"/>
    <col collapsed="false" customWidth="true" hidden="false" outlineLevel="0" max="17" min="17" style="16" width="16"/>
    <col collapsed="false" customWidth="true" hidden="false" outlineLevel="0" max="18" min="18" style="16" width="12.77"/>
    <col collapsed="false" customWidth="true" hidden="false" outlineLevel="0" max="19" min="19" style="16" width="10.56"/>
    <col collapsed="false" customWidth="true" hidden="false" outlineLevel="0" max="20" min="20" style="74" width="12.44"/>
    <col collapsed="false" customWidth="true" hidden="false" outlineLevel="0" max="21" min="21" style="16" width="10.88"/>
    <col collapsed="false" customWidth="true" hidden="false" outlineLevel="0" max="22" min="22" style="74" width="14"/>
    <col collapsed="false" customWidth="true" hidden="false" outlineLevel="0" max="23" min="23" style="74" width="18.78"/>
    <col collapsed="false" customWidth="false" hidden="false" outlineLevel="0" max="16384" min="24" style="74" width="8.88"/>
  </cols>
  <sheetData>
    <row r="1" customFormat="false" ht="15" hidden="false" customHeight="true" outlineLevel="0" collapsed="false">
      <c r="A1" s="75" t="s">
        <v>72</v>
      </c>
      <c r="B1" s="75" t="s">
        <v>474</v>
      </c>
      <c r="C1" s="75" t="s">
        <v>74</v>
      </c>
      <c r="D1" s="75" t="s">
        <v>75</v>
      </c>
      <c r="E1" s="75" t="s">
        <v>475</v>
      </c>
      <c r="F1" s="75" t="s">
        <v>476</v>
      </c>
      <c r="G1" s="75"/>
      <c r="H1" s="75"/>
      <c r="I1" s="75" t="s">
        <v>135</v>
      </c>
      <c r="J1" s="75" t="s">
        <v>477</v>
      </c>
      <c r="K1" s="75"/>
      <c r="L1" s="75"/>
      <c r="M1" s="75" t="s">
        <v>126</v>
      </c>
      <c r="N1" s="76" t="s">
        <v>478</v>
      </c>
      <c r="O1" s="76" t="s">
        <v>479</v>
      </c>
      <c r="P1" s="76" t="s">
        <v>480</v>
      </c>
      <c r="Q1" s="76" t="s">
        <v>481</v>
      </c>
      <c r="R1" s="75" t="s">
        <v>482</v>
      </c>
      <c r="S1" s="75"/>
      <c r="T1" s="76" t="s">
        <v>483</v>
      </c>
      <c r="U1" s="75" t="s">
        <v>484</v>
      </c>
      <c r="V1" s="76" t="s">
        <v>485</v>
      </c>
    </row>
    <row r="2" customFormat="false" ht="15" hidden="false" customHeight="false" outlineLevel="0" collapsed="false">
      <c r="A2" s="75"/>
      <c r="B2" s="75"/>
      <c r="C2" s="75"/>
      <c r="D2" s="75"/>
      <c r="E2" s="75"/>
      <c r="F2" s="75" t="s">
        <v>486</v>
      </c>
      <c r="G2" s="75" t="s">
        <v>487</v>
      </c>
      <c r="H2" s="75" t="s">
        <v>465</v>
      </c>
      <c r="I2" s="75"/>
      <c r="J2" s="75" t="s">
        <v>473</v>
      </c>
      <c r="K2" s="75" t="s">
        <v>488</v>
      </c>
      <c r="L2" s="75" t="s">
        <v>489</v>
      </c>
      <c r="M2" s="75"/>
      <c r="N2" s="76"/>
      <c r="O2" s="76"/>
      <c r="P2" s="76"/>
      <c r="Q2" s="76"/>
      <c r="R2" s="75" t="s">
        <v>490</v>
      </c>
      <c r="S2" s="75"/>
      <c r="T2" s="76"/>
      <c r="U2" s="75"/>
      <c r="V2" s="76"/>
    </row>
    <row r="3" customFormat="false" ht="15" hidden="false" customHeight="false" outlineLevel="0" collapsed="false">
      <c r="A3" s="23" t="s">
        <v>26</v>
      </c>
      <c r="B3" s="77"/>
      <c r="C3" s="78" t="s">
        <v>79</v>
      </c>
      <c r="D3" s="11"/>
      <c r="E3" s="11"/>
      <c r="F3" s="22"/>
      <c r="G3" s="11"/>
      <c r="H3" s="79"/>
      <c r="I3" s="80" t="n">
        <f aca="false">'VEGETABLE STORE'!F46</f>
        <v>0.970967883712404</v>
      </c>
      <c r="J3" s="24" t="n">
        <f aca="false">'VEGETABLE STORE'!F38</f>
        <v>48.7787756664326</v>
      </c>
      <c r="K3" s="81" t="n">
        <f aca="false">15*1</f>
        <v>15</v>
      </c>
      <c r="L3" s="81" t="n">
        <f aca="false">15*1</f>
        <v>15</v>
      </c>
      <c r="M3" s="79" t="n">
        <f aca="false">'VEGETABLE STORE'!F44</f>
        <v>638</v>
      </c>
      <c r="N3" s="24" t="n">
        <f aca="false">MAX(J3:L3)</f>
        <v>48.7787756664326</v>
      </c>
      <c r="O3" s="24" t="n">
        <f aca="false">M3*0.47194745</f>
        <v>301.1024731</v>
      </c>
      <c r="P3" s="82"/>
      <c r="Q3" s="83"/>
      <c r="R3" s="84"/>
      <c r="S3" s="77"/>
      <c r="T3" s="22"/>
      <c r="U3" s="77"/>
      <c r="V3" s="77"/>
    </row>
    <row r="4" customFormat="false" ht="15" hidden="false" customHeight="false" outlineLevel="0" collapsed="false">
      <c r="A4" s="23" t="s">
        <v>27</v>
      </c>
      <c r="B4" s="77"/>
      <c r="C4" s="78"/>
      <c r="D4" s="11"/>
      <c r="E4" s="11"/>
      <c r="F4" s="22"/>
      <c r="G4" s="11"/>
      <c r="H4" s="79"/>
      <c r="I4" s="80" t="n">
        <v>0</v>
      </c>
      <c r="J4" s="24" t="n">
        <f aca="false">'MEET FISH STORE'!F38</f>
        <v>33.37232882382</v>
      </c>
      <c r="K4" s="81" t="n">
        <f aca="false">15*1</f>
        <v>15</v>
      </c>
      <c r="L4" s="81" t="n">
        <f aca="false">15*1</f>
        <v>15</v>
      </c>
      <c r="M4" s="79" t="n">
        <f aca="false">'MEET FISH STORE'!F44</f>
        <v>325</v>
      </c>
      <c r="N4" s="24" t="n">
        <f aca="false">MAX(J4:L4)</f>
        <v>33.37232882382</v>
      </c>
      <c r="O4" s="24" t="n">
        <f aca="false">M4*0.47194745</f>
        <v>153.38292125</v>
      </c>
      <c r="P4" s="82"/>
      <c r="Q4" s="83"/>
      <c r="R4" s="84"/>
      <c r="S4" s="77"/>
      <c r="T4" s="22"/>
      <c r="U4" s="77"/>
      <c r="V4" s="77"/>
    </row>
    <row r="5" customFormat="false" ht="15" hidden="false" customHeight="false" outlineLevel="0" collapsed="false">
      <c r="A5" s="23" t="s">
        <v>28</v>
      </c>
      <c r="B5" s="77"/>
      <c r="C5" s="78"/>
      <c r="D5" s="11"/>
      <c r="E5" s="11"/>
      <c r="F5" s="22"/>
      <c r="G5" s="11"/>
      <c r="H5" s="79"/>
      <c r="I5" s="80" t="n">
        <f aca="false">'ENGINE CONTROL ROOM'!F46</f>
        <v>0.969915582753903</v>
      </c>
      <c r="J5" s="24" t="n">
        <f aca="false">'ENGINE CONTROL ROOM'!F38</f>
        <v>208.147982349712</v>
      </c>
      <c r="K5" s="81" t="n">
        <f aca="false">15*2</f>
        <v>30</v>
      </c>
      <c r="L5" s="81" t="n">
        <f aca="false">15*2</f>
        <v>30</v>
      </c>
      <c r="M5" s="79" t="n">
        <f aca="false">'ENGINE CONTROL ROOM'!F44</f>
        <v>1738</v>
      </c>
      <c r="N5" s="24" t="n">
        <f aca="false">MAX(J5:L5)</f>
        <v>208.147982349712</v>
      </c>
      <c r="O5" s="24" t="n">
        <f aca="false">M5*0.47194745</f>
        <v>820.2446681</v>
      </c>
      <c r="P5" s="82"/>
      <c r="Q5" s="83"/>
      <c r="R5" s="84"/>
      <c r="S5" s="77"/>
      <c r="T5" s="22"/>
      <c r="U5" s="77"/>
      <c r="V5" s="77"/>
    </row>
    <row r="6" customFormat="false" ht="15" hidden="false" customHeight="false" outlineLevel="0" collapsed="false">
      <c r="A6" s="23" t="s">
        <v>29</v>
      </c>
      <c r="B6" s="77"/>
      <c r="C6" s="78"/>
      <c r="D6" s="11"/>
      <c r="E6" s="11"/>
      <c r="F6" s="22"/>
      <c r="G6" s="11"/>
      <c r="H6" s="79"/>
      <c r="I6" s="80" t="n">
        <f aca="false">'DRY PROVISION STORE'!F46</f>
        <v>0.9883669820754</v>
      </c>
      <c r="J6" s="24" t="n">
        <f aca="false">'DRY PROVISION STORE'!F38</f>
        <v>153.445332268518</v>
      </c>
      <c r="K6" s="81" t="n">
        <f aca="false">15*1</f>
        <v>15</v>
      </c>
      <c r="L6" s="81" t="n">
        <f aca="false">15*1</f>
        <v>15</v>
      </c>
      <c r="M6" s="79" t="n">
        <f aca="false">'DRY PROVISION STORE'!F44</f>
        <v>1527</v>
      </c>
      <c r="N6" s="24" t="n">
        <f aca="false">MAX(J6:L6)</f>
        <v>153.445332268518</v>
      </c>
      <c r="O6" s="24" t="n">
        <f aca="false">M6*0.47194745</f>
        <v>720.66375615</v>
      </c>
      <c r="P6" s="82"/>
      <c r="Q6" s="83"/>
      <c r="R6" s="84"/>
      <c r="S6" s="77"/>
      <c r="T6" s="22"/>
      <c r="U6" s="77"/>
      <c r="V6" s="77"/>
    </row>
    <row r="7" customFormat="false" ht="15" hidden="false" customHeight="false" outlineLevel="0" collapsed="false">
      <c r="A7" s="12" t="s">
        <v>31</v>
      </c>
      <c r="B7" s="77"/>
      <c r="C7" s="78" t="s">
        <v>230</v>
      </c>
      <c r="D7" s="11"/>
      <c r="E7" s="11"/>
      <c r="F7" s="22"/>
      <c r="G7" s="11"/>
      <c r="H7" s="79"/>
      <c r="I7" s="80" t="n">
        <f aca="false">'CARGO CONTROL ROOM'!F46</f>
        <v>0.856756275951458</v>
      </c>
      <c r="J7" s="24" t="n">
        <f aca="false">'CARGO CONTROL ROOM'!F38</f>
        <v>75.2625472902912</v>
      </c>
      <c r="K7" s="81" t="n">
        <f aca="false">15*1</f>
        <v>15</v>
      </c>
      <c r="L7" s="81" t="n">
        <f aca="false">15*1</f>
        <v>15</v>
      </c>
      <c r="M7" s="79" t="n">
        <f aca="false">'CARGO CONTROL ROOM'!F44</f>
        <v>215</v>
      </c>
      <c r="N7" s="24" t="n">
        <f aca="false">MAX(J7:L7)</f>
        <v>75.2625472902912</v>
      </c>
      <c r="O7" s="24" t="n">
        <f aca="false">M7*0.47194745</f>
        <v>101.46870175</v>
      </c>
      <c r="P7" s="82"/>
      <c r="Q7" s="83"/>
      <c r="R7" s="84"/>
      <c r="S7" s="77"/>
      <c r="T7" s="22"/>
      <c r="U7" s="77"/>
      <c r="V7" s="77"/>
    </row>
    <row r="8" customFormat="false" ht="15" hidden="false" customHeight="false" outlineLevel="0" collapsed="false">
      <c r="A8" s="12" t="s">
        <v>32</v>
      </c>
      <c r="B8" s="77"/>
      <c r="C8" s="78"/>
      <c r="D8" s="11"/>
      <c r="E8" s="11"/>
      <c r="F8" s="22"/>
      <c r="G8" s="11"/>
      <c r="H8" s="79"/>
      <c r="I8" s="80" t="n">
        <f aca="false">'SHIP OFFICE'!F46</f>
        <v>0.894838505552882</v>
      </c>
      <c r="J8" s="24" t="n">
        <f aca="false">'SHIP OFFICE'!F38</f>
        <v>94.0146177722472</v>
      </c>
      <c r="K8" s="81" t="n">
        <f aca="false">15*1</f>
        <v>15</v>
      </c>
      <c r="L8" s="81" t="n">
        <f aca="false">15*1</f>
        <v>15</v>
      </c>
      <c r="M8" s="79" t="n">
        <f aca="false">'SHIP OFFICE'!F44</f>
        <v>306</v>
      </c>
      <c r="N8" s="24" t="n">
        <f aca="false">MAX(J8:L8)</f>
        <v>94.0146177722472</v>
      </c>
      <c r="O8" s="24" t="n">
        <f aca="false">M8*0.47194745</f>
        <v>144.4159197</v>
      </c>
      <c r="P8" s="82"/>
      <c r="Q8" s="83"/>
      <c r="R8" s="84"/>
      <c r="S8" s="77"/>
      <c r="T8" s="22"/>
      <c r="U8" s="77"/>
      <c r="V8" s="77"/>
    </row>
    <row r="9" customFormat="false" ht="15" hidden="false" customHeight="false" outlineLevel="0" collapsed="false">
      <c r="A9" s="12" t="s">
        <v>33</v>
      </c>
      <c r="B9" s="77"/>
      <c r="C9" s="78"/>
      <c r="D9" s="11"/>
      <c r="E9" s="11"/>
      <c r="F9" s="22"/>
      <c r="G9" s="11"/>
      <c r="H9" s="79"/>
      <c r="I9" s="80" t="n">
        <f aca="false">'DECK CHANGE ROOM'!F46</f>
        <v>0.697003048946427</v>
      </c>
      <c r="J9" s="24" t="n">
        <f aca="false">'DECK CHANGE ROOM'!F38</f>
        <v>19.8326982724416</v>
      </c>
      <c r="K9" s="81" t="n">
        <f aca="false">15*1</f>
        <v>15</v>
      </c>
      <c r="L9" s="81" t="n">
        <f aca="false">15*1</f>
        <v>15</v>
      </c>
      <c r="M9" s="79" t="n">
        <f aca="false">'DECK CHANGE ROOM'!F44</f>
        <v>166</v>
      </c>
      <c r="N9" s="24" t="n">
        <f aca="false">MAX(J9:L9)</f>
        <v>19.8326982724416</v>
      </c>
      <c r="O9" s="24" t="n">
        <f aca="false">M9*0.47194745</f>
        <v>78.3432767</v>
      </c>
      <c r="P9" s="82"/>
      <c r="Q9" s="83"/>
      <c r="R9" s="84"/>
      <c r="S9" s="77"/>
      <c r="T9" s="22"/>
      <c r="U9" s="77"/>
      <c r="V9" s="77"/>
    </row>
    <row r="10" customFormat="false" ht="15" hidden="false" customHeight="false" outlineLevel="0" collapsed="false">
      <c r="A10" s="12" t="s">
        <v>35</v>
      </c>
      <c r="B10" s="77"/>
      <c r="C10" s="78"/>
      <c r="D10" s="11"/>
      <c r="E10" s="11"/>
      <c r="F10" s="22"/>
      <c r="G10" s="11"/>
      <c r="H10" s="79"/>
      <c r="I10" s="80" t="n">
        <f aca="false">GALLEY!F46</f>
        <v>0.703978589142268</v>
      </c>
      <c r="J10" s="24" t="n">
        <f aca="false">GALLEY!F38</f>
        <v>88.7386115010528</v>
      </c>
      <c r="K10" s="81" t="n">
        <f aca="false">15*2</f>
        <v>30</v>
      </c>
      <c r="L10" s="81" t="n">
        <f aca="false">15*2</f>
        <v>30</v>
      </c>
      <c r="M10" s="79" t="n">
        <f aca="false">GALLEY!F44</f>
        <v>1408</v>
      </c>
      <c r="N10" s="24" t="n">
        <f aca="false">MAX(J10:L10)</f>
        <v>88.7386115010528</v>
      </c>
      <c r="O10" s="24" t="n">
        <f aca="false">M10*0.47194745</f>
        <v>664.5020096</v>
      </c>
      <c r="P10" s="82"/>
      <c r="Q10" s="83"/>
      <c r="R10" s="84"/>
      <c r="S10" s="77"/>
      <c r="T10" s="22"/>
      <c r="U10" s="77"/>
      <c r="V10" s="77"/>
    </row>
    <row r="11" customFormat="false" ht="15" hidden="false" customHeight="false" outlineLevel="0" collapsed="false">
      <c r="A11" s="12" t="s">
        <v>37</v>
      </c>
      <c r="B11" s="77"/>
      <c r="C11" s="78"/>
      <c r="D11" s="11"/>
      <c r="E11" s="11"/>
      <c r="F11" s="22"/>
      <c r="G11" s="11"/>
      <c r="H11" s="79"/>
      <c r="I11" s="80" t="n">
        <f aca="false">'CREW MESS'!F46</f>
        <v>0.774271560026791</v>
      </c>
      <c r="J11" s="24" t="n">
        <f aca="false">'CREW MESS'!F38</f>
        <v>119.37758767835</v>
      </c>
      <c r="K11" s="81" t="n">
        <f aca="false">15*5</f>
        <v>75</v>
      </c>
      <c r="L11" s="81" t="n">
        <f aca="false">15*5</f>
        <v>75</v>
      </c>
      <c r="M11" s="79" t="n">
        <f aca="false">'CREW MESS'!F44</f>
        <v>697</v>
      </c>
      <c r="N11" s="24" t="n">
        <f aca="false">MAX(J11:L11)</f>
        <v>119.37758767835</v>
      </c>
      <c r="O11" s="24" t="n">
        <f aca="false">M11*0.47194745</f>
        <v>328.94737265</v>
      </c>
      <c r="P11" s="82"/>
      <c r="Q11" s="83"/>
      <c r="R11" s="84"/>
      <c r="S11" s="77"/>
      <c r="T11" s="22"/>
      <c r="U11" s="77"/>
      <c r="V11" s="77"/>
    </row>
    <row r="12" customFormat="false" ht="15" hidden="false" customHeight="false" outlineLevel="0" collapsed="false">
      <c r="A12" s="12" t="s">
        <v>38</v>
      </c>
      <c r="B12" s="77"/>
      <c r="C12" s="78"/>
      <c r="D12" s="11"/>
      <c r="E12" s="11"/>
      <c r="F12" s="22"/>
      <c r="G12" s="11"/>
      <c r="H12" s="79"/>
      <c r="I12" s="80" t="n">
        <f aca="false">'CREW MESS'!F46</f>
        <v>0.774271560026791</v>
      </c>
      <c r="J12" s="24" t="n">
        <f aca="false">'OFFICE MESS'!F38</f>
        <v>115.881438944426</v>
      </c>
      <c r="K12" s="81" t="n">
        <f aca="false">15*5</f>
        <v>75</v>
      </c>
      <c r="L12" s="81" t="n">
        <f aca="false">15*5</f>
        <v>75</v>
      </c>
      <c r="M12" s="79" t="n">
        <f aca="false">'OFFICE MESS'!F44</f>
        <v>478</v>
      </c>
      <c r="N12" s="24" t="n">
        <f aca="false">MAX(J12:L12)</f>
        <v>115.881438944426</v>
      </c>
      <c r="O12" s="24" t="n">
        <f aca="false">M12*0.47194745</f>
        <v>225.5908811</v>
      </c>
      <c r="P12" s="82"/>
      <c r="Q12" s="83"/>
      <c r="R12" s="84"/>
      <c r="S12" s="77"/>
      <c r="T12" s="22"/>
      <c r="U12" s="77"/>
      <c r="V12" s="77"/>
    </row>
    <row r="13" customFormat="false" ht="15" hidden="false" customHeight="false" outlineLevel="0" collapsed="false">
      <c r="A13" s="27" t="s">
        <v>40</v>
      </c>
      <c r="B13" s="77"/>
      <c r="C13" s="85" t="s">
        <v>311</v>
      </c>
      <c r="D13" s="11"/>
      <c r="E13" s="11"/>
      <c r="F13" s="22"/>
      <c r="G13" s="11"/>
      <c r="H13" s="79"/>
      <c r="I13" s="80" t="n">
        <f aca="false">'MOTORMAN 2 CABIN'!F46</f>
        <v>0.857962402616801</v>
      </c>
      <c r="J13" s="24" t="n">
        <f aca="false">'MOTORMAN 2 CABIN'!F38</f>
        <v>41.1909887196864</v>
      </c>
      <c r="K13" s="81" t="n">
        <f aca="false">15*1</f>
        <v>15</v>
      </c>
      <c r="L13" s="81" t="n">
        <f aca="false">15*1</f>
        <v>15</v>
      </c>
      <c r="M13" s="79" t="n">
        <f aca="false">'MOTORMAN 2 CABIN'!F44</f>
        <v>109</v>
      </c>
      <c r="N13" s="24" t="n">
        <f aca="false">MAX(J13:L13)</f>
        <v>41.1909887196864</v>
      </c>
      <c r="O13" s="24" t="n">
        <f aca="false">M13*0.47194745</f>
        <v>51.44227205</v>
      </c>
      <c r="P13" s="82"/>
      <c r="Q13" s="83"/>
      <c r="R13" s="84"/>
      <c r="S13" s="77"/>
      <c r="T13" s="22"/>
      <c r="U13" s="77"/>
      <c r="V13" s="77"/>
    </row>
    <row r="14" customFormat="false" ht="15" hidden="false" customHeight="false" outlineLevel="0" collapsed="false">
      <c r="A14" s="27" t="s">
        <v>41</v>
      </c>
      <c r="B14" s="77"/>
      <c r="C14" s="85"/>
      <c r="D14" s="11"/>
      <c r="E14" s="11"/>
      <c r="F14" s="22"/>
      <c r="G14" s="11"/>
      <c r="H14" s="79"/>
      <c r="I14" s="80" t="n">
        <f aca="false">'MOTORMAN 1 CABIN'!F46</f>
        <v>0.849432558946353</v>
      </c>
      <c r="J14" s="24" t="n">
        <f aca="false">'MOTORMAN 1 CABIN'!F38</f>
        <v>39.6336133745748</v>
      </c>
      <c r="K14" s="81" t="n">
        <f aca="false">15*1</f>
        <v>15</v>
      </c>
      <c r="L14" s="81" t="n">
        <f aca="false">15*1</f>
        <v>15</v>
      </c>
      <c r="M14" s="79" t="n">
        <f aca="false">'MOTORMAN 1 CABIN'!F44</f>
        <v>102</v>
      </c>
      <c r="N14" s="24" t="n">
        <f aca="false">MAX(J14:L14)</f>
        <v>39.6336133745748</v>
      </c>
      <c r="O14" s="24" t="n">
        <f aca="false">M14*0.47194745</f>
        <v>48.1386399</v>
      </c>
      <c r="P14" s="82"/>
      <c r="Q14" s="83"/>
      <c r="R14" s="84"/>
      <c r="S14" s="77"/>
      <c r="T14" s="22"/>
      <c r="U14" s="77"/>
      <c r="V14" s="77"/>
    </row>
    <row r="15" customFormat="false" ht="15" hidden="false" customHeight="false" outlineLevel="0" collapsed="false">
      <c r="A15" s="27" t="s">
        <v>42</v>
      </c>
      <c r="B15" s="77"/>
      <c r="C15" s="85"/>
      <c r="D15" s="11"/>
      <c r="E15" s="11"/>
      <c r="F15" s="22"/>
      <c r="G15" s="11"/>
      <c r="H15" s="79"/>
      <c r="I15" s="80" t="n">
        <f aca="false">'AB 2 CABIN'!F46</f>
        <v>0.799451162707274</v>
      </c>
      <c r="J15" s="24" t="n">
        <f aca="false">'AB 2 CABIN'!F38</f>
        <v>46.1809464581052</v>
      </c>
      <c r="K15" s="81" t="n">
        <f aca="false">15*1</f>
        <v>15</v>
      </c>
      <c r="L15" s="81" t="n">
        <f aca="false">15*1</f>
        <v>15</v>
      </c>
      <c r="M15" s="79" t="n">
        <f aca="false">'AB 2 CABIN'!F44</f>
        <v>72</v>
      </c>
      <c r="N15" s="24" t="n">
        <f aca="false">MAX(J15:L15)</f>
        <v>46.1809464581052</v>
      </c>
      <c r="O15" s="24" t="n">
        <f aca="false">M15*0.47194745</f>
        <v>33.9802164</v>
      </c>
      <c r="P15" s="82"/>
      <c r="Q15" s="83"/>
      <c r="R15" s="84"/>
      <c r="S15" s="77"/>
      <c r="T15" s="22"/>
      <c r="U15" s="77"/>
      <c r="V15" s="77"/>
    </row>
    <row r="16" customFormat="false" ht="15" hidden="false" customHeight="false" outlineLevel="0" collapsed="false">
      <c r="A16" s="27" t="s">
        <v>43</v>
      </c>
      <c r="B16" s="77"/>
      <c r="C16" s="85"/>
      <c r="D16" s="11"/>
      <c r="E16" s="11"/>
      <c r="F16" s="22"/>
      <c r="G16" s="11"/>
      <c r="H16" s="79"/>
      <c r="I16" s="80" t="n">
        <f aca="false">'AB 1 CABIN'!F46</f>
        <v>0.83676068605595</v>
      </c>
      <c r="J16" s="24" t="n">
        <f aca="false">'AB 1 CABIN'!F38</f>
        <v>45.608849392554</v>
      </c>
      <c r="K16" s="81" t="n">
        <f aca="false">15*1</f>
        <v>15</v>
      </c>
      <c r="L16" s="81" t="n">
        <f aca="false">15*1</f>
        <v>15</v>
      </c>
      <c r="M16" s="79" t="n">
        <f aca="false">'AB 1 CABIN'!F44</f>
        <v>93</v>
      </c>
      <c r="N16" s="24" t="n">
        <f aca="false">MAX(J16:L16)</f>
        <v>45.608849392554</v>
      </c>
      <c r="O16" s="24" t="n">
        <f aca="false">M16*0.47194745</f>
        <v>43.89111285</v>
      </c>
      <c r="P16" s="82"/>
      <c r="Q16" s="83"/>
      <c r="R16" s="84"/>
      <c r="S16" s="77"/>
      <c r="T16" s="22"/>
      <c r="U16" s="77"/>
      <c r="V16" s="77"/>
    </row>
    <row r="17" customFormat="false" ht="15" hidden="false" customHeight="false" outlineLevel="0" collapsed="false">
      <c r="A17" s="27" t="s">
        <v>44</v>
      </c>
      <c r="B17" s="77"/>
      <c r="C17" s="85"/>
      <c r="D17" s="11"/>
      <c r="E17" s="11"/>
      <c r="F17" s="22"/>
      <c r="G17" s="11"/>
      <c r="H17" s="79"/>
      <c r="I17" s="80" t="n">
        <f aca="false">HOSPITAL!F46</f>
        <v>0.866905577190541</v>
      </c>
      <c r="J17" s="24" t="n">
        <f aca="false">HOSPITAL!F38</f>
        <v>54.6352697601396</v>
      </c>
      <c r="K17" s="81" t="n">
        <f aca="false">15*1</f>
        <v>15</v>
      </c>
      <c r="L17" s="81" t="n">
        <f aca="false">15*1</f>
        <v>15</v>
      </c>
      <c r="M17" s="79" t="n">
        <f aca="false">HOSPITAL!F44</f>
        <v>118</v>
      </c>
      <c r="N17" s="24" t="n">
        <f aca="false">MAX(J17:L17)</f>
        <v>54.6352697601396</v>
      </c>
      <c r="O17" s="24" t="n">
        <f aca="false">M17*0.47194745</f>
        <v>55.6897991</v>
      </c>
      <c r="P17" s="82"/>
      <c r="Q17" s="83"/>
      <c r="R17" s="84"/>
      <c r="S17" s="77"/>
      <c r="T17" s="22"/>
      <c r="U17" s="77"/>
      <c r="V17" s="77"/>
    </row>
    <row r="18" customFormat="false" ht="15" hidden="false" customHeight="false" outlineLevel="0" collapsed="false">
      <c r="A18" s="27" t="s">
        <v>45</v>
      </c>
      <c r="B18" s="77"/>
      <c r="C18" s="85"/>
      <c r="D18" s="11"/>
      <c r="E18" s="11"/>
      <c r="F18" s="22"/>
      <c r="G18" s="11"/>
      <c r="H18" s="79"/>
      <c r="I18" s="80" t="n">
        <f aca="false">'OS CABIN'!F46</f>
        <v>0.850433680359872</v>
      </c>
      <c r="J18" s="24" t="n">
        <f aca="false">'OS CABIN'!F38</f>
        <v>39.6336133745748</v>
      </c>
      <c r="K18" s="81" t="n">
        <f aca="false">15*1</f>
        <v>15</v>
      </c>
      <c r="L18" s="81" t="n">
        <f aca="false">15*1</f>
        <v>15</v>
      </c>
      <c r="M18" s="79" t="n">
        <f aca="false">'OS CABIN'!F44</f>
        <v>103</v>
      </c>
      <c r="N18" s="24" t="n">
        <f aca="false">MAX(J18:L18)</f>
        <v>39.6336133745748</v>
      </c>
      <c r="O18" s="24" t="n">
        <f aca="false">M18*0.47194745</f>
        <v>48.61058735</v>
      </c>
      <c r="P18" s="82"/>
      <c r="Q18" s="83"/>
      <c r="R18" s="84"/>
      <c r="S18" s="77"/>
      <c r="T18" s="22"/>
      <c r="U18" s="77"/>
      <c r="V18" s="77"/>
    </row>
    <row r="19" customFormat="false" ht="15" hidden="false" customHeight="false" outlineLevel="0" collapsed="false">
      <c r="A19" s="27" t="s">
        <v>46</v>
      </c>
      <c r="B19" s="77"/>
      <c r="C19" s="85"/>
      <c r="D19" s="11"/>
      <c r="E19" s="11"/>
      <c r="F19" s="22"/>
      <c r="G19" s="11"/>
      <c r="H19" s="79"/>
      <c r="I19" s="80" t="n">
        <f aca="false">'MESSMAN CABIN'!F46</f>
        <v>0.785228775207161</v>
      </c>
      <c r="J19" s="24" t="n">
        <f aca="false">'MESSMAN CABIN'!F38</f>
        <v>39.6336133745748</v>
      </c>
      <c r="K19" s="81" t="n">
        <f aca="false">15*1</f>
        <v>15</v>
      </c>
      <c r="L19" s="81" t="n">
        <f aca="false">15*1</f>
        <v>15</v>
      </c>
      <c r="M19" s="79" t="n">
        <f aca="false">'MESSMAN CABIN'!F44</f>
        <v>66</v>
      </c>
      <c r="N19" s="24" t="n">
        <f aca="false">MAX(J19:L19)</f>
        <v>39.6336133745748</v>
      </c>
      <c r="O19" s="24" t="n">
        <f aca="false">M19*0.47194745</f>
        <v>31.1485317</v>
      </c>
      <c r="P19" s="82"/>
      <c r="Q19" s="83"/>
      <c r="R19" s="84"/>
      <c r="S19" s="77"/>
      <c r="T19" s="22"/>
      <c r="U19" s="77"/>
      <c r="V19" s="77"/>
    </row>
    <row r="20" customFormat="false" ht="15" hidden="false" customHeight="false" outlineLevel="0" collapsed="false">
      <c r="A20" s="27" t="s">
        <v>47</v>
      </c>
      <c r="B20" s="77"/>
      <c r="C20" s="85"/>
      <c r="D20" s="11"/>
      <c r="E20" s="11"/>
      <c r="F20" s="22"/>
      <c r="G20" s="11"/>
      <c r="H20" s="79"/>
      <c r="I20" s="80" t="n">
        <f aca="false">'FITTER CABIN'!F46</f>
        <v>0.801829881073003</v>
      </c>
      <c r="J20" s="24" t="n">
        <f aca="false">'FITTER CABIN'!F38</f>
        <v>42.748364064798</v>
      </c>
      <c r="K20" s="81" t="n">
        <f aca="false">15*1</f>
        <v>15</v>
      </c>
      <c r="L20" s="81" t="n">
        <f aca="false">15*1</f>
        <v>15</v>
      </c>
      <c r="M20" s="79" t="n">
        <f aca="false">'FITTER CABIN'!F44</f>
        <v>73</v>
      </c>
      <c r="N20" s="24" t="n">
        <f aca="false">MAX(J20:L20)</f>
        <v>42.748364064798</v>
      </c>
      <c r="O20" s="24" t="n">
        <f aca="false">M20*0.47194745</f>
        <v>34.45216385</v>
      </c>
      <c r="P20" s="82"/>
      <c r="Q20" s="83"/>
      <c r="R20" s="84"/>
      <c r="S20" s="77"/>
      <c r="T20" s="22"/>
      <c r="U20" s="77"/>
      <c r="V20" s="77"/>
    </row>
    <row r="21" customFormat="false" ht="15" hidden="false" customHeight="false" outlineLevel="0" collapsed="false">
      <c r="A21" s="27" t="s">
        <v>48</v>
      </c>
      <c r="B21" s="77"/>
      <c r="C21" s="85"/>
      <c r="D21" s="11"/>
      <c r="E21" s="11"/>
      <c r="F21" s="22"/>
      <c r="G21" s="11"/>
      <c r="H21" s="79"/>
      <c r="I21" s="80" t="n">
        <f aca="false">'SUEZ CREW'!F46</f>
        <v>0.671655740673106</v>
      </c>
      <c r="J21" s="24" t="n">
        <f aca="false">'SUEZ CREW'!F38</f>
        <v>42.9708462569568</v>
      </c>
      <c r="K21" s="81" t="n">
        <f aca="false">15*3</f>
        <v>45</v>
      </c>
      <c r="L21" s="81" t="n">
        <f aca="false">15*3</f>
        <v>45</v>
      </c>
      <c r="M21" s="79" t="n">
        <f aca="false">'SUEZ CREW'!F44</f>
        <v>221</v>
      </c>
      <c r="N21" s="24" t="n">
        <f aca="false">MAX(J21:L21)</f>
        <v>45</v>
      </c>
      <c r="O21" s="24" t="n">
        <f aca="false">M21*0.47194745</f>
        <v>104.30038645</v>
      </c>
      <c r="P21" s="82"/>
      <c r="Q21" s="83"/>
      <c r="R21" s="84"/>
      <c r="S21" s="77"/>
      <c r="T21" s="22"/>
      <c r="U21" s="77"/>
      <c r="V21" s="77"/>
    </row>
    <row r="22" customFormat="false" ht="15" hidden="false" customHeight="false" outlineLevel="0" collapsed="false">
      <c r="A22" s="27" t="s">
        <v>50</v>
      </c>
      <c r="B22" s="77"/>
      <c r="C22" s="78" t="s">
        <v>369</v>
      </c>
      <c r="D22" s="11"/>
      <c r="E22" s="11"/>
      <c r="F22" s="22"/>
      <c r="G22" s="11"/>
      <c r="H22" s="79"/>
      <c r="I22" s="80" t="n">
        <f aca="false">'2ND ENGINEER CABIN'!F46</f>
        <v>0.882973234117286</v>
      </c>
      <c r="J22" s="24" t="n">
        <f aca="false">'2ND ENGINEER CABIN'!F38</f>
        <v>71.671049045442</v>
      </c>
      <c r="K22" s="81" t="n">
        <f aca="false">15*1</f>
        <v>15</v>
      </c>
      <c r="L22" s="81" t="n">
        <f aca="false">15*1</f>
        <v>15</v>
      </c>
      <c r="M22" s="79" t="n">
        <f aca="false">'2ND ENGINEER CABIN'!$F$44</f>
        <v>136</v>
      </c>
      <c r="N22" s="24" t="n">
        <f aca="false">MAX(J22:L22)</f>
        <v>71.671049045442</v>
      </c>
      <c r="O22" s="24" t="n">
        <f aca="false">M22*0.47194745</f>
        <v>64.1848532</v>
      </c>
      <c r="P22" s="86" t="n">
        <v>2.2</v>
      </c>
      <c r="Q22" s="83"/>
      <c r="R22" s="84"/>
      <c r="S22" s="77"/>
      <c r="T22" s="22"/>
      <c r="U22" s="77"/>
      <c r="V22" s="77"/>
    </row>
    <row r="23" customFormat="false" ht="15" hidden="false" customHeight="false" outlineLevel="0" collapsed="false">
      <c r="A23" s="27" t="s">
        <v>51</v>
      </c>
      <c r="B23" s="77"/>
      <c r="C23" s="78"/>
      <c r="D23" s="11"/>
      <c r="E23" s="11"/>
      <c r="F23" s="22"/>
      <c r="G23" s="11"/>
      <c r="H23" s="79"/>
      <c r="I23" s="80" t="n">
        <f aca="false">'3RD ENGINEER CABIN'!F46</f>
        <v>0.834777190276789</v>
      </c>
      <c r="J23" s="24" t="n">
        <f aca="false">'3RD ENGINEER CABIN'!F38</f>
        <v>48.0879366766092</v>
      </c>
      <c r="K23" s="81" t="n">
        <f aca="false">15*1</f>
        <v>15</v>
      </c>
      <c r="L23" s="81" t="n">
        <f aca="false">15*1</f>
        <v>15</v>
      </c>
      <c r="M23" s="79" t="n">
        <f aca="false">'3RD ENGINEER CABIN'!$F$44</f>
        <v>91</v>
      </c>
      <c r="N23" s="24" t="n">
        <f aca="false">MAX(J23:L23)</f>
        <v>48.0879366766092</v>
      </c>
      <c r="O23" s="24" t="n">
        <f aca="false">M23*0.47194745</f>
        <v>42.94721795</v>
      </c>
      <c r="P23" s="82"/>
      <c r="Q23" s="83"/>
      <c r="R23" s="84"/>
      <c r="S23" s="77"/>
      <c r="T23" s="22"/>
      <c r="U23" s="77"/>
      <c r="V23" s="77"/>
    </row>
    <row r="24" customFormat="false" ht="15" hidden="false" customHeight="false" outlineLevel="0" collapsed="false">
      <c r="A24" s="27" t="s">
        <v>52</v>
      </c>
      <c r="B24" s="77"/>
      <c r="C24" s="78"/>
      <c r="D24" s="11"/>
      <c r="E24" s="11"/>
      <c r="F24" s="22"/>
      <c r="G24" s="11"/>
      <c r="H24" s="79"/>
      <c r="I24" s="80" t="n">
        <f aca="false">'ELECTRICIANMAN CABIN'!F46</f>
        <v>0.808476184806658</v>
      </c>
      <c r="J24" s="24" t="n">
        <f aca="false">'ELECTRICIANMAN CABIN'!F38</f>
        <v>11.441941311024</v>
      </c>
      <c r="K24" s="81" t="n">
        <f aca="false">15*1</f>
        <v>15</v>
      </c>
      <c r="L24" s="81" t="n">
        <f aca="false">15*1</f>
        <v>15</v>
      </c>
      <c r="M24" s="79" t="n">
        <f aca="false">'ELECTRICIANMAN CABIN'!$F$44</f>
        <v>76</v>
      </c>
      <c r="N24" s="24" t="n">
        <f aca="false">MAX(J24:L24)</f>
        <v>15</v>
      </c>
      <c r="O24" s="24" t="n">
        <f aca="false">M24*0.47194745</f>
        <v>35.8680062</v>
      </c>
      <c r="P24" s="82"/>
      <c r="Q24" s="83"/>
      <c r="R24" s="84"/>
      <c r="S24" s="77"/>
      <c r="T24" s="22"/>
      <c r="U24" s="77"/>
      <c r="V24" s="77"/>
    </row>
    <row r="25" customFormat="false" ht="15" hidden="false" customHeight="false" outlineLevel="0" collapsed="false">
      <c r="A25" s="27" t="s">
        <v>53</v>
      </c>
      <c r="B25" s="77"/>
      <c r="C25" s="78"/>
      <c r="D25" s="11"/>
      <c r="E25" s="11"/>
      <c r="F25" s="22"/>
      <c r="G25" s="11"/>
      <c r="H25" s="79"/>
      <c r="I25" s="80" t="n">
        <f aca="false">'BOSUN CABIN'!F46</f>
        <v>0.877826087395461</v>
      </c>
      <c r="J25" s="24" t="n">
        <f aca="false">'BOSUN CABIN'!F38</f>
        <v>49.7088783623376</v>
      </c>
      <c r="K25" s="81" t="n">
        <f aca="false">15*1</f>
        <v>15</v>
      </c>
      <c r="L25" s="81" t="n">
        <f aca="false">15*1</f>
        <v>15</v>
      </c>
      <c r="M25" s="79" t="n">
        <f aca="false">'BOSUN CABIN'!$F$44</f>
        <v>130</v>
      </c>
      <c r="N25" s="24" t="n">
        <f aca="false">MAX(J25:L25)</f>
        <v>49.7088783623376</v>
      </c>
      <c r="O25" s="24" t="n">
        <f aca="false">M25*0.47194745</f>
        <v>61.3531685</v>
      </c>
      <c r="P25" s="82"/>
      <c r="Q25" s="83"/>
      <c r="R25" s="84"/>
      <c r="S25" s="77"/>
      <c r="T25" s="22"/>
      <c r="U25" s="77"/>
      <c r="V25" s="77"/>
    </row>
    <row r="26" customFormat="false" ht="15" hidden="false" customHeight="false" outlineLevel="0" collapsed="false">
      <c r="A26" s="27" t="s">
        <v>54</v>
      </c>
      <c r="B26" s="77"/>
      <c r="C26" s="78"/>
      <c r="D26" s="11"/>
      <c r="E26" s="11"/>
      <c r="F26" s="22"/>
      <c r="G26" s="11"/>
      <c r="H26" s="79"/>
      <c r="I26" s="80" t="n">
        <f aca="false">'OWNER CABIN'!F46</f>
        <v>0.902738519779497</v>
      </c>
      <c r="J26" s="24" t="n">
        <f aca="false">'OWNER CABIN'!F38</f>
        <v>60.1655413938012</v>
      </c>
      <c r="K26" s="81" t="n">
        <f aca="false">15*1</f>
        <v>15</v>
      </c>
      <c r="L26" s="81" t="n">
        <f aca="false">15*1</f>
        <v>15</v>
      </c>
      <c r="M26" s="79" t="n">
        <f aca="false">'OWNER CABIN'!$F$44</f>
        <v>167</v>
      </c>
      <c r="N26" s="24" t="n">
        <f aca="false">MAX(J26:L26)</f>
        <v>60.1655413938012</v>
      </c>
      <c r="O26" s="24" t="n">
        <f aca="false">M26*0.47194745</f>
        <v>78.81522415</v>
      </c>
      <c r="P26" s="82"/>
      <c r="Q26" s="83"/>
      <c r="R26" s="84"/>
      <c r="S26" s="77"/>
      <c r="T26" s="22"/>
      <c r="U26" s="77"/>
      <c r="V26" s="77"/>
    </row>
    <row r="27" customFormat="false" ht="15" hidden="false" customHeight="false" outlineLevel="0" collapsed="false">
      <c r="A27" s="27" t="s">
        <v>491</v>
      </c>
      <c r="B27" s="77"/>
      <c r="C27" s="78"/>
      <c r="D27" s="11"/>
      <c r="E27" s="11"/>
      <c r="F27" s="22"/>
      <c r="G27" s="11"/>
      <c r="H27" s="79"/>
      <c r="I27" s="80" t="n">
        <f aca="false">'GYM ROOM'!F46</f>
        <v>0.817422907754028</v>
      </c>
      <c r="J27" s="24" t="n">
        <f aca="false">'GYM ROOM'!F38</f>
        <v>262.741145765827</v>
      </c>
      <c r="K27" s="81" t="n">
        <f aca="false">15*2</f>
        <v>30</v>
      </c>
      <c r="L27" s="81" t="n">
        <f aca="false">15*2</f>
        <v>30</v>
      </c>
      <c r="M27" s="79" t="n">
        <f aca="false">'GYM ROOM'!$F$44</f>
        <v>242</v>
      </c>
      <c r="N27" s="24" t="n">
        <f aca="false">MAX(J27:L27)</f>
        <v>262.741145765827</v>
      </c>
      <c r="O27" s="24" t="n">
        <f aca="false">M27*0.47194745</f>
        <v>114.2112829</v>
      </c>
      <c r="P27" s="82"/>
      <c r="Q27" s="83"/>
      <c r="R27" s="84"/>
      <c r="S27" s="77"/>
      <c r="T27" s="22"/>
      <c r="U27" s="77"/>
      <c r="V27" s="77"/>
    </row>
    <row r="28" customFormat="false" ht="15" hidden="false" customHeight="false" outlineLevel="0" collapsed="false">
      <c r="A28" s="27" t="s">
        <v>342</v>
      </c>
      <c r="B28" s="77"/>
      <c r="C28" s="78"/>
      <c r="D28" s="11"/>
      <c r="E28" s="11"/>
      <c r="F28" s="22"/>
      <c r="G28" s="11"/>
      <c r="H28" s="79"/>
      <c r="I28" s="80" t="n">
        <f aca="false">'2ND OFFICER CABIN'!F46</f>
        <v>0.906883006071299</v>
      </c>
      <c r="J28" s="24" t="n">
        <f aca="false">'2ND OFFICER CABIN'!F38</f>
        <v>69.12839542077</v>
      </c>
      <c r="K28" s="81" t="n">
        <f aca="false">15*1</f>
        <v>15</v>
      </c>
      <c r="L28" s="81" t="n">
        <f aca="false">15*1</f>
        <v>15</v>
      </c>
      <c r="M28" s="79" t="n">
        <f aca="false">'2ND OFFICER CABIN'!$F$44</f>
        <v>175</v>
      </c>
      <c r="N28" s="24" t="n">
        <f aca="false">MAX(J28:L28)</f>
        <v>69.12839542077</v>
      </c>
      <c r="O28" s="24" t="n">
        <f aca="false">M28*0.47194745</f>
        <v>82.59080375</v>
      </c>
      <c r="P28" s="82"/>
      <c r="Q28" s="83"/>
      <c r="R28" s="84"/>
      <c r="S28" s="77"/>
      <c r="T28" s="22"/>
      <c r="U28" s="77"/>
      <c r="V28" s="77"/>
    </row>
    <row r="29" customFormat="false" ht="15" hidden="false" customHeight="false" outlineLevel="0" collapsed="false">
      <c r="A29" s="27" t="s">
        <v>336</v>
      </c>
      <c r="B29" s="77"/>
      <c r="C29" s="78"/>
      <c r="D29" s="11"/>
      <c r="E29" s="11"/>
      <c r="F29" s="22"/>
      <c r="G29" s="11"/>
      <c r="H29" s="79"/>
      <c r="I29" s="80" t="n">
        <f aca="false">'3RD OFFICER CABIN'!F46</f>
        <v>0.834782424688825</v>
      </c>
      <c r="J29" s="24" t="n">
        <f aca="false">'3RD OFFICER CABIN'!F38</f>
        <v>48.0879366766092</v>
      </c>
      <c r="K29" s="81" t="n">
        <f aca="false">15*1</f>
        <v>15</v>
      </c>
      <c r="L29" s="81" t="n">
        <f aca="false">15*1</f>
        <v>15</v>
      </c>
      <c r="M29" s="79" t="n">
        <f aca="false">'3RD OFFICER CABIN'!$F$44</f>
        <v>91</v>
      </c>
      <c r="N29" s="24" t="n">
        <f aca="false">MAX(J29:L29)</f>
        <v>48.0879366766092</v>
      </c>
      <c r="O29" s="24" t="n">
        <f aca="false">M29*0.47194745</f>
        <v>42.94721795</v>
      </c>
      <c r="P29" s="82"/>
      <c r="Q29" s="83"/>
      <c r="R29" s="84"/>
      <c r="S29" s="77"/>
      <c r="T29" s="22"/>
      <c r="U29" s="77"/>
      <c r="V29" s="77"/>
    </row>
    <row r="30" customFormat="false" ht="15" hidden="false" customHeight="false" outlineLevel="0" collapsed="false">
      <c r="A30" s="27" t="s">
        <v>338</v>
      </c>
      <c r="B30" s="77"/>
      <c r="C30" s="78"/>
      <c r="D30" s="11"/>
      <c r="E30" s="11"/>
      <c r="F30" s="22"/>
      <c r="G30" s="11"/>
      <c r="H30" s="79"/>
      <c r="I30" s="80" t="n">
        <f aca="false">'PUMPMAN CABIN'!F46</f>
        <v>0.857240373513532</v>
      </c>
      <c r="J30" s="24" t="n">
        <f aca="false">'PUMPMAN CABIN'!F38</f>
        <v>48.0879366766092</v>
      </c>
      <c r="K30" s="81" t="n">
        <f aca="false">15*1</f>
        <v>15</v>
      </c>
      <c r="L30" s="81" t="n">
        <f aca="false">15*1</f>
        <v>15</v>
      </c>
      <c r="M30" s="79" t="n">
        <f aca="false">'PUMPMAN CABIN'!$F$44</f>
        <v>108</v>
      </c>
      <c r="N30" s="24" t="n">
        <f aca="false">MAX(J30:L30)</f>
        <v>48.0879366766092</v>
      </c>
      <c r="O30" s="24" t="n">
        <f aca="false">M30*0.47194745</f>
        <v>50.9703246</v>
      </c>
      <c r="P30" s="82"/>
      <c r="Q30" s="83"/>
      <c r="R30" s="84"/>
      <c r="S30" s="77"/>
      <c r="T30" s="22"/>
      <c r="U30" s="77"/>
      <c r="V30" s="77"/>
    </row>
    <row r="31" customFormat="false" ht="15" hidden="false" customHeight="false" outlineLevel="0" collapsed="false">
      <c r="A31" s="27" t="s">
        <v>424</v>
      </c>
      <c r="B31" s="77"/>
      <c r="C31" s="78"/>
      <c r="D31" s="11"/>
      <c r="E31" s="11"/>
      <c r="F31" s="22"/>
      <c r="G31" s="11"/>
      <c r="H31" s="79"/>
      <c r="I31" s="80" t="n">
        <f aca="false">'COOKMAN CABIN'!F46</f>
        <v>0.88514936451153</v>
      </c>
      <c r="J31" s="24" t="n">
        <f aca="false">'COOKMAN CABIN'!F38</f>
        <v>49.7088783623376</v>
      </c>
      <c r="K31" s="81" t="n">
        <f aca="false">15*1</f>
        <v>15</v>
      </c>
      <c r="L31" s="81" t="n">
        <f aca="false">15*1</f>
        <v>15</v>
      </c>
      <c r="M31" s="79" t="n">
        <f aca="false">'COOKMAN CABIN'!$F$44</f>
        <v>139</v>
      </c>
      <c r="N31" s="24" t="n">
        <f aca="false">MAX(J31:L31)</f>
        <v>49.7088783623376</v>
      </c>
      <c r="O31" s="24" t="n">
        <f aca="false">M31*0.47194745</f>
        <v>65.60069555</v>
      </c>
      <c r="P31" s="82"/>
      <c r="Q31" s="83"/>
      <c r="R31" s="84"/>
      <c r="S31" s="77"/>
      <c r="T31" s="22"/>
      <c r="U31" s="77"/>
      <c r="V31" s="77"/>
    </row>
    <row r="32" customFormat="false" ht="15" hidden="false" customHeight="false" outlineLevel="0" collapsed="false">
      <c r="A32" s="27" t="s">
        <v>440</v>
      </c>
      <c r="B32" s="77"/>
      <c r="C32" s="78" t="s">
        <v>427</v>
      </c>
      <c r="D32" s="11"/>
      <c r="E32" s="11"/>
      <c r="F32" s="22"/>
      <c r="G32" s="11"/>
      <c r="H32" s="79"/>
      <c r="I32" s="80" t="n">
        <f aca="false">'MASTER CABIN'!F46</f>
        <v>0.867546019833449</v>
      </c>
      <c r="J32" s="24" t="n">
        <f aca="false">'MASTER CABIN'!F38</f>
        <v>61.0872533327448</v>
      </c>
      <c r="K32" s="81" t="n">
        <f aca="false">15*1</f>
        <v>15</v>
      </c>
      <c r="L32" s="81" t="n">
        <f aca="false">15*1</f>
        <v>15</v>
      </c>
      <c r="M32" s="79" t="n">
        <f aca="false">'MASTER CABIN'!F44</f>
        <v>118</v>
      </c>
      <c r="N32" s="24" t="n">
        <f aca="false">MAX(J32:L32)</f>
        <v>61.0872533327448</v>
      </c>
      <c r="O32" s="24" t="n">
        <f aca="false">M32*0.47194745</f>
        <v>55.6897991</v>
      </c>
      <c r="P32" s="82"/>
      <c r="Q32" s="83"/>
      <c r="R32" s="84"/>
      <c r="S32" s="77"/>
      <c r="T32" s="22"/>
      <c r="U32" s="77"/>
      <c r="V32" s="77"/>
    </row>
    <row r="33" customFormat="false" ht="15" hidden="false" customHeight="false" outlineLevel="0" collapsed="false">
      <c r="A33" s="27" t="s">
        <v>442</v>
      </c>
      <c r="B33" s="77"/>
      <c r="C33" s="78"/>
      <c r="D33" s="11"/>
      <c r="E33" s="11"/>
      <c r="F33" s="22"/>
      <c r="G33" s="11"/>
      <c r="H33" s="79"/>
      <c r="I33" s="80" t="n">
        <f aca="false">'MASTER BEDROOM'!F46</f>
        <v>0.732746773425093</v>
      </c>
      <c r="J33" s="24" t="n">
        <f aca="false">'MASTER BEDROOM'!F38</f>
        <v>25.6092894759933</v>
      </c>
      <c r="K33" s="81" t="n">
        <f aca="false">15*1</f>
        <v>15</v>
      </c>
      <c r="L33" s="81" t="n">
        <f aca="false">15*1</f>
        <v>15</v>
      </c>
      <c r="M33" s="79" t="n">
        <f aca="false">'MASTER BEDROOM'!F44</f>
        <v>50</v>
      </c>
      <c r="N33" s="24" t="n">
        <f aca="false">MAX(J33:L33)</f>
        <v>25.6092894759933</v>
      </c>
      <c r="O33" s="24" t="n">
        <f aca="false">M33*0.47194745</f>
        <v>23.5973725</v>
      </c>
      <c r="P33" s="82"/>
      <c r="Q33" s="83"/>
      <c r="R33" s="84"/>
      <c r="S33" s="77"/>
      <c r="T33" s="22"/>
      <c r="U33" s="77"/>
      <c r="V33" s="77"/>
    </row>
    <row r="34" customFormat="false" ht="15" hidden="false" customHeight="false" outlineLevel="0" collapsed="false">
      <c r="A34" s="27" t="s">
        <v>62</v>
      </c>
      <c r="B34" s="77"/>
      <c r="C34" s="78"/>
      <c r="D34" s="11"/>
      <c r="E34" s="11"/>
      <c r="F34" s="22"/>
      <c r="G34" s="11"/>
      <c r="H34" s="79"/>
      <c r="I34" s="80" t="n">
        <f aca="false">'CHIEF OFFICER CABIN'!F46</f>
        <v>0.877983579776231</v>
      </c>
      <c r="J34" s="24" t="n">
        <f aca="false">'CHIEF OFFICER CABIN'!F38</f>
        <v>57.9089363019048</v>
      </c>
      <c r="K34" s="81" t="n">
        <f aca="false">15*1</f>
        <v>15</v>
      </c>
      <c r="L34" s="81" t="n">
        <f aca="false">15*1</f>
        <v>15</v>
      </c>
      <c r="M34" s="79" t="n">
        <f aca="false">'CHIEF OFFICER CABIN'!F44</f>
        <v>130</v>
      </c>
      <c r="N34" s="24" t="n">
        <f aca="false">MAX(J34:L34)</f>
        <v>57.9089363019048</v>
      </c>
      <c r="O34" s="24" t="n">
        <f aca="false">M34*0.47194745</f>
        <v>61.3531685</v>
      </c>
      <c r="P34" s="82"/>
      <c r="Q34" s="83"/>
      <c r="R34" s="84"/>
      <c r="S34" s="77"/>
      <c r="T34" s="22"/>
      <c r="U34" s="77"/>
      <c r="V34" s="77"/>
    </row>
    <row r="35" customFormat="false" ht="15" hidden="false" customHeight="false" outlineLevel="0" collapsed="false">
      <c r="A35" s="27" t="s">
        <v>63</v>
      </c>
      <c r="B35" s="77"/>
      <c r="C35" s="78"/>
      <c r="D35" s="11"/>
      <c r="E35" s="11"/>
      <c r="F35" s="22"/>
      <c r="G35" s="11"/>
      <c r="H35" s="79"/>
      <c r="I35" s="80" t="n">
        <f aca="false">'CHIEF OFFICER BEDROOM'!F46</f>
        <v>0.778485572364699</v>
      </c>
      <c r="J35" s="24" t="n">
        <f aca="false">'CHIEF OFFICER BEDROOM'!F38</f>
        <v>26.5707303778224</v>
      </c>
      <c r="K35" s="81" t="n">
        <f aca="false">15*1</f>
        <v>15</v>
      </c>
      <c r="L35" s="81" t="n">
        <f aca="false">15*1</f>
        <v>15</v>
      </c>
      <c r="M35" s="79" t="n">
        <f aca="false">'CHIEF OFFICER BEDROOM'!F44</f>
        <v>64</v>
      </c>
      <c r="N35" s="24" t="n">
        <f aca="false">MAX(J35:L35)</f>
        <v>26.5707303778224</v>
      </c>
      <c r="O35" s="24" t="n">
        <f aca="false">M35*0.47194745</f>
        <v>30.2046368</v>
      </c>
      <c r="P35" s="82"/>
      <c r="Q35" s="83"/>
      <c r="R35" s="84"/>
      <c r="S35" s="77"/>
      <c r="T35" s="22"/>
      <c r="U35" s="77"/>
      <c r="V35" s="77"/>
    </row>
    <row r="36" customFormat="false" ht="15" hidden="false" customHeight="false" outlineLevel="0" collapsed="false">
      <c r="A36" s="27" t="s">
        <v>64</v>
      </c>
      <c r="B36" s="77"/>
      <c r="C36" s="78"/>
      <c r="D36" s="11"/>
      <c r="E36" s="11"/>
      <c r="F36" s="22"/>
      <c r="G36" s="11"/>
      <c r="H36" s="79"/>
      <c r="I36" s="80" t="n">
        <f aca="false">'PILOT CABIN'!F46</f>
        <v>0.845353447796445</v>
      </c>
      <c r="J36" s="24" t="n">
        <f aca="false">'PILOT CABIN'!F38</f>
        <v>43.0979789381904</v>
      </c>
      <c r="K36" s="81" t="n">
        <f aca="false">15*1</f>
        <v>15</v>
      </c>
      <c r="L36" s="81" t="n">
        <f aca="false">15*1</f>
        <v>15</v>
      </c>
      <c r="M36" s="79" t="n">
        <f aca="false">'PILOT CABIN'!F44</f>
        <v>99</v>
      </c>
      <c r="N36" s="24" t="n">
        <f aca="false">MAX(J36:L36)</f>
        <v>43.0979789381904</v>
      </c>
      <c r="O36" s="24" t="n">
        <f aca="false">M36*0.47194745</f>
        <v>46.72279755</v>
      </c>
      <c r="P36" s="82"/>
      <c r="Q36" s="83"/>
      <c r="R36" s="84"/>
      <c r="S36" s="77"/>
      <c r="T36" s="22"/>
      <c r="U36" s="77"/>
      <c r="V36" s="77"/>
    </row>
    <row r="37" customFormat="false" ht="15" hidden="false" customHeight="false" outlineLevel="0" collapsed="false">
      <c r="A37" s="27" t="s">
        <v>65</v>
      </c>
      <c r="B37" s="77"/>
      <c r="C37" s="78"/>
      <c r="D37" s="11"/>
      <c r="E37" s="11"/>
      <c r="F37" s="22"/>
      <c r="G37" s="11"/>
      <c r="H37" s="79"/>
      <c r="I37" s="80" t="n">
        <f aca="false">OFFICE!F46</f>
        <v>0.625045320446919</v>
      </c>
      <c r="J37" s="24" t="n">
        <f aca="false">OFFICE!F38</f>
        <v>95.746800554055</v>
      </c>
      <c r="K37" s="81" t="n">
        <f aca="false">15*1</f>
        <v>15</v>
      </c>
      <c r="L37" s="81" t="n">
        <f aca="false">15*1</f>
        <v>15</v>
      </c>
      <c r="M37" s="79" t="n">
        <f aca="false">OFFICE!F44</f>
        <v>240</v>
      </c>
      <c r="N37" s="24" t="n">
        <f aca="false">MAX(J37:L37)</f>
        <v>95.746800554055</v>
      </c>
      <c r="O37" s="24" t="n">
        <f aca="false">M37*0.47194745</f>
        <v>113.267388</v>
      </c>
      <c r="P37" s="82"/>
      <c r="Q37" s="83"/>
      <c r="R37" s="84"/>
      <c r="S37" s="77"/>
      <c r="T37" s="22"/>
      <c r="U37" s="77"/>
      <c r="V37" s="77"/>
    </row>
    <row r="38" customFormat="false" ht="15" hidden="false" customHeight="false" outlineLevel="0" collapsed="false">
      <c r="A38" s="27" t="s">
        <v>67</v>
      </c>
      <c r="B38" s="77"/>
      <c r="C38" s="78"/>
      <c r="D38" s="11"/>
      <c r="E38" s="11"/>
      <c r="F38" s="22"/>
      <c r="G38" s="11"/>
      <c r="H38" s="79"/>
      <c r="I38" s="80" t="n">
        <f aca="false">'1ST ENGINEER CABIN'!F46</f>
        <v>0.854968670936042</v>
      </c>
      <c r="J38" s="24" t="n">
        <f aca="false">'1ST ENGINEER CABIN'!F38</f>
        <v>57.9089363019048</v>
      </c>
      <c r="K38" s="81" t="n">
        <f aca="false">15*1</f>
        <v>15</v>
      </c>
      <c r="L38" s="81" t="n">
        <f aca="false">15*1</f>
        <v>15</v>
      </c>
      <c r="M38" s="79" t="n">
        <f aca="false">'1ST ENGINEER CABIN'!F44</f>
        <v>106</v>
      </c>
      <c r="N38" s="24" t="n">
        <f aca="false">MAX(J38:L38)</f>
        <v>57.9089363019048</v>
      </c>
      <c r="O38" s="24" t="n">
        <f aca="false">M38*0.47194745</f>
        <v>50.0264297</v>
      </c>
      <c r="P38" s="82"/>
      <c r="Q38" s="83"/>
      <c r="R38" s="84"/>
      <c r="S38" s="77"/>
      <c r="T38" s="22"/>
      <c r="U38" s="77"/>
      <c r="V38" s="77"/>
    </row>
    <row r="39" customFormat="false" ht="15" hidden="false" customHeight="false" outlineLevel="0" collapsed="false">
      <c r="A39" s="27" t="s">
        <v>68</v>
      </c>
      <c r="B39" s="77"/>
      <c r="C39" s="78"/>
      <c r="D39" s="11"/>
      <c r="E39" s="11"/>
      <c r="F39" s="22"/>
      <c r="G39" s="11"/>
      <c r="H39" s="79"/>
      <c r="I39" s="80" t="n">
        <f aca="false">'1ST ENGINEER BEDROOM'!F46</f>
        <v>0.825646948245189</v>
      </c>
      <c r="J39" s="24" t="n">
        <f aca="false">'1ST ENGINEER BEDROOM'!F38</f>
        <v>26.5707303778224</v>
      </c>
      <c r="K39" s="81" t="n">
        <f aca="false">15*1</f>
        <v>15</v>
      </c>
      <c r="L39" s="81" t="n">
        <f aca="false">15*1</f>
        <v>15</v>
      </c>
      <c r="M39" s="79" t="n">
        <f aca="false">'1ST ENGINEER BEDROOM'!F44</f>
        <v>86</v>
      </c>
      <c r="N39" s="24" t="n">
        <f aca="false">MAX(J39:L39)</f>
        <v>26.5707303778224</v>
      </c>
      <c r="O39" s="24" t="n">
        <f aca="false">M39*0.47194745</f>
        <v>40.5874807</v>
      </c>
      <c r="P39" s="82"/>
      <c r="Q39" s="83"/>
      <c r="R39" s="84"/>
      <c r="S39" s="77"/>
      <c r="T39" s="22"/>
      <c r="U39" s="77"/>
      <c r="V39" s="77"/>
    </row>
    <row r="40" customFormat="false" ht="15" hidden="false" customHeight="false" outlineLevel="0" collapsed="false">
      <c r="A40" s="27" t="s">
        <v>69</v>
      </c>
      <c r="B40" s="77"/>
      <c r="C40" s="78"/>
      <c r="D40" s="11"/>
      <c r="E40" s="11"/>
      <c r="F40" s="79" t="n">
        <f aca="false">'CHIEF ENGINEER CABIN'!L29</f>
        <v>3393.6441954577</v>
      </c>
      <c r="G40" s="11"/>
      <c r="H40" s="79" t="n">
        <f aca="false">'CHIEF ENGINEER CABIN'!N29</f>
        <v>3817.2281954577</v>
      </c>
      <c r="I40" s="80" t="n">
        <f aca="false">'CHIEF ENGINEER CABIN'!F46</f>
        <v>0.889033618554939</v>
      </c>
      <c r="J40" s="24" t="n">
        <f aca="false">'CHIEF ENGINEER CABIN'!F38</f>
        <v>61.0872533327448</v>
      </c>
      <c r="K40" s="81" t="n">
        <f aca="false">15*1</f>
        <v>15</v>
      </c>
      <c r="L40" s="81" t="n">
        <f aca="false">15*1</f>
        <v>15</v>
      </c>
      <c r="M40" s="79" t="n">
        <f aca="false">'CHIEF ENGINEER CABIN'!F44</f>
        <v>126</v>
      </c>
      <c r="N40" s="24" t="n">
        <f aca="false">MAX(J40:L40)</f>
        <v>61.0872533327448</v>
      </c>
      <c r="O40" s="24" t="n">
        <f aca="false">M40*0.47194745</f>
        <v>59.4653787</v>
      </c>
      <c r="P40" s="82"/>
      <c r="Q40" s="83"/>
      <c r="R40" s="84"/>
      <c r="S40" s="77"/>
      <c r="T40" s="22"/>
      <c r="U40" s="77"/>
      <c r="V40" s="77"/>
    </row>
    <row r="41" customFormat="false" ht="15" hidden="false" customHeight="false" outlineLevel="0" collapsed="false">
      <c r="A41" s="27" t="s">
        <v>70</v>
      </c>
      <c r="B41" s="77"/>
      <c r="C41" s="78"/>
      <c r="D41" s="11"/>
      <c r="E41" s="11"/>
      <c r="F41" s="79" t="n">
        <f aca="false">'CHIEF ENGINEER BEDROOM'!L29</f>
        <v>2352.2264012051</v>
      </c>
      <c r="G41" s="11"/>
      <c r="H41" s="79" t="n">
        <f aca="false">'CHIEF ENGINEER BEDROOM'!N29</f>
        <v>2837.2264012051</v>
      </c>
      <c r="I41" s="80" t="n">
        <f aca="false">'CHIEF ENGINEER BEDROOM'!F46</f>
        <v>0.829058407255058</v>
      </c>
      <c r="J41" s="24" t="n">
        <f aca="false">'CHIEF ENGINEER BEDROOM'!F38</f>
        <v>25.6092894759933</v>
      </c>
      <c r="K41" s="81" t="n">
        <f aca="false">15*1</f>
        <v>15</v>
      </c>
      <c r="L41" s="81" t="n">
        <f aca="false">15*1</f>
        <v>15</v>
      </c>
      <c r="M41" s="79" t="n">
        <f aca="false">'CHIEF ENGINEER BEDROOM'!F44</f>
        <v>88</v>
      </c>
      <c r="N41" s="24" t="n">
        <f aca="false">MAX(J41:L41)</f>
        <v>25.6092894759933</v>
      </c>
      <c r="O41" s="24" t="n">
        <f aca="false">M41*0.47194745</f>
        <v>41.5313756</v>
      </c>
      <c r="P41" s="82"/>
      <c r="Q41" s="83"/>
      <c r="R41" s="84"/>
      <c r="S41" s="77"/>
      <c r="T41" s="22"/>
      <c r="U41" s="77"/>
      <c r="V41" s="77"/>
    </row>
    <row r="42" customFormat="false" ht="15" hidden="false" customHeight="false" outlineLevel="0" collapsed="false">
      <c r="A42" s="27" t="s">
        <v>436</v>
      </c>
      <c r="B42" s="77"/>
      <c r="C42" s="87" t="s">
        <v>466</v>
      </c>
      <c r="D42" s="77"/>
      <c r="E42" s="77"/>
      <c r="F42" s="79" t="n">
        <f aca="false">'WHEEL HOUSE'!L29</f>
        <v>52173.7784798678</v>
      </c>
      <c r="G42" s="77"/>
      <c r="H42" s="79" t="n">
        <f aca="false">'WHEEL HOUSE'!N29</f>
        <v>54113.7784798678</v>
      </c>
      <c r="I42" s="80" t="n">
        <f aca="false">'WHEEL HOUSE'!F46</f>
        <v>0.964149611161938</v>
      </c>
      <c r="J42" s="24" t="n">
        <f aca="false">'WHEEL HOUSE'!F38</f>
        <v>556.173697226692</v>
      </c>
      <c r="K42" s="81" t="n">
        <f aca="false">15*3</f>
        <v>45</v>
      </c>
      <c r="L42" s="81" t="n">
        <f aca="false">15*3</f>
        <v>45</v>
      </c>
      <c r="M42" s="79" t="n">
        <f aca="false">'WHEEL HOUSE'!F44</f>
        <v>1933</v>
      </c>
      <c r="N42" s="24" t="n">
        <f aca="false">MAX(J42:L42)</f>
        <v>556.173697226692</v>
      </c>
      <c r="O42" s="24" t="n">
        <f aca="false">M42*0.47194745</f>
        <v>912.27442085</v>
      </c>
      <c r="P42" s="82"/>
      <c r="Q42" s="83"/>
      <c r="R42" s="84"/>
      <c r="S42" s="77"/>
      <c r="T42" s="22"/>
      <c r="U42" s="77"/>
      <c r="V42" s="77"/>
    </row>
    <row r="43" customFormat="false" ht="15" hidden="false" customHeight="false" outlineLevel="0" collapsed="false">
      <c r="A43" s="88" t="s">
        <v>465</v>
      </c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9" t="n">
        <f aca="false">SUM(M3:M42)</f>
        <v>12850</v>
      </c>
      <c r="O43" s="89" t="n">
        <f aca="false">SUM(O3:O42)</f>
        <v>6064.5247325</v>
      </c>
      <c r="S43" s="74"/>
      <c r="T43" s="16"/>
      <c r="U43" s="74"/>
    </row>
    <row r="44" customFormat="false" ht="15" hidden="false" customHeight="false" outlineLevel="0" collapsed="false">
      <c r="O44" s="90"/>
      <c r="P44" s="91"/>
      <c r="Q44" s="91"/>
      <c r="R44" s="91"/>
      <c r="S44" s="74"/>
      <c r="T44" s="16"/>
      <c r="U44" s="74"/>
    </row>
    <row r="45" s="74" customFormat="true" ht="15" hidden="false" customHeight="false" outlineLevel="0" collapsed="false">
      <c r="C45" s="77" t="s">
        <v>79</v>
      </c>
      <c r="D45" s="77"/>
      <c r="E45" s="77"/>
      <c r="F45" s="77"/>
      <c r="G45" s="77"/>
      <c r="H45" s="77"/>
      <c r="I45" s="77"/>
      <c r="J45" s="77"/>
      <c r="K45" s="77"/>
      <c r="L45" s="77"/>
      <c r="M45" s="79" t="n">
        <f aca="false">SUM(M3:M6)</f>
        <v>4228</v>
      </c>
      <c r="N45" s="16"/>
      <c r="O45" s="24" t="n">
        <f aca="false">M45*0.47194745</f>
        <v>1995.3938186</v>
      </c>
      <c r="P45" s="82"/>
      <c r="Q45" s="83"/>
      <c r="R45" s="84"/>
      <c r="T45" s="16"/>
    </row>
    <row r="46" s="74" customFormat="true" ht="15" hidden="false" customHeight="false" outlineLevel="0" collapsed="false">
      <c r="C46" s="77" t="s">
        <v>230</v>
      </c>
      <c r="D46" s="77"/>
      <c r="E46" s="77"/>
      <c r="F46" s="77"/>
      <c r="G46" s="77"/>
      <c r="H46" s="77"/>
      <c r="I46" s="77"/>
      <c r="J46" s="77"/>
      <c r="K46" s="77"/>
      <c r="L46" s="77"/>
      <c r="M46" s="79" t="n">
        <f aca="false">SUM(M7:M12)</f>
        <v>3270</v>
      </c>
      <c r="N46" s="16"/>
      <c r="O46" s="24" t="n">
        <f aca="false">M46*0.47194745</f>
        <v>1543.2681615</v>
      </c>
      <c r="P46" s="82"/>
      <c r="Q46" s="83"/>
      <c r="R46" s="84"/>
      <c r="T46" s="16"/>
    </row>
    <row r="47" s="74" customFormat="true" ht="15" hidden="false" customHeight="false" outlineLevel="0" collapsed="false">
      <c r="C47" s="77" t="s">
        <v>311</v>
      </c>
      <c r="D47" s="77"/>
      <c r="E47" s="77"/>
      <c r="F47" s="77"/>
      <c r="G47" s="77"/>
      <c r="H47" s="77"/>
      <c r="I47" s="77"/>
      <c r="J47" s="77"/>
      <c r="K47" s="77"/>
      <c r="L47" s="77"/>
      <c r="M47" s="79" t="n">
        <f aca="false">SUM(M13:M21)</f>
        <v>957</v>
      </c>
      <c r="N47" s="16"/>
      <c r="O47" s="24" t="n">
        <f aca="false">M47*0.47194745</f>
        <v>451.65370965</v>
      </c>
      <c r="P47" s="82"/>
      <c r="Q47" s="83"/>
      <c r="R47" s="84"/>
      <c r="T47" s="16"/>
    </row>
    <row r="48" s="74" customFormat="true" ht="15" hidden="false" customHeight="false" outlineLevel="0" collapsed="false">
      <c r="C48" s="77" t="s">
        <v>369</v>
      </c>
      <c r="D48" s="77"/>
      <c r="E48" s="77"/>
      <c r="F48" s="77"/>
      <c r="G48" s="77"/>
      <c r="H48" s="77"/>
      <c r="I48" s="77"/>
      <c r="J48" s="77"/>
      <c r="K48" s="77"/>
      <c r="L48" s="77"/>
      <c r="M48" s="79" t="n">
        <f aca="false">SUM(M22:M31)</f>
        <v>1355</v>
      </c>
      <c r="N48" s="16"/>
      <c r="O48" s="24" t="n">
        <f aca="false">M48*0.47194745</f>
        <v>639.48879475</v>
      </c>
      <c r="P48" s="82"/>
      <c r="Q48" s="83"/>
      <c r="R48" s="84"/>
      <c r="T48" s="16"/>
    </row>
    <row r="49" s="74" customFormat="true" ht="15" hidden="false" customHeight="false" outlineLevel="0" collapsed="false">
      <c r="C49" s="77" t="s">
        <v>427</v>
      </c>
      <c r="D49" s="77"/>
      <c r="E49" s="77"/>
      <c r="F49" s="77"/>
      <c r="G49" s="77"/>
      <c r="H49" s="77"/>
      <c r="I49" s="77"/>
      <c r="J49" s="77"/>
      <c r="K49" s="77"/>
      <c r="L49" s="77"/>
      <c r="M49" s="79" t="n">
        <f aca="false">SUM(M32:M41)</f>
        <v>1107</v>
      </c>
      <c r="N49" s="16"/>
      <c r="O49" s="24" t="n">
        <f aca="false">M49*0.47194745</f>
        <v>522.44582715</v>
      </c>
      <c r="P49" s="82"/>
      <c r="Q49" s="83"/>
      <c r="R49" s="84"/>
      <c r="T49" s="16"/>
    </row>
    <row r="50" s="74" customFormat="true" ht="15" hidden="false" customHeight="false" outlineLevel="0" collapsed="false">
      <c r="C50" s="77" t="s">
        <v>466</v>
      </c>
      <c r="D50" s="77"/>
      <c r="E50" s="77"/>
      <c r="F50" s="77"/>
      <c r="G50" s="77"/>
      <c r="H50" s="77"/>
      <c r="I50" s="77"/>
      <c r="J50" s="77"/>
      <c r="K50" s="77"/>
      <c r="L50" s="77"/>
      <c r="M50" s="79" t="n">
        <f aca="false">M42</f>
        <v>1933</v>
      </c>
      <c r="N50" s="16"/>
      <c r="O50" s="24" t="n">
        <f aca="false">M50*0.47194745</f>
        <v>912.27442085</v>
      </c>
      <c r="P50" s="82"/>
      <c r="Q50" s="83"/>
      <c r="R50" s="84"/>
      <c r="T50" s="16"/>
    </row>
    <row r="55" customFormat="false" ht="15" hidden="false" customHeight="false" outlineLevel="0" collapsed="false">
      <c r="C55" s="16" t="s">
        <v>492</v>
      </c>
      <c r="D55" s="92" t="n">
        <f aca="false">M47-M21</f>
        <v>736</v>
      </c>
      <c r="E55" s="16"/>
      <c r="F55" s="93" t="s">
        <v>493</v>
      </c>
    </row>
    <row r="56" customFormat="false" ht="15" hidden="false" customHeight="false" outlineLevel="0" collapsed="false">
      <c r="C56" s="16" t="s">
        <v>494</v>
      </c>
      <c r="D56" s="92" t="n">
        <f aca="false">M48</f>
        <v>1355</v>
      </c>
      <c r="E56" s="16"/>
      <c r="F56" s="16"/>
    </row>
    <row r="57" customFormat="false" ht="15" hidden="false" customHeight="false" outlineLevel="0" collapsed="false">
      <c r="C57" s="16" t="s">
        <v>495</v>
      </c>
      <c r="D57" s="92" t="n">
        <f aca="false">M49</f>
        <v>1107</v>
      </c>
      <c r="E57" s="16"/>
      <c r="F57" s="93" t="s">
        <v>496</v>
      </c>
    </row>
    <row r="58" customFormat="false" ht="15" hidden="false" customHeight="false" outlineLevel="0" collapsed="false">
      <c r="C58" s="16" t="s">
        <v>497</v>
      </c>
      <c r="D58" s="92" t="n">
        <f aca="false">M50</f>
        <v>1933</v>
      </c>
      <c r="E58" s="16"/>
      <c r="F58" s="92" t="n">
        <f aca="false">SUM(D55:D58)</f>
        <v>5131</v>
      </c>
    </row>
    <row r="59" customFormat="false" ht="15" hidden="false" customHeight="false" outlineLevel="0" collapsed="false">
      <c r="C59" s="16" t="s">
        <v>498</v>
      </c>
      <c r="D59" s="92" t="n">
        <f aca="false">M21+M3+M6</f>
        <v>2386</v>
      </c>
      <c r="E59" s="16"/>
      <c r="F59" s="16"/>
    </row>
    <row r="60" customFormat="false" ht="15" hidden="false" customHeight="false" outlineLevel="0" collapsed="false">
      <c r="C60" s="16" t="s">
        <v>499</v>
      </c>
      <c r="D60" s="92" t="n">
        <f aca="false">M10</f>
        <v>1408</v>
      </c>
      <c r="E60" s="16"/>
      <c r="F60" s="16"/>
    </row>
    <row r="61" customFormat="false" ht="15" hidden="false" customHeight="false" outlineLevel="0" collapsed="false">
      <c r="C61" s="16" t="s">
        <v>500</v>
      </c>
      <c r="D61" s="92" t="e">
        <f aca="false">M11+M12+#REF!+M9+M8+M7</f>
        <v>#REF!</v>
      </c>
      <c r="E61" s="16"/>
      <c r="F61" s="92" t="e">
        <f aca="false">SUM(D59:D61)</f>
        <v>#REF!</v>
      </c>
    </row>
    <row r="64" customFormat="false" ht="15" hidden="false" customHeight="false" outlineLevel="0" collapsed="false">
      <c r="B64" s="94" t="s">
        <v>501</v>
      </c>
      <c r="C64" s="94"/>
      <c r="D64" s="5"/>
      <c r="E64" s="5"/>
      <c r="F64" s="5"/>
      <c r="G64" s="5"/>
      <c r="H64" s="5"/>
      <c r="I64" s="94" t="s">
        <v>502</v>
      </c>
      <c r="J64" s="94"/>
      <c r="K64" s="94"/>
      <c r="L64" s="94"/>
      <c r="M64" s="94"/>
    </row>
    <row r="65" customFormat="false" ht="15" hidden="false" customHeight="false" outlineLevel="0" collapsed="false">
      <c r="A65" s="95" t="s">
        <v>503</v>
      </c>
      <c r="B65" s="96" t="n">
        <f aca="false">M43</f>
        <v>12850</v>
      </c>
      <c r="C65" s="74" t="s">
        <v>126</v>
      </c>
      <c r="I65" s="74" t="n">
        <f aca="false">B65*1.5</f>
        <v>19275</v>
      </c>
      <c r="M65" s="93" t="s">
        <v>126</v>
      </c>
    </row>
    <row r="66" customFormat="false" ht="15" hidden="false" customHeight="false" outlineLevel="0" collapsed="false">
      <c r="A66" s="95" t="s">
        <v>503</v>
      </c>
      <c r="B66" s="97" t="n">
        <f aca="false">B65*0.47194745</f>
        <v>6064.5247325</v>
      </c>
      <c r="C66" s="74" t="s">
        <v>504</v>
      </c>
      <c r="I66" s="97" t="n">
        <f aca="false">I65*0.47194745</f>
        <v>9096.78709875</v>
      </c>
      <c r="J66" s="97"/>
      <c r="K66" s="97"/>
      <c r="L66" s="97"/>
      <c r="M66" s="74" t="s">
        <v>504</v>
      </c>
    </row>
    <row r="67" customFormat="false" ht="15" hidden="false" customHeight="false" outlineLevel="0" collapsed="false">
      <c r="A67" s="95" t="s">
        <v>503</v>
      </c>
      <c r="B67" s="74" t="n">
        <f aca="false">B68*3600</f>
        <v>21832.289037</v>
      </c>
      <c r="C67" s="74" t="s">
        <v>505</v>
      </c>
      <c r="I67" s="74" t="n">
        <f aca="false">I68*3600</f>
        <v>32748.4335555</v>
      </c>
      <c r="M67" s="74" t="s">
        <v>505</v>
      </c>
    </row>
    <row r="68" customFormat="false" ht="15" hidden="false" customHeight="false" outlineLevel="0" collapsed="false">
      <c r="A68" s="95" t="s">
        <v>503</v>
      </c>
      <c r="B68" s="97" t="n">
        <f aca="false">B66*0.001</f>
        <v>6.0645247325</v>
      </c>
      <c r="C68" s="74" t="s">
        <v>506</v>
      </c>
      <c r="I68" s="97" t="n">
        <f aca="false">I66*0.001</f>
        <v>9.09678709875</v>
      </c>
      <c r="J68" s="97"/>
      <c r="K68" s="97"/>
      <c r="L68" s="97"/>
      <c r="M68" s="74" t="s">
        <v>506</v>
      </c>
    </row>
    <row r="70" customFormat="false" ht="15" hidden="false" customHeight="false" outlineLevel="0" collapsed="false">
      <c r="A70" s="98" t="s">
        <v>507</v>
      </c>
    </row>
    <row r="71" customFormat="false" ht="15" hidden="false" customHeight="false" outlineLevel="0" collapsed="false">
      <c r="A71" s="98" t="s">
        <v>508</v>
      </c>
      <c r="B71" s="74" t="n">
        <v>2.7</v>
      </c>
      <c r="C71" s="74" t="s">
        <v>509</v>
      </c>
    </row>
    <row r="72" customFormat="false" ht="15" hidden="false" customHeight="false" outlineLevel="0" collapsed="false">
      <c r="A72" s="98" t="s">
        <v>510</v>
      </c>
      <c r="B72" s="74" t="n">
        <v>5</v>
      </c>
      <c r="C72" s="74" t="s">
        <v>509</v>
      </c>
    </row>
    <row r="73" customFormat="false" ht="15" hidden="false" customHeight="false" outlineLevel="0" collapsed="false">
      <c r="A73" s="98" t="s">
        <v>511</v>
      </c>
      <c r="B73" s="74" t="n">
        <v>5.6</v>
      </c>
      <c r="C73" s="74" t="s">
        <v>509</v>
      </c>
    </row>
    <row r="80" customFormat="false" ht="15" hidden="false" customHeight="false" outlineLevel="0" collapsed="false">
      <c r="A80" s="99" t="s">
        <v>512</v>
      </c>
    </row>
    <row r="81" customFormat="false" ht="15" hidden="false" customHeight="false" outlineLevel="0" collapsed="false">
      <c r="A81" s="100" t="s">
        <v>513</v>
      </c>
      <c r="B81" s="74" t="s">
        <v>514</v>
      </c>
    </row>
    <row r="82" customFormat="false" ht="15" hidden="false" customHeight="false" outlineLevel="0" collapsed="false">
      <c r="A82" s="100" t="s">
        <v>515</v>
      </c>
      <c r="B82" s="74" t="s">
        <v>516</v>
      </c>
    </row>
    <row r="83" customFormat="false" ht="15" hidden="false" customHeight="false" outlineLevel="0" collapsed="false">
      <c r="A83" s="98" t="s">
        <v>517</v>
      </c>
      <c r="B83" s="74" t="s">
        <v>518</v>
      </c>
    </row>
    <row r="84" customFormat="false" ht="15" hidden="false" customHeight="false" outlineLevel="0" collapsed="false">
      <c r="A84" s="98" t="s">
        <v>519</v>
      </c>
      <c r="B84" s="74" t="n">
        <v>500</v>
      </c>
      <c r="C84" s="74" t="s">
        <v>520</v>
      </c>
    </row>
    <row r="85" customFormat="false" ht="15" hidden="false" customHeight="false" outlineLevel="0" collapsed="false">
      <c r="A85" s="98" t="s">
        <v>521</v>
      </c>
      <c r="B85" s="74" t="n">
        <v>20000</v>
      </c>
      <c r="C85" s="74" t="s">
        <v>126</v>
      </c>
    </row>
    <row r="86" customFormat="false" ht="15" hidden="false" customHeight="false" outlineLevel="0" collapsed="false">
      <c r="A86" s="98"/>
      <c r="B86" s="74" t="n">
        <v>25519</v>
      </c>
      <c r="C86" s="74" t="s">
        <v>126</v>
      </c>
      <c r="I86" s="74" t="s">
        <v>522</v>
      </c>
    </row>
    <row r="87" customFormat="false" ht="15" hidden="false" customHeight="false" outlineLevel="0" collapsed="false">
      <c r="A87" s="98" t="s">
        <v>508</v>
      </c>
      <c r="B87" s="74" t="n">
        <v>67.25</v>
      </c>
      <c r="C87" s="74" t="s">
        <v>523</v>
      </c>
    </row>
    <row r="88" customFormat="false" ht="15" hidden="false" customHeight="false" outlineLevel="0" collapsed="false">
      <c r="B88" s="74" t="n">
        <f aca="false">B87*0.0254</f>
        <v>1.70815</v>
      </c>
      <c r="C88" s="74" t="s">
        <v>509</v>
      </c>
      <c r="I88" s="101" t="str">
        <f aca="false">IF(B88&lt;$B$71,"Memenuhi","tidak memenuhi")</f>
        <v>Memenuhi</v>
      </c>
      <c r="J88" s="101"/>
      <c r="K88" s="101"/>
      <c r="L88" s="101"/>
    </row>
    <row r="89" customFormat="false" ht="15" hidden="false" customHeight="false" outlineLevel="0" collapsed="false">
      <c r="A89" s="98" t="s">
        <v>510</v>
      </c>
      <c r="B89" s="74" t="n">
        <v>112.5</v>
      </c>
      <c r="C89" s="74" t="s">
        <v>523</v>
      </c>
    </row>
    <row r="90" customFormat="false" ht="15" hidden="false" customHeight="false" outlineLevel="0" collapsed="false">
      <c r="B90" s="74" t="n">
        <f aca="false">B89*0.0254</f>
        <v>2.8575</v>
      </c>
      <c r="C90" s="74" t="s">
        <v>509</v>
      </c>
      <c r="I90" s="101" t="str">
        <f aca="false">IF(B90&lt;$B$72,"Memenuhi","tidak memenuhi")</f>
        <v>Memenuhi</v>
      </c>
      <c r="J90" s="101"/>
      <c r="K90" s="101"/>
      <c r="L90" s="101"/>
    </row>
    <row r="91" customFormat="false" ht="15" hidden="false" customHeight="false" outlineLevel="0" collapsed="false">
      <c r="A91" s="98" t="s">
        <v>511</v>
      </c>
      <c r="B91" s="98" t="n">
        <v>96</v>
      </c>
      <c r="C91" s="102" t="s">
        <v>523</v>
      </c>
      <c r="D91" s="102"/>
      <c r="E91" s="102"/>
      <c r="F91" s="102"/>
      <c r="G91" s="102"/>
      <c r="H91" s="102"/>
    </row>
    <row r="92" customFormat="false" ht="15" hidden="false" customHeight="false" outlineLevel="0" collapsed="false">
      <c r="B92" s="74" t="n">
        <f aca="false">B91*0.0254</f>
        <v>2.4384</v>
      </c>
      <c r="C92" s="74" t="s">
        <v>509</v>
      </c>
      <c r="I92" s="101" t="str">
        <f aca="false">IF(B92&lt;$B$73,"Memenuhi","tidak memenuhi")</f>
        <v>Memenuhi</v>
      </c>
      <c r="J92" s="101"/>
      <c r="K92" s="101"/>
      <c r="L92" s="101"/>
    </row>
    <row r="94" customFormat="false" ht="15" hidden="false" customHeight="false" outlineLevel="0" collapsed="false">
      <c r="A94" s="99" t="s">
        <v>524</v>
      </c>
    </row>
    <row r="95" customFormat="false" ht="15" hidden="false" customHeight="false" outlineLevel="0" collapsed="false">
      <c r="A95" s="100" t="s">
        <v>513</v>
      </c>
      <c r="B95" s="74" t="s">
        <v>514</v>
      </c>
    </row>
    <row r="96" customFormat="false" ht="15" hidden="false" customHeight="false" outlineLevel="0" collapsed="false">
      <c r="A96" s="100" t="s">
        <v>515</v>
      </c>
      <c r="B96" s="74" t="s">
        <v>525</v>
      </c>
    </row>
    <row r="97" customFormat="false" ht="15" hidden="false" customHeight="false" outlineLevel="0" collapsed="false">
      <c r="A97" s="98" t="s">
        <v>517</v>
      </c>
      <c r="B97" s="74" t="s">
        <v>526</v>
      </c>
    </row>
    <row r="98" customFormat="false" ht="15" hidden="false" customHeight="false" outlineLevel="0" collapsed="false">
      <c r="A98" s="98" t="s">
        <v>519</v>
      </c>
      <c r="B98" s="74" t="n">
        <f aca="false">I98*196.850393700787</f>
        <v>590.551181102361</v>
      </c>
      <c r="C98" s="74" t="s">
        <v>520</v>
      </c>
      <c r="I98" s="74" t="n">
        <v>3</v>
      </c>
      <c r="M98" s="16" t="s">
        <v>527</v>
      </c>
    </row>
    <row r="99" customFormat="false" ht="15" hidden="false" customHeight="false" outlineLevel="0" collapsed="false">
      <c r="A99" s="98" t="s">
        <v>521</v>
      </c>
      <c r="B99" s="74" t="n">
        <v>34000</v>
      </c>
      <c r="C99" s="74" t="s">
        <v>505</v>
      </c>
      <c r="I99" s="74" t="n">
        <v>36396</v>
      </c>
      <c r="M99" s="74" t="s">
        <v>505</v>
      </c>
    </row>
    <row r="100" customFormat="false" ht="15" hidden="false" customHeight="false" outlineLevel="0" collapsed="false">
      <c r="A100" s="98"/>
      <c r="B100" s="74" t="n">
        <f aca="false">B99*0.58857777021102</f>
        <v>20011.6441871747</v>
      </c>
      <c r="C100" s="74" t="s">
        <v>126</v>
      </c>
    </row>
    <row r="101" customFormat="false" ht="15" hidden="false" customHeight="false" outlineLevel="0" collapsed="false">
      <c r="A101" s="98" t="s">
        <v>508</v>
      </c>
      <c r="C101" s="74" t="s">
        <v>523</v>
      </c>
    </row>
    <row r="102" customFormat="false" ht="15" hidden="false" customHeight="false" outlineLevel="0" collapsed="false">
      <c r="B102" s="74" t="n">
        <v>2.108</v>
      </c>
      <c r="C102" s="74" t="s">
        <v>509</v>
      </c>
      <c r="I102" s="101" t="str">
        <f aca="false">IF(B102&lt;$B$71,"Memenuhi","tidak memenuhi")</f>
        <v>Memenuhi</v>
      </c>
      <c r="J102" s="101"/>
      <c r="K102" s="101"/>
      <c r="L102" s="101"/>
    </row>
    <row r="103" customFormat="false" ht="15" hidden="false" customHeight="false" outlineLevel="0" collapsed="false">
      <c r="A103" s="98" t="s">
        <v>510</v>
      </c>
      <c r="C103" s="74" t="s">
        <v>523</v>
      </c>
    </row>
    <row r="104" customFormat="false" ht="15" hidden="false" customHeight="false" outlineLevel="0" collapsed="false">
      <c r="B104" s="74" t="n">
        <v>2.298</v>
      </c>
      <c r="C104" s="74" t="s">
        <v>509</v>
      </c>
      <c r="I104" s="101" t="str">
        <f aca="false">IF(B104&lt;$B$72,"Memenuhi","tidak memenuhi")</f>
        <v>Memenuhi</v>
      </c>
      <c r="J104" s="101"/>
      <c r="K104" s="101"/>
      <c r="L104" s="101"/>
    </row>
    <row r="105" customFormat="false" ht="15" hidden="false" customHeight="false" outlineLevel="0" collapsed="false">
      <c r="A105" s="98" t="s">
        <v>511</v>
      </c>
      <c r="B105" s="98"/>
      <c r="C105" s="102" t="s">
        <v>523</v>
      </c>
      <c r="D105" s="102"/>
      <c r="E105" s="102"/>
      <c r="F105" s="102"/>
      <c r="G105" s="102"/>
      <c r="H105" s="102"/>
    </row>
    <row r="106" customFormat="false" ht="15" hidden="false" customHeight="false" outlineLevel="0" collapsed="false">
      <c r="B106" s="74" t="n">
        <f aca="false">C125</f>
        <v>8.215</v>
      </c>
      <c r="C106" s="74" t="s">
        <v>509</v>
      </c>
      <c r="I106" s="101" t="str">
        <f aca="false">IF(B106&lt;$B$73,"Memenuhi","tidak memenuhi")</f>
        <v>tidak memenuhi</v>
      </c>
      <c r="J106" s="101"/>
      <c r="K106" s="101"/>
      <c r="L106" s="101"/>
    </row>
    <row r="107" customFormat="false" ht="15" hidden="false" customHeight="false" outlineLevel="0" collapsed="false">
      <c r="B107" s="103" t="s">
        <v>528</v>
      </c>
      <c r="C107" s="104" t="n">
        <v>465</v>
      </c>
      <c r="D107" s="104"/>
      <c r="E107" s="104"/>
      <c r="F107" s="104"/>
      <c r="G107" s="104"/>
      <c r="H107" s="104"/>
      <c r="I107" s="105" t="s">
        <v>529</v>
      </c>
    </row>
    <row r="108" customFormat="false" ht="15" hidden="false" customHeight="false" outlineLevel="0" collapsed="false">
      <c r="B108" s="106" t="s">
        <v>530</v>
      </c>
      <c r="C108" s="74" t="n">
        <v>155</v>
      </c>
      <c r="I108" s="107" t="s">
        <v>529</v>
      </c>
    </row>
    <row r="109" customFormat="false" ht="15" hidden="false" customHeight="false" outlineLevel="0" collapsed="false">
      <c r="B109" s="106" t="s">
        <v>531</v>
      </c>
      <c r="C109" s="74" t="n">
        <v>465</v>
      </c>
      <c r="I109" s="107" t="s">
        <v>529</v>
      </c>
    </row>
    <row r="110" customFormat="false" ht="15" hidden="false" customHeight="false" outlineLevel="0" collapsed="false">
      <c r="B110" s="106" t="s">
        <v>532</v>
      </c>
      <c r="C110" s="74" t="n">
        <v>620</v>
      </c>
      <c r="I110" s="107" t="s">
        <v>529</v>
      </c>
    </row>
    <row r="111" customFormat="false" ht="15" hidden="false" customHeight="false" outlineLevel="0" collapsed="false">
      <c r="B111" s="106" t="s">
        <v>533</v>
      </c>
      <c r="C111" s="74" t="n">
        <v>465</v>
      </c>
      <c r="I111" s="107" t="s">
        <v>529</v>
      </c>
    </row>
    <row r="112" customFormat="false" ht="15" hidden="false" customHeight="false" outlineLevel="0" collapsed="false">
      <c r="B112" s="106" t="s">
        <v>534</v>
      </c>
      <c r="C112" s="74" t="n">
        <v>465</v>
      </c>
      <c r="I112" s="107" t="s">
        <v>529</v>
      </c>
    </row>
    <row r="113" customFormat="false" ht="15" hidden="false" customHeight="false" outlineLevel="0" collapsed="false">
      <c r="B113" s="106" t="s">
        <v>535</v>
      </c>
      <c r="C113" s="74" t="n">
        <v>310</v>
      </c>
      <c r="I113" s="107" t="s">
        <v>529</v>
      </c>
    </row>
    <row r="114" customFormat="false" ht="15" hidden="false" customHeight="false" outlineLevel="0" collapsed="false">
      <c r="B114" s="106" t="s">
        <v>536</v>
      </c>
      <c r="C114" s="74" t="n">
        <v>465</v>
      </c>
      <c r="I114" s="107" t="s">
        <v>529</v>
      </c>
    </row>
    <row r="115" customFormat="false" ht="15" hidden="false" customHeight="false" outlineLevel="0" collapsed="false">
      <c r="B115" s="106" t="s">
        <v>537</v>
      </c>
      <c r="C115" s="74" t="n">
        <v>775</v>
      </c>
      <c r="I115" s="107" t="s">
        <v>529</v>
      </c>
    </row>
    <row r="116" customFormat="false" ht="15" hidden="false" customHeight="false" outlineLevel="0" collapsed="false">
      <c r="B116" s="106" t="s">
        <v>538</v>
      </c>
      <c r="C116" s="74" t="n">
        <v>465</v>
      </c>
      <c r="I116" s="107" t="s">
        <v>529</v>
      </c>
    </row>
    <row r="117" customFormat="false" ht="15" hidden="false" customHeight="false" outlineLevel="0" collapsed="false">
      <c r="B117" s="106" t="s">
        <v>539</v>
      </c>
      <c r="C117" s="74" t="n">
        <v>1240</v>
      </c>
      <c r="I117" s="107" t="s">
        <v>529</v>
      </c>
    </row>
    <row r="118" customFormat="false" ht="15" hidden="false" customHeight="false" outlineLevel="0" collapsed="false">
      <c r="B118" s="106" t="s">
        <v>540</v>
      </c>
      <c r="I118" s="107" t="s">
        <v>529</v>
      </c>
    </row>
    <row r="119" customFormat="false" ht="15" hidden="false" customHeight="false" outlineLevel="0" collapsed="false">
      <c r="B119" s="106" t="s">
        <v>541</v>
      </c>
      <c r="I119" s="107" t="s">
        <v>529</v>
      </c>
    </row>
    <row r="120" customFormat="false" ht="15" hidden="false" customHeight="false" outlineLevel="0" collapsed="false">
      <c r="B120" s="106" t="s">
        <v>542</v>
      </c>
      <c r="C120" s="74" t="n">
        <v>620</v>
      </c>
      <c r="I120" s="107" t="s">
        <v>529</v>
      </c>
    </row>
    <row r="121" customFormat="false" ht="15" hidden="false" customHeight="false" outlineLevel="0" collapsed="false">
      <c r="B121" s="106" t="s">
        <v>543</v>
      </c>
      <c r="C121" s="74" t="n">
        <v>620</v>
      </c>
      <c r="I121" s="107" t="s">
        <v>529</v>
      </c>
    </row>
    <row r="122" customFormat="false" ht="15" hidden="false" customHeight="false" outlineLevel="0" collapsed="false">
      <c r="B122" s="106" t="s">
        <v>544</v>
      </c>
      <c r="C122" s="74" t="n">
        <v>465</v>
      </c>
      <c r="I122" s="107" t="s">
        <v>529</v>
      </c>
    </row>
    <row r="123" customFormat="false" ht="15" hidden="false" customHeight="false" outlineLevel="0" collapsed="false">
      <c r="B123" s="106" t="s">
        <v>545</v>
      </c>
      <c r="C123" s="74" t="n">
        <v>620</v>
      </c>
      <c r="I123" s="107" t="s">
        <v>529</v>
      </c>
    </row>
    <row r="124" customFormat="false" ht="15" hidden="false" customHeight="false" outlineLevel="0" collapsed="false">
      <c r="B124" s="108"/>
      <c r="C124" s="74" t="n">
        <f aca="false">SUM(C107:C123)</f>
        <v>8215</v>
      </c>
      <c r="I124" s="107" t="s">
        <v>529</v>
      </c>
    </row>
    <row r="125" customFormat="false" ht="15" hidden="false" customHeight="false" outlineLevel="0" collapsed="false">
      <c r="B125" s="109"/>
      <c r="C125" s="110" t="n">
        <f aca="false">C124/1000</f>
        <v>8.215</v>
      </c>
      <c r="D125" s="110"/>
      <c r="E125" s="110"/>
      <c r="F125" s="110"/>
      <c r="G125" s="110"/>
      <c r="H125" s="110"/>
      <c r="I125" s="111" t="s">
        <v>509</v>
      </c>
    </row>
    <row r="126" customFormat="false" ht="15" hidden="false" customHeight="false" outlineLevel="0" collapsed="false">
      <c r="B126" s="74" t="s">
        <v>546</v>
      </c>
    </row>
    <row r="127" customFormat="false" ht="15" hidden="false" customHeight="false" outlineLevel="0" collapsed="false">
      <c r="B127" s="74" t="s">
        <v>515</v>
      </c>
      <c r="C127" s="74" t="s">
        <v>547</v>
      </c>
    </row>
    <row r="128" customFormat="false" ht="15" hidden="false" customHeight="false" outlineLevel="0" collapsed="false">
      <c r="B128" s="74" t="s">
        <v>548</v>
      </c>
      <c r="C128" s="74" t="n">
        <f aca="false">716+818</f>
        <v>1534</v>
      </c>
    </row>
    <row r="131" customFormat="false" ht="15" hidden="false" customHeight="false" outlineLevel="0" collapsed="false">
      <c r="A131" s="99" t="s">
        <v>549</v>
      </c>
    </row>
    <row r="132" customFormat="false" ht="15" hidden="false" customHeight="false" outlineLevel="0" collapsed="false">
      <c r="A132" s="100" t="s">
        <v>513</v>
      </c>
      <c r="B132" s="74" t="s">
        <v>514</v>
      </c>
    </row>
    <row r="133" customFormat="false" ht="15" hidden="false" customHeight="false" outlineLevel="0" collapsed="false">
      <c r="A133" s="100" t="s">
        <v>515</v>
      </c>
      <c r="B133" s="74" t="s">
        <v>516</v>
      </c>
    </row>
    <row r="134" customFormat="false" ht="15" hidden="false" customHeight="false" outlineLevel="0" collapsed="false">
      <c r="A134" s="98" t="s">
        <v>517</v>
      </c>
      <c r="B134" s="74" t="s">
        <v>518</v>
      </c>
    </row>
    <row r="135" customFormat="false" ht="15" hidden="false" customHeight="false" outlineLevel="0" collapsed="false">
      <c r="A135" s="98" t="s">
        <v>519</v>
      </c>
      <c r="B135" s="74" t="n">
        <v>500</v>
      </c>
      <c r="C135" s="74" t="s">
        <v>520</v>
      </c>
    </row>
    <row r="136" customFormat="false" ht="15" hidden="false" customHeight="false" outlineLevel="0" collapsed="false">
      <c r="A136" s="98" t="s">
        <v>521</v>
      </c>
      <c r="B136" s="74" t="n">
        <v>20000</v>
      </c>
      <c r="C136" s="74" t="s">
        <v>126</v>
      </c>
    </row>
    <row r="137" customFormat="false" ht="15" hidden="false" customHeight="false" outlineLevel="0" collapsed="false">
      <c r="A137" s="98"/>
      <c r="B137" s="74" t="n">
        <v>25519</v>
      </c>
      <c r="C137" s="74" t="s">
        <v>126</v>
      </c>
      <c r="I137" s="74" t="s">
        <v>522</v>
      </c>
    </row>
    <row r="138" customFormat="false" ht="15" hidden="false" customHeight="false" outlineLevel="0" collapsed="false">
      <c r="A138" s="98" t="s">
        <v>508</v>
      </c>
      <c r="B138" s="74" t="n">
        <v>67.25</v>
      </c>
      <c r="C138" s="74" t="s">
        <v>523</v>
      </c>
    </row>
    <row r="139" customFormat="false" ht="15" hidden="false" customHeight="false" outlineLevel="0" collapsed="false">
      <c r="B139" s="74" t="n">
        <f aca="false">B138*0.0254</f>
        <v>1.70815</v>
      </c>
      <c r="C139" s="74" t="s">
        <v>509</v>
      </c>
      <c r="I139" s="101" t="str">
        <f aca="false">IF(B139&lt;$B$71,"Memenuhi","tidak memenuhi")</f>
        <v>Memenuhi</v>
      </c>
      <c r="J139" s="101"/>
      <c r="K139" s="101"/>
      <c r="L139" s="101"/>
    </row>
    <row r="140" customFormat="false" ht="15" hidden="false" customHeight="false" outlineLevel="0" collapsed="false">
      <c r="A140" s="98" t="s">
        <v>510</v>
      </c>
      <c r="B140" s="74" t="n">
        <v>112.5</v>
      </c>
      <c r="C140" s="74" t="s">
        <v>523</v>
      </c>
    </row>
    <row r="141" customFormat="false" ht="15" hidden="false" customHeight="false" outlineLevel="0" collapsed="false">
      <c r="B141" s="74" t="n">
        <f aca="false">B140*0.0254</f>
        <v>2.8575</v>
      </c>
      <c r="C141" s="74" t="s">
        <v>509</v>
      </c>
      <c r="I141" s="101" t="str">
        <f aca="false">IF(B141&lt;$B$72,"Memenuhi","tidak memenuhi")</f>
        <v>Memenuhi</v>
      </c>
      <c r="J141" s="101"/>
      <c r="K141" s="101"/>
      <c r="L141" s="101"/>
    </row>
    <row r="142" customFormat="false" ht="15" hidden="false" customHeight="false" outlineLevel="0" collapsed="false">
      <c r="A142" s="98" t="s">
        <v>511</v>
      </c>
      <c r="B142" s="98" t="n">
        <v>96</v>
      </c>
      <c r="C142" s="102" t="s">
        <v>523</v>
      </c>
      <c r="D142" s="102"/>
      <c r="E142" s="102"/>
      <c r="F142" s="102"/>
      <c r="G142" s="102"/>
      <c r="H142" s="102"/>
    </row>
    <row r="143" customFormat="false" ht="15" hidden="false" customHeight="false" outlineLevel="0" collapsed="false">
      <c r="B143" s="74" t="n">
        <f aca="false">B142*0.0254</f>
        <v>2.4384</v>
      </c>
      <c r="C143" s="74" t="s">
        <v>509</v>
      </c>
      <c r="I143" s="101" t="str">
        <f aca="false">IF(B143&lt;$B$73,"Memenuhi","tidak memenuhi")</f>
        <v>Memenuhi</v>
      </c>
      <c r="J143" s="101"/>
      <c r="K143" s="101"/>
      <c r="L143" s="101"/>
    </row>
    <row r="144" customFormat="false" ht="15" hidden="false" customHeight="false" outlineLevel="0" collapsed="false">
      <c r="A144" s="98" t="s">
        <v>550</v>
      </c>
      <c r="C144" s="74" t="s">
        <v>551</v>
      </c>
    </row>
    <row r="146" customFormat="false" ht="15" hidden="false" customHeight="false" outlineLevel="0" collapsed="false">
      <c r="A146" s="99" t="s">
        <v>552</v>
      </c>
    </row>
    <row r="147" customFormat="false" ht="15" hidden="false" customHeight="false" outlineLevel="0" collapsed="false">
      <c r="A147" s="100" t="s">
        <v>513</v>
      </c>
      <c r="B147" s="74" t="s">
        <v>553</v>
      </c>
    </row>
    <row r="148" customFormat="false" ht="15" hidden="false" customHeight="false" outlineLevel="0" collapsed="false">
      <c r="A148" s="100" t="s">
        <v>515</v>
      </c>
      <c r="B148" s="74" t="s">
        <v>554</v>
      </c>
    </row>
    <row r="149" customFormat="false" ht="15" hidden="false" customHeight="false" outlineLevel="0" collapsed="false">
      <c r="A149" s="98" t="s">
        <v>517</v>
      </c>
      <c r="B149" s="74" t="s">
        <v>555</v>
      </c>
    </row>
    <row r="150" customFormat="false" ht="15" hidden="false" customHeight="false" outlineLevel="0" collapsed="false">
      <c r="A150" s="98" t="s">
        <v>519</v>
      </c>
      <c r="C150" s="74" t="s">
        <v>520</v>
      </c>
    </row>
    <row r="151" customFormat="false" ht="15" hidden="false" customHeight="false" outlineLevel="0" collapsed="false">
      <c r="A151" s="98" t="s">
        <v>521</v>
      </c>
      <c r="B151" s="74" t="n">
        <v>33800</v>
      </c>
      <c r="C151" s="74" t="s">
        <v>505</v>
      </c>
    </row>
    <row r="152" customFormat="false" ht="15" hidden="false" customHeight="false" outlineLevel="0" collapsed="false">
      <c r="A152" s="98"/>
    </row>
    <row r="153" customFormat="false" ht="15" hidden="false" customHeight="false" outlineLevel="0" collapsed="false">
      <c r="A153" s="98" t="s">
        <v>508</v>
      </c>
      <c r="C153" s="74" t="s">
        <v>523</v>
      </c>
    </row>
    <row r="154" customFormat="false" ht="15" hidden="false" customHeight="false" outlineLevel="0" collapsed="false">
      <c r="B154" s="74" t="n">
        <v>1.87</v>
      </c>
      <c r="C154" s="74" t="s">
        <v>509</v>
      </c>
      <c r="I154" s="101" t="str">
        <f aca="false">IF(B154&lt;$B$71,"Memenuhi","tidak memenuhi")</f>
        <v>Memenuhi</v>
      </c>
      <c r="J154" s="101"/>
      <c r="K154" s="101"/>
      <c r="L154" s="101"/>
    </row>
    <row r="155" customFormat="false" ht="15" hidden="false" customHeight="false" outlineLevel="0" collapsed="false">
      <c r="A155" s="98" t="s">
        <v>510</v>
      </c>
      <c r="C155" s="74" t="s">
        <v>523</v>
      </c>
    </row>
    <row r="156" customFormat="false" ht="15" hidden="false" customHeight="false" outlineLevel="0" collapsed="false">
      <c r="B156" s="74" t="n">
        <v>2.51</v>
      </c>
      <c r="C156" s="74" t="s">
        <v>509</v>
      </c>
      <c r="I156" s="101" t="str">
        <f aca="false">IF(B156&lt;$B$72,"Memenuhi","tidak memenuhi")</f>
        <v>Memenuhi</v>
      </c>
      <c r="J156" s="101"/>
      <c r="K156" s="101"/>
      <c r="L156" s="101"/>
    </row>
    <row r="157" customFormat="false" ht="15" hidden="false" customHeight="false" outlineLevel="0" collapsed="false">
      <c r="A157" s="98" t="s">
        <v>511</v>
      </c>
      <c r="B157" s="98"/>
      <c r="C157" s="102" t="s">
        <v>523</v>
      </c>
      <c r="D157" s="102"/>
      <c r="E157" s="102"/>
      <c r="F157" s="102"/>
      <c r="G157" s="102"/>
      <c r="H157" s="102"/>
    </row>
    <row r="158" customFormat="false" ht="15" hidden="false" customHeight="false" outlineLevel="0" collapsed="false">
      <c r="C158" s="74" t="s">
        <v>509</v>
      </c>
      <c r="I158" s="101" t="str">
        <f aca="false">IF(B158&lt;$B$73,"Memenuhi","tidak memenuhi")</f>
        <v>Memenuhi</v>
      </c>
      <c r="J158" s="101"/>
      <c r="K158" s="101"/>
      <c r="L158" s="101"/>
    </row>
    <row r="159" customFormat="false" ht="15" hidden="false" customHeight="false" outlineLevel="0" collapsed="false">
      <c r="A159" s="98" t="s">
        <v>550</v>
      </c>
      <c r="C159" s="74" t="s">
        <v>551</v>
      </c>
    </row>
    <row r="161" customFormat="false" ht="15" hidden="false" customHeight="false" outlineLevel="0" collapsed="false">
      <c r="A161" s="99" t="s">
        <v>556</v>
      </c>
    </row>
    <row r="162" customFormat="false" ht="15" hidden="false" customHeight="false" outlineLevel="0" collapsed="false">
      <c r="A162" s="100" t="s">
        <v>513</v>
      </c>
      <c r="B162" s="74" t="s">
        <v>553</v>
      </c>
    </row>
    <row r="163" customFormat="false" ht="15" hidden="false" customHeight="false" outlineLevel="0" collapsed="false">
      <c r="A163" s="100" t="s">
        <v>515</v>
      </c>
      <c r="B163" s="74" t="s">
        <v>557</v>
      </c>
    </row>
    <row r="164" customFormat="false" ht="15" hidden="false" customHeight="false" outlineLevel="0" collapsed="false">
      <c r="A164" s="98" t="s">
        <v>517</v>
      </c>
      <c r="B164" s="74" t="s">
        <v>558</v>
      </c>
    </row>
    <row r="165" customFormat="false" ht="15" hidden="false" customHeight="false" outlineLevel="0" collapsed="false">
      <c r="A165" s="98" t="s">
        <v>519</v>
      </c>
      <c r="B165" s="74" t="n">
        <v>500</v>
      </c>
      <c r="C165" s="74" t="s">
        <v>520</v>
      </c>
    </row>
    <row r="166" customFormat="false" ht="15" hidden="false" customHeight="false" outlineLevel="0" collapsed="false">
      <c r="A166" s="98" t="s">
        <v>521</v>
      </c>
      <c r="B166" s="74" t="n">
        <v>24000</v>
      </c>
      <c r="C166" s="74" t="s">
        <v>126</v>
      </c>
    </row>
    <row r="167" customFormat="false" ht="15" hidden="false" customHeight="false" outlineLevel="0" collapsed="false">
      <c r="A167" s="98"/>
    </row>
    <row r="168" customFormat="false" ht="15" hidden="false" customHeight="false" outlineLevel="0" collapsed="false">
      <c r="A168" s="98" t="s">
        <v>508</v>
      </c>
      <c r="C168" s="74" t="s">
        <v>523</v>
      </c>
    </row>
    <row r="169" customFormat="false" ht="15" hidden="false" customHeight="false" outlineLevel="0" collapsed="false">
      <c r="B169" s="74" t="n">
        <v>1.9</v>
      </c>
      <c r="C169" s="74" t="s">
        <v>509</v>
      </c>
      <c r="I169" s="101" t="str">
        <f aca="false">IF(B169&lt;$B$71,"Memenuhi","tidak memenuhi")</f>
        <v>Memenuhi</v>
      </c>
      <c r="J169" s="101"/>
      <c r="K169" s="101"/>
      <c r="L169" s="101"/>
    </row>
    <row r="170" customFormat="false" ht="15" hidden="false" customHeight="false" outlineLevel="0" collapsed="false">
      <c r="A170" s="98" t="s">
        <v>510</v>
      </c>
      <c r="C170" s="74" t="s">
        <v>523</v>
      </c>
    </row>
    <row r="171" customFormat="false" ht="15" hidden="false" customHeight="false" outlineLevel="0" collapsed="false">
      <c r="B171" s="74" t="n">
        <v>3.8</v>
      </c>
      <c r="C171" s="74" t="s">
        <v>509</v>
      </c>
      <c r="I171" s="101" t="str">
        <f aca="false">IF(B171&lt;$B$72,"Memenuhi","tidak memenuhi")</f>
        <v>Memenuhi</v>
      </c>
      <c r="J171" s="101"/>
      <c r="K171" s="101"/>
      <c r="L171" s="101"/>
    </row>
    <row r="172" customFormat="false" ht="15" hidden="false" customHeight="false" outlineLevel="0" collapsed="false">
      <c r="A172" s="98" t="s">
        <v>511</v>
      </c>
      <c r="B172" s="98"/>
      <c r="C172" s="102" t="s">
        <v>523</v>
      </c>
      <c r="D172" s="102"/>
      <c r="E172" s="102"/>
      <c r="F172" s="102"/>
      <c r="G172" s="102"/>
      <c r="H172" s="102"/>
    </row>
    <row r="173" customFormat="false" ht="15" hidden="false" customHeight="false" outlineLevel="0" collapsed="false">
      <c r="B173" s="74" t="n">
        <v>2.35</v>
      </c>
      <c r="C173" s="74" t="s">
        <v>509</v>
      </c>
      <c r="I173" s="101" t="str">
        <f aca="false">IF(B173&lt;$B$73,"Memenuhi","tidak memenuhi")</f>
        <v>Memenuhi</v>
      </c>
      <c r="J173" s="101"/>
      <c r="K173" s="101"/>
      <c r="L173" s="101"/>
    </row>
    <row r="174" customFormat="false" ht="15" hidden="false" customHeight="false" outlineLevel="0" collapsed="false">
      <c r="A174" s="98" t="s">
        <v>550</v>
      </c>
      <c r="C174" s="74" t="s">
        <v>551</v>
      </c>
    </row>
    <row r="176" customFormat="false" ht="15" hidden="false" customHeight="false" outlineLevel="0" collapsed="false">
      <c r="A176" s="4" t="s">
        <v>559</v>
      </c>
    </row>
    <row r="177" customFormat="false" ht="15" hidden="false" customHeight="false" outlineLevel="0" collapsed="false">
      <c r="A177" s="98" t="s">
        <v>513</v>
      </c>
      <c r="B177" s="74" t="s">
        <v>560</v>
      </c>
    </row>
    <row r="178" customFormat="false" ht="15" hidden="false" customHeight="false" outlineLevel="0" collapsed="false">
      <c r="A178" s="98" t="s">
        <v>515</v>
      </c>
      <c r="B178" s="74" t="s">
        <v>561</v>
      </c>
      <c r="C178" s="74" t="s">
        <v>562</v>
      </c>
    </row>
    <row r="179" customFormat="false" ht="15" hidden="false" customHeight="false" outlineLevel="0" collapsed="false">
      <c r="A179" s="98" t="s">
        <v>517</v>
      </c>
      <c r="B179" s="74" t="s">
        <v>563</v>
      </c>
    </row>
    <row r="180" customFormat="false" ht="15" hidden="false" customHeight="false" outlineLevel="0" collapsed="false">
      <c r="A180" s="98" t="s">
        <v>519</v>
      </c>
      <c r="B180" s="74" t="n">
        <v>500</v>
      </c>
      <c r="C180" s="74" t="s">
        <v>520</v>
      </c>
    </row>
    <row r="181" customFormat="false" ht="15" hidden="false" customHeight="false" outlineLevel="0" collapsed="false">
      <c r="A181" s="98" t="s">
        <v>521</v>
      </c>
      <c r="B181" s="74" t="n">
        <v>24000</v>
      </c>
      <c r="C181" s="74" t="s">
        <v>505</v>
      </c>
    </row>
    <row r="182" customFormat="false" ht="15" hidden="false" customHeight="false" outlineLevel="0" collapsed="false">
      <c r="A182" s="98" t="s">
        <v>508</v>
      </c>
      <c r="B182" s="74" t="n">
        <f aca="false">B181*0.58857777021102</f>
        <v>14125.8664850645</v>
      </c>
      <c r="C182" s="74" t="s">
        <v>126</v>
      </c>
    </row>
    <row r="183" customFormat="false" ht="15" hidden="false" customHeight="false" outlineLevel="0" collapsed="false">
      <c r="A183" s="98"/>
      <c r="C183" s="74" t="s">
        <v>523</v>
      </c>
    </row>
    <row r="184" customFormat="false" ht="15" hidden="false" customHeight="false" outlineLevel="0" collapsed="false">
      <c r="A184" s="98" t="s">
        <v>510</v>
      </c>
      <c r="B184" s="74" t="n">
        <v>1.9</v>
      </c>
      <c r="C184" s="74" t="s">
        <v>509</v>
      </c>
      <c r="I184" s="101" t="str">
        <f aca="false">IF(B184&lt;$B$71,"Memenuhi","tidak memenuhi")</f>
        <v>Memenuhi</v>
      </c>
      <c r="J184" s="101"/>
      <c r="K184" s="101"/>
      <c r="L184" s="101"/>
    </row>
    <row r="185" customFormat="false" ht="15" hidden="false" customHeight="false" outlineLevel="0" collapsed="false">
      <c r="A185" s="98"/>
      <c r="C185" s="74" t="s">
        <v>523</v>
      </c>
    </row>
    <row r="186" customFormat="false" ht="15" hidden="false" customHeight="false" outlineLevel="0" collapsed="false">
      <c r="A186" s="98" t="s">
        <v>511</v>
      </c>
      <c r="B186" s="74" t="n">
        <v>3.8</v>
      </c>
      <c r="C186" s="74" t="s">
        <v>509</v>
      </c>
      <c r="I186" s="101" t="str">
        <f aca="false">IF(B186&lt;$B$72,"Memenuhi","tidak memenuhi")</f>
        <v>Memenuhi</v>
      </c>
      <c r="J186" s="101"/>
      <c r="K186" s="101"/>
      <c r="L186" s="101"/>
    </row>
    <row r="187" customFormat="false" ht="15" hidden="false" customHeight="false" outlineLevel="0" collapsed="false">
      <c r="B187" s="98"/>
      <c r="C187" s="102" t="s">
        <v>523</v>
      </c>
      <c r="D187" s="102"/>
      <c r="E187" s="102"/>
      <c r="F187" s="102"/>
      <c r="G187" s="102"/>
      <c r="H187" s="102"/>
    </row>
    <row r="188" customFormat="false" ht="15" hidden="false" customHeight="false" outlineLevel="0" collapsed="false">
      <c r="A188" s="98" t="s">
        <v>550</v>
      </c>
      <c r="B188" s="74" t="n">
        <v>2.35</v>
      </c>
      <c r="C188" s="74" t="s">
        <v>509</v>
      </c>
      <c r="I188" s="101" t="str">
        <f aca="false">IF(B188&lt;$B$73,"Memenuhi","tidak memenuhi")</f>
        <v>Memenuhi</v>
      </c>
      <c r="J188" s="101"/>
      <c r="K188" s="101"/>
      <c r="L188" s="101"/>
    </row>
    <row r="189" customFormat="false" ht="15" hidden="false" customHeight="false" outlineLevel="0" collapsed="false">
      <c r="C189" s="74" t="s">
        <v>551</v>
      </c>
    </row>
    <row r="191" customFormat="false" ht="15" hidden="false" customHeight="false" outlineLevel="0" collapsed="false">
      <c r="A191" s="4" t="s">
        <v>564</v>
      </c>
    </row>
    <row r="192" customFormat="false" ht="15" hidden="false" customHeight="false" outlineLevel="0" collapsed="false">
      <c r="A192" s="98" t="s">
        <v>513</v>
      </c>
      <c r="B192" s="74" t="s">
        <v>565</v>
      </c>
    </row>
    <row r="193" customFormat="false" ht="15" hidden="false" customHeight="false" outlineLevel="0" collapsed="false">
      <c r="A193" s="98" t="s">
        <v>515</v>
      </c>
      <c r="B193" s="74" t="s">
        <v>561</v>
      </c>
      <c r="C193" s="74" t="s">
        <v>566</v>
      </c>
    </row>
    <row r="194" customFormat="false" ht="15" hidden="false" customHeight="false" outlineLevel="0" collapsed="false">
      <c r="A194" s="98" t="s">
        <v>517</v>
      </c>
      <c r="B194" s="74" t="s">
        <v>563</v>
      </c>
    </row>
    <row r="195" customFormat="false" ht="15" hidden="false" customHeight="false" outlineLevel="0" collapsed="false">
      <c r="A195" s="98" t="s">
        <v>519</v>
      </c>
      <c r="B195" s="74" t="n">
        <v>500</v>
      </c>
      <c r="C195" s="74" t="s">
        <v>520</v>
      </c>
    </row>
    <row r="196" customFormat="false" ht="15" hidden="false" customHeight="false" outlineLevel="0" collapsed="false">
      <c r="A196" s="98" t="s">
        <v>521</v>
      </c>
      <c r="B196" s="74" t="n">
        <v>24000</v>
      </c>
      <c r="C196" s="74" t="s">
        <v>126</v>
      </c>
    </row>
    <row r="197" customFormat="false" ht="15" hidden="false" customHeight="false" outlineLevel="0" collapsed="false">
      <c r="A197" s="98" t="s">
        <v>508</v>
      </c>
    </row>
    <row r="198" customFormat="false" ht="15" hidden="false" customHeight="false" outlineLevel="0" collapsed="false">
      <c r="A198" s="98"/>
      <c r="C198" s="74" t="s">
        <v>523</v>
      </c>
    </row>
    <row r="199" customFormat="false" ht="15" hidden="false" customHeight="false" outlineLevel="0" collapsed="false">
      <c r="A199" s="98" t="s">
        <v>510</v>
      </c>
      <c r="B199" s="74" t="n">
        <v>1.9</v>
      </c>
      <c r="C199" s="74" t="s">
        <v>509</v>
      </c>
      <c r="I199" s="101" t="str">
        <f aca="false">IF(B199&lt;$B$71,"Memenuhi","tidak memenuhi")</f>
        <v>Memenuhi</v>
      </c>
      <c r="J199" s="101"/>
      <c r="K199" s="101"/>
      <c r="L199" s="101"/>
    </row>
    <row r="200" customFormat="false" ht="15" hidden="false" customHeight="false" outlineLevel="0" collapsed="false">
      <c r="A200" s="98"/>
      <c r="C200" s="74" t="s">
        <v>523</v>
      </c>
    </row>
    <row r="201" customFormat="false" ht="15" hidden="false" customHeight="false" outlineLevel="0" collapsed="false">
      <c r="A201" s="98" t="s">
        <v>511</v>
      </c>
      <c r="B201" s="74" t="n">
        <v>3.8</v>
      </c>
      <c r="C201" s="74" t="s">
        <v>509</v>
      </c>
      <c r="I201" s="101" t="str">
        <f aca="false">IF(B201&lt;$B$72,"Memenuhi","tidak memenuhi")</f>
        <v>Memenuhi</v>
      </c>
      <c r="J201" s="101"/>
      <c r="K201" s="101"/>
      <c r="L201" s="101"/>
    </row>
    <row r="202" customFormat="false" ht="15" hidden="false" customHeight="false" outlineLevel="0" collapsed="false">
      <c r="B202" s="98"/>
      <c r="C202" s="102" t="s">
        <v>523</v>
      </c>
      <c r="D202" s="102"/>
      <c r="E202" s="102"/>
      <c r="F202" s="102"/>
      <c r="G202" s="102"/>
      <c r="H202" s="102"/>
    </row>
    <row r="203" customFormat="false" ht="15" hidden="false" customHeight="false" outlineLevel="0" collapsed="false">
      <c r="A203" s="98" t="s">
        <v>550</v>
      </c>
      <c r="B203" s="74" t="n">
        <v>2.35</v>
      </c>
      <c r="C203" s="74" t="s">
        <v>509</v>
      </c>
      <c r="I203" s="101" t="str">
        <f aca="false">IF(B203&lt;$B$73,"Memenuhi","tidak memenuhi")</f>
        <v>Memenuhi</v>
      </c>
      <c r="J203" s="101"/>
      <c r="K203" s="101"/>
      <c r="L203" s="101"/>
    </row>
    <row r="204" customFormat="false" ht="15" hidden="false" customHeight="false" outlineLevel="0" collapsed="false">
      <c r="C204" s="74" t="s">
        <v>551</v>
      </c>
    </row>
  </sheetData>
  <mergeCells count="25">
    <mergeCell ref="A1:A2"/>
    <mergeCell ref="B1:B2"/>
    <mergeCell ref="C1:C2"/>
    <mergeCell ref="D1:D2"/>
    <mergeCell ref="E1:E2"/>
    <mergeCell ref="F1:H1"/>
    <mergeCell ref="I1:I2"/>
    <mergeCell ref="J1:L1"/>
    <mergeCell ref="M1:M2"/>
    <mergeCell ref="N1:N2"/>
    <mergeCell ref="O1:O2"/>
    <mergeCell ref="P1:P2"/>
    <mergeCell ref="Q1:Q2"/>
    <mergeCell ref="R1:S1"/>
    <mergeCell ref="T1:T2"/>
    <mergeCell ref="U1:U2"/>
    <mergeCell ref="V1:V2"/>
    <mergeCell ref="R2:S2"/>
    <mergeCell ref="C3:C6"/>
    <mergeCell ref="C7:C12"/>
    <mergeCell ref="C13:C21"/>
    <mergeCell ref="C22:C31"/>
    <mergeCell ref="C32:C41"/>
    <mergeCell ref="B64:C64"/>
    <mergeCell ref="I64:M6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BJ178"/>
  <sheetViews>
    <sheetView showFormulas="false" showGridLines="true" showRowColHeaders="true" showZeros="true" rightToLeft="false" tabSelected="false" showOutlineSymbols="true" defaultGridColor="true" view="normal" topLeftCell="AN160" colorId="64" zoomScale="100" zoomScaleNormal="100" zoomScalePageLayoutView="100" workbookViewId="0">
      <selection pane="topLeft" activeCell="AZ168" activeCellId="0" sqref="AZ168"/>
    </sheetView>
  </sheetViews>
  <sheetFormatPr defaultColWidth="8.88671875" defaultRowHeight="14.25" customHeight="false" zeroHeight="false" outlineLevelRow="0" outlineLevelCol="0"/>
  <cols>
    <col collapsed="false" customWidth="false" hidden="false" outlineLevel="0" max="1" min="1" style="112" width="8.88"/>
    <col collapsed="false" customWidth="true" hidden="false" outlineLevel="0" max="2" min="2" style="112" width="17.22"/>
    <col collapsed="false" customWidth="true" hidden="false" outlineLevel="0" max="3" min="3" style="112" width="20.88"/>
    <col collapsed="false" customWidth="true" hidden="false" outlineLevel="0" max="4" min="4" style="112" width="26.44"/>
    <col collapsed="false" customWidth="true" hidden="false" outlineLevel="0" max="5" min="5" style="112" width="10.21"/>
    <col collapsed="false" customWidth="false" hidden="false" outlineLevel="0" max="6" min="6" style="112" width="8.88"/>
    <col collapsed="false" customWidth="true" hidden="true" outlineLevel="0" max="7" min="7" style="112" width="5.56"/>
    <col collapsed="false" customWidth="true" hidden="true" outlineLevel="0" max="8" min="8" style="112" width="7.88"/>
    <col collapsed="false" customWidth="true" hidden="true" outlineLevel="0" max="11" min="9" style="112" width="11.56"/>
    <col collapsed="false" customWidth="false" hidden="false" outlineLevel="0" max="15" min="12" style="112" width="8.88"/>
    <col collapsed="false" customWidth="true" hidden="false" outlineLevel="0" max="16" min="16" style="112" width="9"/>
    <col collapsed="false" customWidth="true" hidden="false" outlineLevel="0" max="17" min="17" style="112" width="9.33"/>
    <col collapsed="false" customWidth="true" hidden="false" outlineLevel="0" max="18" min="18" style="112" width="8"/>
    <col collapsed="false" customWidth="true" hidden="false" outlineLevel="0" max="20" min="19" style="112" width="10.56"/>
    <col collapsed="false" customWidth="false" hidden="false" outlineLevel="0" max="21" min="21" style="112" width="8.88"/>
    <col collapsed="false" customWidth="true" hidden="false" outlineLevel="0" max="22" min="22" style="112" width="9.67"/>
    <col collapsed="false" customWidth="true" hidden="false" outlineLevel="0" max="23" min="23" style="112" width="17.22"/>
    <col collapsed="false" customWidth="true" hidden="false" outlineLevel="0" max="24" min="24" style="112" width="18"/>
    <col collapsed="false" customWidth="true" hidden="false" outlineLevel="0" max="25" min="25" style="112" width="18.44"/>
    <col collapsed="false" customWidth="false" hidden="false" outlineLevel="0" max="31" min="26" style="112" width="8.88"/>
    <col collapsed="false" customWidth="true" hidden="true" outlineLevel="0" max="34" min="32" style="112" width="11.56"/>
    <col collapsed="false" customWidth="true" hidden="false" outlineLevel="0" max="35" min="35" style="112" width="9.56"/>
    <col collapsed="false" customWidth="false" hidden="false" outlineLevel="0" max="44" min="36" style="112" width="8.88"/>
    <col collapsed="false" customWidth="true" hidden="false" outlineLevel="0" max="45" min="45" style="112" width="6.88"/>
    <col collapsed="false" customWidth="true" hidden="false" outlineLevel="0" max="46" min="46" style="112" width="18.78"/>
    <col collapsed="false" customWidth="true" hidden="false" outlineLevel="0" max="47" min="47" style="112" width="20.11"/>
    <col collapsed="false" customWidth="true" hidden="false" outlineLevel="0" max="48" min="48" style="112" width="12.44"/>
    <col collapsed="false" customWidth="true" hidden="false" outlineLevel="0" max="49" min="49" style="112" width="13.34"/>
    <col collapsed="false" customWidth="false" hidden="true" outlineLevel="0" max="51" min="50" style="112" width="8.88"/>
    <col collapsed="false" customWidth="false" hidden="false" outlineLevel="0" max="52" min="52" style="112" width="8.88"/>
    <col collapsed="false" customWidth="true" hidden="false" outlineLevel="0" max="53" min="53" style="112" width="6.88"/>
    <col collapsed="false" customWidth="true" hidden="false" outlineLevel="0" max="54" min="54" style="112" width="18.78"/>
    <col collapsed="false" customWidth="true" hidden="false" outlineLevel="0" max="55" min="55" style="112" width="20.11"/>
    <col collapsed="false" customWidth="true" hidden="false" outlineLevel="0" max="56" min="56" style="112" width="12.22"/>
    <col collapsed="false" customWidth="true" hidden="false" outlineLevel="0" max="57" min="57" style="112" width="6"/>
    <col collapsed="false" customWidth="true" hidden="false" outlineLevel="0" max="58" min="58" style="112" width="9.21"/>
    <col collapsed="false" customWidth="true" hidden="false" outlineLevel="0" max="59" min="59" style="112" width="7"/>
    <col collapsed="false" customWidth="true" hidden="true" outlineLevel="0" max="62" min="60" style="112" width="11.56"/>
    <col collapsed="false" customWidth="false" hidden="false" outlineLevel="0" max="16384" min="63" style="112" width="8.88"/>
  </cols>
  <sheetData>
    <row r="4" customFormat="false" ht="14.25" hidden="false" customHeight="false" outlineLevel="0" collapsed="false">
      <c r="D4" s="113" t="s">
        <v>567</v>
      </c>
    </row>
    <row r="5" customFormat="false" ht="14.25" hidden="false" customHeight="false" outlineLevel="0" collapsed="false">
      <c r="D5" s="113"/>
      <c r="E5" s="112" t="s">
        <v>126</v>
      </c>
      <c r="G5" s="114"/>
    </row>
    <row r="6" customFormat="false" ht="14.25" hidden="false" customHeight="false" outlineLevel="0" collapsed="false">
      <c r="D6" s="115" t="s">
        <v>568</v>
      </c>
      <c r="E6" s="114" t="n">
        <f aca="false">DUCTING!M16</f>
        <v>93</v>
      </c>
      <c r="F6" s="114"/>
      <c r="G6" s="114"/>
    </row>
    <row r="7" customFormat="false" ht="14.25" hidden="false" customHeight="false" outlineLevel="0" collapsed="false">
      <c r="D7" s="116" t="s">
        <v>569</v>
      </c>
      <c r="E7" s="114" t="n">
        <f aca="false">DUCTING!M20</f>
        <v>73</v>
      </c>
      <c r="F7" s="114"/>
      <c r="G7" s="114"/>
    </row>
    <row r="8" customFormat="false" ht="14.25" hidden="false" customHeight="false" outlineLevel="0" collapsed="false">
      <c r="D8" s="116" t="s">
        <v>570</v>
      </c>
      <c r="E8" s="114" t="n">
        <f aca="false">DUCTING!M19</f>
        <v>66</v>
      </c>
      <c r="F8" s="114"/>
      <c r="G8" s="114"/>
    </row>
    <row r="9" customFormat="false" ht="14.25" hidden="false" customHeight="false" outlineLevel="0" collapsed="false">
      <c r="D9" s="116" t="s">
        <v>571</v>
      </c>
      <c r="E9" s="114" t="n">
        <f aca="false">DUCTING!M18</f>
        <v>103</v>
      </c>
      <c r="F9" s="114"/>
      <c r="G9" s="114"/>
    </row>
    <row r="10" customFormat="false" ht="14.25" hidden="false" customHeight="false" outlineLevel="0" collapsed="false">
      <c r="D10" s="116" t="s">
        <v>572</v>
      </c>
      <c r="E10" s="114" t="n">
        <f aca="false">DUCTING!M14</f>
        <v>102</v>
      </c>
      <c r="F10" s="114"/>
      <c r="G10" s="114"/>
    </row>
    <row r="11" customFormat="false" ht="14.25" hidden="false" customHeight="false" outlineLevel="0" collapsed="false">
      <c r="D11" s="115" t="s">
        <v>573</v>
      </c>
      <c r="E11" s="114" t="n">
        <f aca="false">DUCTING!M13</f>
        <v>109</v>
      </c>
    </row>
    <row r="12" customFormat="false" ht="14.25" hidden="false" customHeight="false" outlineLevel="0" collapsed="false">
      <c r="D12" s="115" t="s">
        <v>574</v>
      </c>
      <c r="E12" s="114" t="n">
        <f aca="false">DUCTING!M15</f>
        <v>72</v>
      </c>
    </row>
    <row r="13" customFormat="false" ht="14.25" hidden="false" customHeight="false" outlineLevel="0" collapsed="false">
      <c r="D13" s="115" t="s">
        <v>44</v>
      </c>
      <c r="E13" s="114" t="n">
        <f aca="false">DUCTING!M17</f>
        <v>118</v>
      </c>
    </row>
    <row r="14" customFormat="false" ht="14.25" hidden="false" customHeight="false" outlineLevel="0" collapsed="false">
      <c r="D14" s="115" t="s">
        <v>28</v>
      </c>
      <c r="E14" s="114" t="n">
        <f aca="false">DUCTING!M5</f>
        <v>1738</v>
      </c>
    </row>
    <row r="15" customFormat="false" ht="14.25" hidden="false" customHeight="false" outlineLevel="0" collapsed="false">
      <c r="E15" s="114" t="n">
        <f aca="false">SUM(E6:E14)</f>
        <v>2474</v>
      </c>
    </row>
    <row r="16" customFormat="false" ht="14.25" hidden="false" customHeight="false" outlineLevel="0" collapsed="false">
      <c r="E16" s="114"/>
    </row>
    <row r="18" customFormat="false" ht="14.25" hidden="false" customHeight="false" outlineLevel="0" collapsed="false">
      <c r="D18" s="112" t="n">
        <v>1</v>
      </c>
      <c r="E18" s="112" t="n">
        <v>2</v>
      </c>
      <c r="F18" s="112" t="n">
        <v>3</v>
      </c>
      <c r="G18" s="112" t="n">
        <v>4</v>
      </c>
      <c r="H18" s="112" t="n">
        <v>5</v>
      </c>
      <c r="I18" s="112" t="n">
        <v>6</v>
      </c>
      <c r="J18" s="112" t="n">
        <v>7</v>
      </c>
      <c r="K18" s="112" t="n">
        <v>8</v>
      </c>
      <c r="L18" s="112" t="n">
        <v>9</v>
      </c>
      <c r="O18" s="112" t="n">
        <v>10</v>
      </c>
    </row>
    <row r="19" customFormat="false" ht="62.25" hidden="false" customHeight="true" outlineLevel="0" collapsed="false">
      <c r="B19" s="117" t="s">
        <v>74</v>
      </c>
      <c r="C19" s="118" t="s">
        <v>575</v>
      </c>
      <c r="D19" s="119" t="s">
        <v>576</v>
      </c>
      <c r="E19" s="119" t="s">
        <v>577</v>
      </c>
      <c r="F19" s="119" t="s">
        <v>578</v>
      </c>
      <c r="G19" s="119" t="s">
        <v>579</v>
      </c>
      <c r="H19" s="119"/>
      <c r="I19" s="119" t="s">
        <v>580</v>
      </c>
      <c r="J19" s="119" t="s">
        <v>581</v>
      </c>
      <c r="K19" s="119" t="s">
        <v>582</v>
      </c>
      <c r="L19" s="119" t="s">
        <v>583</v>
      </c>
      <c r="M19" s="119" t="s">
        <v>584</v>
      </c>
      <c r="N19" s="120"/>
      <c r="O19" s="119" t="s">
        <v>585</v>
      </c>
      <c r="P19" s="119" t="s">
        <v>586</v>
      </c>
      <c r="Q19" s="121" t="s">
        <v>587</v>
      </c>
      <c r="R19" s="121" t="s">
        <v>588</v>
      </c>
      <c r="S19" s="122" t="s">
        <v>589</v>
      </c>
      <c r="T19" s="123" t="s">
        <v>590</v>
      </c>
      <c r="U19" s="123" t="s">
        <v>591</v>
      </c>
      <c r="V19" s="124" t="s">
        <v>592</v>
      </c>
      <c r="W19" s="124" t="s">
        <v>593</v>
      </c>
      <c r="X19" s="124" t="s">
        <v>594</v>
      </c>
      <c r="Y19" s="124" t="s">
        <v>595</v>
      </c>
    </row>
    <row r="20" customFormat="false" ht="21.75" hidden="false" customHeight="true" outlineLevel="0" collapsed="false">
      <c r="B20" s="117"/>
      <c r="C20" s="118"/>
      <c r="D20" s="119"/>
      <c r="E20" s="119"/>
      <c r="F20" s="119"/>
      <c r="G20" s="125" t="s">
        <v>596</v>
      </c>
      <c r="H20" s="125" t="s">
        <v>597</v>
      </c>
      <c r="I20" s="119"/>
      <c r="J20" s="119"/>
      <c r="K20" s="119"/>
      <c r="L20" s="119"/>
      <c r="M20" s="119"/>
      <c r="N20" s="120"/>
      <c r="O20" s="119"/>
      <c r="P20" s="119"/>
      <c r="Q20" s="121"/>
      <c r="R20" s="121"/>
      <c r="S20" s="122"/>
      <c r="T20" s="123"/>
      <c r="U20" s="123"/>
      <c r="V20" s="124"/>
      <c r="W20" s="124"/>
      <c r="X20" s="124"/>
      <c r="Y20" s="124"/>
    </row>
    <row r="21" customFormat="false" ht="14.25" hidden="false" customHeight="false" outlineLevel="0" collapsed="false">
      <c r="B21" s="112" t="s">
        <v>311</v>
      </c>
      <c r="D21" s="126" t="s">
        <v>598</v>
      </c>
      <c r="E21" s="127" t="n">
        <f aca="false">E15</f>
        <v>2474</v>
      </c>
      <c r="F21" s="128" t="n">
        <f aca="false">R21</f>
        <v>18.04</v>
      </c>
      <c r="G21" s="129"/>
      <c r="H21" s="129"/>
      <c r="I21" s="126" t="n">
        <v>1.5</v>
      </c>
      <c r="J21" s="130" t="n">
        <f aca="false">I21+I22</f>
        <v>1.84276</v>
      </c>
      <c r="K21" s="129" t="n">
        <v>1.5</v>
      </c>
      <c r="L21" s="131" t="n">
        <v>12</v>
      </c>
      <c r="M21" s="126" t="n">
        <f aca="false">L21*25.4</f>
        <v>304.8</v>
      </c>
      <c r="N21" s="126"/>
      <c r="O21" s="131" t="n">
        <v>4400</v>
      </c>
      <c r="P21" s="132" t="n">
        <f aca="false">O21/60</f>
        <v>73.3333333333333</v>
      </c>
      <c r="Q21" s="133" t="n">
        <f aca="false">2.7+2.8</f>
        <v>5.5</v>
      </c>
      <c r="R21" s="134" t="n">
        <f aca="false">Q21*3.28</f>
        <v>18.04</v>
      </c>
      <c r="S21" s="135" t="n">
        <f aca="false">0.33*12</f>
        <v>3.96</v>
      </c>
      <c r="T21" s="134" t="n">
        <f aca="false">(1*L21)/S21</f>
        <v>3.03030303030303</v>
      </c>
      <c r="U21" s="134" t="n">
        <f aca="false">T21*3.28</f>
        <v>9.93939393939394</v>
      </c>
      <c r="W21" s="136" t="n">
        <v>1.9</v>
      </c>
      <c r="X21" s="137" t="n">
        <f aca="false">(W21*F21)/100</f>
        <v>0.34276</v>
      </c>
      <c r="Y21" s="138" t="n">
        <f aca="false">6*M21/1000</f>
        <v>1.8288</v>
      </c>
    </row>
    <row r="22" customFormat="false" ht="14.25" hidden="false" customHeight="false" outlineLevel="0" collapsed="false">
      <c r="D22" s="129"/>
      <c r="E22" s="129"/>
      <c r="F22" s="129"/>
      <c r="G22" s="129"/>
      <c r="H22" s="129"/>
      <c r="I22" s="129" t="n">
        <f aca="false">X21</f>
        <v>0.34276</v>
      </c>
      <c r="J22" s="129"/>
      <c r="K22" s="129"/>
      <c r="L22" s="129"/>
      <c r="M22" s="129"/>
      <c r="N22" s="129"/>
      <c r="O22" s="129"/>
      <c r="P22" s="139"/>
    </row>
    <row r="23" customFormat="false" ht="14.25" hidden="false" customHeight="false" outlineLevel="0" collapsed="false">
      <c r="B23" s="112" t="s">
        <v>311</v>
      </c>
      <c r="D23" s="126" t="s">
        <v>599</v>
      </c>
      <c r="E23" s="127" t="n">
        <f aca="false">E6+E7</f>
        <v>166</v>
      </c>
      <c r="F23" s="128" t="n">
        <f aca="false">R23</f>
        <v>1.64</v>
      </c>
      <c r="G23" s="131" t="n">
        <v>1.5</v>
      </c>
      <c r="H23" s="131" t="n">
        <v>0.86</v>
      </c>
      <c r="I23" s="126" t="n">
        <f aca="false">G23-H23</f>
        <v>0.64</v>
      </c>
      <c r="J23" s="130" t="n">
        <f aca="false">J21-I23</f>
        <v>1.20276</v>
      </c>
      <c r="K23" s="129" t="n">
        <v>1.5</v>
      </c>
      <c r="L23" s="131" t="n">
        <v>4</v>
      </c>
      <c r="M23" s="126" t="n">
        <f aca="false">L23*25.4</f>
        <v>101.6</v>
      </c>
      <c r="N23" s="126"/>
      <c r="O23" s="131" t="n">
        <v>2800</v>
      </c>
      <c r="P23" s="132" t="n">
        <f aca="false">O23/60</f>
        <v>46.6666666666667</v>
      </c>
      <c r="Q23" s="133" t="n">
        <v>0.5</v>
      </c>
      <c r="R23" s="134" t="n">
        <f aca="false">Q23*3.28</f>
        <v>1.64</v>
      </c>
      <c r="S23" s="135" t="n">
        <f aca="false">0.33*12</f>
        <v>3.96</v>
      </c>
      <c r="T23" s="134" t="n">
        <f aca="false">(1*L23)/S23</f>
        <v>1.01010101010101</v>
      </c>
      <c r="U23" s="134" t="n">
        <f aca="false">T23*3.28</f>
        <v>3.31313131313131</v>
      </c>
      <c r="W23" s="136" t="n">
        <v>3.3</v>
      </c>
      <c r="X23" s="137" t="n">
        <f aca="false">(W23*F23)/100</f>
        <v>0.05412</v>
      </c>
      <c r="Y23" s="138" t="n">
        <f aca="false">6*M23/1000</f>
        <v>0.6096</v>
      </c>
    </row>
    <row r="24" customFormat="false" ht="14.25" hidden="false" customHeight="false" outlineLevel="0" collapsed="false">
      <c r="B24" s="112" t="s">
        <v>311</v>
      </c>
      <c r="D24" s="126" t="s">
        <v>600</v>
      </c>
      <c r="E24" s="127" t="n">
        <f aca="false">E6</f>
        <v>93</v>
      </c>
      <c r="F24" s="128" t="n">
        <f aca="false">R24</f>
        <v>10.216</v>
      </c>
      <c r="G24" s="131" t="n">
        <v>1.4</v>
      </c>
      <c r="H24" s="131" t="n">
        <v>0.84</v>
      </c>
      <c r="I24" s="126" t="n">
        <f aca="false">G24-H24</f>
        <v>0.56</v>
      </c>
      <c r="J24" s="130" t="n">
        <f aca="false">J23-I24</f>
        <v>0.64276</v>
      </c>
      <c r="K24" s="129" t="n">
        <v>1.5</v>
      </c>
      <c r="L24" s="131" t="n">
        <v>4</v>
      </c>
      <c r="M24" s="126" t="n">
        <f aca="false">L24*25.4</f>
        <v>101.6</v>
      </c>
      <c r="N24" s="126"/>
      <c r="O24" s="131" t="n">
        <v>1500</v>
      </c>
      <c r="P24" s="132" t="n">
        <f aca="false">O24/60</f>
        <v>25</v>
      </c>
      <c r="Q24" s="133" t="n">
        <f aca="false">0.6+1.6</f>
        <v>2.2</v>
      </c>
      <c r="R24" s="134" t="n">
        <f aca="false">Q24*3.28+3</f>
        <v>10.216</v>
      </c>
      <c r="S24" s="135" t="n">
        <f aca="false">0.33*12</f>
        <v>3.96</v>
      </c>
      <c r="T24" s="134" t="n">
        <f aca="false">(1*L24)/S24</f>
        <v>1.01010101010101</v>
      </c>
      <c r="U24" s="134" t="n">
        <f aca="false">T24*3.28</f>
        <v>3.31313131313131</v>
      </c>
      <c r="W24" s="136" t="n">
        <v>1.1</v>
      </c>
      <c r="X24" s="137" t="n">
        <f aca="false">(W24*F24)/100</f>
        <v>0.112376</v>
      </c>
      <c r="Y24" s="138" t="n">
        <f aca="false">6*M24/1000</f>
        <v>0.6096</v>
      </c>
    </row>
    <row r="25" customFormat="false" ht="14.25" hidden="false" customHeight="false" outlineLevel="0" collapsed="false">
      <c r="B25" s="112" t="s">
        <v>311</v>
      </c>
      <c r="D25" s="126" t="s">
        <v>601</v>
      </c>
      <c r="E25" s="140" t="n">
        <f aca="false">E7</f>
        <v>73</v>
      </c>
      <c r="F25" s="128" t="n">
        <f aca="false">R25</f>
        <v>21.04</v>
      </c>
      <c r="G25" s="131" t="n">
        <v>0.155</v>
      </c>
      <c r="H25" s="131" t="n">
        <v>0.155</v>
      </c>
      <c r="I25" s="126" t="n">
        <f aca="false">G25-H25</f>
        <v>0</v>
      </c>
      <c r="J25" s="130" t="n">
        <f aca="false">J24-I25</f>
        <v>0.64276</v>
      </c>
      <c r="K25" s="129" t="n">
        <v>1.5</v>
      </c>
      <c r="L25" s="131" t="n">
        <v>4</v>
      </c>
      <c r="M25" s="126" t="n">
        <f aca="false">L25*25.4</f>
        <v>101.6</v>
      </c>
      <c r="N25" s="126"/>
      <c r="O25" s="131" t="n">
        <v>1300</v>
      </c>
      <c r="P25" s="132" t="n">
        <f aca="false">O25/60</f>
        <v>21.6666666666667</v>
      </c>
      <c r="Q25" s="133" t="n">
        <f aca="false">1+4.5</f>
        <v>5.5</v>
      </c>
      <c r="R25" s="134" t="n">
        <f aca="false">Q25*3.28+3</f>
        <v>21.04</v>
      </c>
      <c r="S25" s="135" t="n">
        <f aca="false">0.33*12</f>
        <v>3.96</v>
      </c>
      <c r="T25" s="134" t="n">
        <f aca="false">(1*L25)/S25</f>
        <v>1.01010101010101</v>
      </c>
      <c r="U25" s="134" t="n">
        <f aca="false">T25*3.28</f>
        <v>3.31313131313131</v>
      </c>
      <c r="W25" s="136" t="n">
        <v>0.65</v>
      </c>
      <c r="X25" s="137" t="n">
        <f aca="false">(W25*F25)/100</f>
        <v>0.13676</v>
      </c>
      <c r="Y25" s="138" t="n">
        <f aca="false">6*M25/1000</f>
        <v>0.6096</v>
      </c>
    </row>
    <row r="26" customFormat="false" ht="14.25" hidden="false" customHeight="false" outlineLevel="0" collapsed="false">
      <c r="B26" s="112" t="s">
        <v>311</v>
      </c>
      <c r="D26" s="129" t="s">
        <v>602</v>
      </c>
      <c r="E26" s="140" t="n">
        <f aca="false">SUM(E8:E14)</f>
        <v>2308</v>
      </c>
      <c r="F26" s="128" t="n">
        <f aca="false">R26</f>
        <v>23.48</v>
      </c>
      <c r="G26" s="131" t="n">
        <v>1.4</v>
      </c>
      <c r="H26" s="131" t="n">
        <v>1.4</v>
      </c>
      <c r="I26" s="126" t="n">
        <f aca="false">G26-H26</f>
        <v>0</v>
      </c>
      <c r="J26" s="130" t="n">
        <f aca="false">J21-I26</f>
        <v>1.84276</v>
      </c>
      <c r="K26" s="129" t="n">
        <v>1.5</v>
      </c>
      <c r="L26" s="131" t="n">
        <v>12</v>
      </c>
      <c r="M26" s="126" t="n">
        <f aca="false">L26*25.4</f>
        <v>304.8</v>
      </c>
      <c r="N26" s="126"/>
      <c r="O26" s="131" t="n">
        <v>4200</v>
      </c>
      <c r="P26" s="132" t="n">
        <f aca="false">O26/60</f>
        <v>70</v>
      </c>
      <c r="Q26" s="133" t="n">
        <f aca="false">1.7+1.8</f>
        <v>3.5</v>
      </c>
      <c r="R26" s="134" t="n">
        <f aca="false">Q26*3.28+12</f>
        <v>23.48</v>
      </c>
      <c r="S26" s="135" t="n">
        <f aca="false">0.33*12</f>
        <v>3.96</v>
      </c>
      <c r="T26" s="134" t="n">
        <f aca="false">(1*L26)/S26</f>
        <v>3.03030303030303</v>
      </c>
      <c r="U26" s="134" t="n">
        <f aca="false">T26*3.28</f>
        <v>9.93939393939394</v>
      </c>
      <c r="W26" s="136" t="n">
        <v>1.8</v>
      </c>
      <c r="X26" s="137" t="n">
        <f aca="false">(W26*F26)/100</f>
        <v>0.42264</v>
      </c>
      <c r="Y26" s="138" t="n">
        <f aca="false">6*M26/1000</f>
        <v>1.8288</v>
      </c>
    </row>
    <row r="27" customFormat="false" ht="14.25" hidden="false" customHeight="false" outlineLevel="0" collapsed="false">
      <c r="B27" s="112" t="s">
        <v>311</v>
      </c>
      <c r="D27" s="126" t="s">
        <v>603</v>
      </c>
      <c r="E27" s="127" t="n">
        <f aca="false">E8</f>
        <v>66</v>
      </c>
      <c r="F27" s="128" t="n">
        <f aca="false">R27</f>
        <v>9.84</v>
      </c>
      <c r="G27" s="129" t="n">
        <v>1.2</v>
      </c>
      <c r="H27" s="129" t="n">
        <v>1.2</v>
      </c>
      <c r="I27" s="126" t="n">
        <f aca="false">G27-H27</f>
        <v>0</v>
      </c>
      <c r="J27" s="130" t="n">
        <f aca="false">J26-I27</f>
        <v>1.84276</v>
      </c>
      <c r="K27" s="129" t="n">
        <v>1.5</v>
      </c>
      <c r="L27" s="131" t="n">
        <v>3</v>
      </c>
      <c r="M27" s="126" t="n">
        <f aca="false">L27*25.4</f>
        <v>76.2</v>
      </c>
      <c r="N27" s="126"/>
      <c r="O27" s="131" t="n">
        <v>2000</v>
      </c>
      <c r="P27" s="132" t="n">
        <f aca="false">O27/60</f>
        <v>33.3333333333333</v>
      </c>
      <c r="Q27" s="133" t="n">
        <v>3</v>
      </c>
      <c r="R27" s="134" t="n">
        <f aca="false">Q27*3.28</f>
        <v>9.84</v>
      </c>
      <c r="S27" s="135" t="n">
        <f aca="false">0.33*12</f>
        <v>3.96</v>
      </c>
      <c r="T27" s="134" t="n">
        <f aca="false">(1*L27)/S27</f>
        <v>0.757575757575758</v>
      </c>
      <c r="U27" s="134" t="n">
        <f aca="false">T27*3.28</f>
        <v>2.48484848484849</v>
      </c>
      <c r="W27" s="136" t="n">
        <v>2.9</v>
      </c>
      <c r="X27" s="137" t="n">
        <f aca="false">(W27*F27)/100</f>
        <v>0.28536</v>
      </c>
      <c r="Y27" s="138" t="n">
        <f aca="false">6*M27/1000</f>
        <v>0.4572</v>
      </c>
    </row>
    <row r="28" customFormat="false" ht="14.25" hidden="false" customHeight="false" outlineLevel="0" collapsed="false"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39"/>
    </row>
    <row r="29" customFormat="false" ht="14.25" hidden="false" customHeight="false" outlineLevel="0" collapsed="false">
      <c r="B29" s="112" t="s">
        <v>311</v>
      </c>
      <c r="D29" s="126" t="s">
        <v>604</v>
      </c>
      <c r="E29" s="127" t="n">
        <v>3100</v>
      </c>
      <c r="F29" s="128" t="n">
        <f aca="false">R29</f>
        <v>7.872</v>
      </c>
      <c r="G29" s="131" t="n">
        <v>1.25</v>
      </c>
      <c r="H29" s="131" t="n">
        <v>1.25</v>
      </c>
      <c r="I29" s="126" t="n">
        <f aca="false">G29-H29</f>
        <v>0</v>
      </c>
      <c r="J29" s="130" t="n">
        <f aca="false">J26-I29</f>
        <v>1.84276</v>
      </c>
      <c r="K29" s="129" t="n">
        <v>1.5</v>
      </c>
      <c r="L29" s="131" t="n">
        <v>12</v>
      </c>
      <c r="M29" s="126" t="n">
        <f aca="false">L29*25.4</f>
        <v>304.8</v>
      </c>
      <c r="N29" s="126"/>
      <c r="O29" s="131" t="n">
        <v>3900</v>
      </c>
      <c r="P29" s="132" t="n">
        <f aca="false">O29/60</f>
        <v>65</v>
      </c>
      <c r="Q29" s="133" t="n">
        <v>2.4</v>
      </c>
      <c r="R29" s="134" t="n">
        <f aca="false">Q29*3.28</f>
        <v>7.872</v>
      </c>
      <c r="S29" s="135" t="n">
        <f aca="false">0.33*12</f>
        <v>3.96</v>
      </c>
      <c r="T29" s="134" t="n">
        <f aca="false">(1*L29)/S29</f>
        <v>3.03030303030303</v>
      </c>
      <c r="U29" s="134" t="n">
        <f aca="false">T29*3.28</f>
        <v>9.93939393939394</v>
      </c>
      <c r="W29" s="136" t="n">
        <v>1.5</v>
      </c>
      <c r="X29" s="137" t="n">
        <f aca="false">(W29*F29)/100</f>
        <v>0.11808</v>
      </c>
      <c r="Y29" s="138" t="n">
        <f aca="false">6*M29/1000</f>
        <v>1.8288</v>
      </c>
    </row>
    <row r="30" customFormat="false" ht="14.25" hidden="false" customHeight="false" outlineLevel="0" collapsed="false">
      <c r="B30" s="112" t="s">
        <v>311</v>
      </c>
      <c r="D30" s="126" t="s">
        <v>605</v>
      </c>
      <c r="E30" s="127" t="n">
        <f aca="false">E9</f>
        <v>103</v>
      </c>
      <c r="F30" s="128" t="n">
        <f aca="false">R30</f>
        <v>9.84</v>
      </c>
      <c r="G30" s="131" t="n">
        <v>1</v>
      </c>
      <c r="H30" s="131" t="n">
        <v>0.34</v>
      </c>
      <c r="I30" s="126" t="n">
        <f aca="false">G30-H30</f>
        <v>0.66</v>
      </c>
      <c r="J30" s="130" t="n">
        <f aca="false">J29-I30</f>
        <v>1.18276</v>
      </c>
      <c r="K30" s="129" t="n">
        <v>1.5</v>
      </c>
      <c r="L30" s="131" t="n">
        <v>4</v>
      </c>
      <c r="M30" s="126" t="n">
        <f aca="false">L30*25.4</f>
        <v>101.6</v>
      </c>
      <c r="N30" s="126"/>
      <c r="O30" s="131" t="n">
        <v>1550</v>
      </c>
      <c r="P30" s="132" t="n">
        <f aca="false">O30/60</f>
        <v>25.8333333333333</v>
      </c>
      <c r="Q30" s="133" t="n">
        <v>3</v>
      </c>
      <c r="R30" s="134" t="n">
        <f aca="false">Q30*3.28</f>
        <v>9.84</v>
      </c>
      <c r="S30" s="135" t="n">
        <f aca="false">0.33*12</f>
        <v>3.96</v>
      </c>
      <c r="T30" s="134" t="n">
        <f aca="false">(1*L30)/S30</f>
        <v>1.01010101010101</v>
      </c>
      <c r="U30" s="134" t="n">
        <f aca="false">T30*3.28</f>
        <v>3.31313131313131</v>
      </c>
      <c r="W30" s="136" t="n">
        <v>1.3</v>
      </c>
      <c r="X30" s="137" t="n">
        <f aca="false">(W30*F30)/100</f>
        <v>0.12792</v>
      </c>
      <c r="Y30" s="138" t="n">
        <f aca="false">6*M30/1000</f>
        <v>0.6096</v>
      </c>
    </row>
    <row r="31" customFormat="false" ht="14.25" hidden="false" customHeight="false" outlineLevel="0" collapsed="false"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39"/>
    </row>
    <row r="32" customFormat="false" ht="14.25" hidden="false" customHeight="false" outlineLevel="0" collapsed="false">
      <c r="B32" s="112" t="s">
        <v>311</v>
      </c>
      <c r="D32" s="126" t="s">
        <v>606</v>
      </c>
      <c r="E32" s="127" t="n">
        <v>2900</v>
      </c>
      <c r="F32" s="128" t="n">
        <f aca="false">R32</f>
        <v>8.2</v>
      </c>
      <c r="G32" s="131" t="n">
        <v>1.05</v>
      </c>
      <c r="H32" s="131" t="n">
        <v>1.05</v>
      </c>
      <c r="I32" s="126" t="n">
        <f aca="false">G32-H32</f>
        <v>0</v>
      </c>
      <c r="J32" s="130" t="n">
        <f aca="false">J29-I32</f>
        <v>1.84276</v>
      </c>
      <c r="K32" s="129" t="n">
        <v>1.5</v>
      </c>
      <c r="L32" s="131" t="n">
        <v>12</v>
      </c>
      <c r="M32" s="126" t="n">
        <f aca="false">L32*25.4</f>
        <v>304.8</v>
      </c>
      <c r="N32" s="126"/>
      <c r="O32" s="131" t="n">
        <v>3700</v>
      </c>
      <c r="P32" s="132" t="n">
        <f aca="false">O32/60</f>
        <v>61.6666666666667</v>
      </c>
      <c r="Q32" s="133" t="n">
        <v>2.5</v>
      </c>
      <c r="R32" s="134" t="n">
        <f aca="false">Q32*3.28</f>
        <v>8.2</v>
      </c>
      <c r="S32" s="135" t="n">
        <f aca="false">0.33*12</f>
        <v>3.96</v>
      </c>
      <c r="T32" s="134" t="n">
        <f aca="false">(1*L32)/S32</f>
        <v>3.03030303030303</v>
      </c>
      <c r="U32" s="134" t="n">
        <f aca="false">T32*3.28</f>
        <v>9.93939393939394</v>
      </c>
      <c r="W32" s="136" t="n">
        <v>1.4</v>
      </c>
      <c r="X32" s="137" t="n">
        <f aca="false">(W32*F32)/100</f>
        <v>0.1148</v>
      </c>
      <c r="Y32" s="138" t="n">
        <f aca="false">6*M32/1000</f>
        <v>1.8288</v>
      </c>
    </row>
    <row r="33" customFormat="false" ht="14.25" hidden="false" customHeight="false" outlineLevel="0" collapsed="false">
      <c r="B33" s="112" t="s">
        <v>311</v>
      </c>
      <c r="D33" s="126" t="s">
        <v>607</v>
      </c>
      <c r="E33" s="127" t="n">
        <f aca="false">SUM(E10:E13)</f>
        <v>401</v>
      </c>
      <c r="F33" s="128" t="n">
        <f aca="false">R33</f>
        <v>1.968</v>
      </c>
      <c r="G33" s="131" t="n">
        <v>0.95</v>
      </c>
      <c r="H33" s="131" t="n">
        <v>0.85</v>
      </c>
      <c r="I33" s="126" t="n">
        <f aca="false">G33-H33</f>
        <v>0.1</v>
      </c>
      <c r="J33" s="130" t="n">
        <f aca="false">J32-I33</f>
        <v>1.74276</v>
      </c>
      <c r="K33" s="129" t="n">
        <v>1.5</v>
      </c>
      <c r="L33" s="131" t="n">
        <v>6</v>
      </c>
      <c r="M33" s="126" t="n">
        <f aca="false">L33*25.4</f>
        <v>152.4</v>
      </c>
      <c r="N33" s="126"/>
      <c r="O33" s="131" t="n">
        <v>3000</v>
      </c>
      <c r="P33" s="132" t="n">
        <f aca="false">O33/60</f>
        <v>50</v>
      </c>
      <c r="Q33" s="133" t="n">
        <v>0.6</v>
      </c>
      <c r="R33" s="134" t="n">
        <f aca="false">Q33*3.28</f>
        <v>1.968</v>
      </c>
      <c r="S33" s="135" t="n">
        <f aca="false">0.33*12</f>
        <v>3.96</v>
      </c>
      <c r="T33" s="134" t="n">
        <f aca="false">(1*L33)/S33</f>
        <v>1.51515151515152</v>
      </c>
      <c r="U33" s="134" t="n">
        <f aca="false">T33*3.28</f>
        <v>4.96969696969697</v>
      </c>
      <c r="W33" s="136" t="n">
        <v>2.2</v>
      </c>
      <c r="X33" s="137" t="n">
        <f aca="false">(W33*F33)/100</f>
        <v>0.043296</v>
      </c>
      <c r="Y33" s="138" t="n">
        <f aca="false">6*M33/1000</f>
        <v>0.9144</v>
      </c>
    </row>
    <row r="34" customFormat="false" ht="14.25" hidden="false" customHeight="false" outlineLevel="0" collapsed="false">
      <c r="B34" s="112" t="s">
        <v>311</v>
      </c>
      <c r="D34" s="126" t="s">
        <v>608</v>
      </c>
      <c r="E34" s="127" t="n">
        <f aca="false">E10</f>
        <v>102</v>
      </c>
      <c r="F34" s="128" t="n">
        <f aca="false">R34</f>
        <v>9.84</v>
      </c>
      <c r="G34" s="131" t="n">
        <v>0.61</v>
      </c>
      <c r="H34" s="131" t="n">
        <v>0.34</v>
      </c>
      <c r="I34" s="126" t="n">
        <f aca="false">G34-H34</f>
        <v>0.27</v>
      </c>
      <c r="J34" s="130" t="n">
        <f aca="false">J33-I34</f>
        <v>1.47276</v>
      </c>
      <c r="K34" s="129" t="n">
        <v>1.5</v>
      </c>
      <c r="L34" s="131" t="n">
        <v>4</v>
      </c>
      <c r="M34" s="126" t="n">
        <f aca="false">L34*25.4</f>
        <v>101.6</v>
      </c>
      <c r="N34" s="126"/>
      <c r="O34" s="131" t="n">
        <v>1550</v>
      </c>
      <c r="P34" s="132" t="n">
        <f aca="false">O34/60</f>
        <v>25.8333333333333</v>
      </c>
      <c r="Q34" s="133" t="n">
        <v>3</v>
      </c>
      <c r="R34" s="134" t="n">
        <f aca="false">Q34*3.28</f>
        <v>9.84</v>
      </c>
      <c r="S34" s="135" t="n">
        <f aca="false">0.33*12</f>
        <v>3.96</v>
      </c>
      <c r="T34" s="134" t="n">
        <f aca="false">(1*L34)/S34</f>
        <v>1.01010101010101</v>
      </c>
      <c r="U34" s="134" t="n">
        <f aca="false">T34*3.28</f>
        <v>3.31313131313131</v>
      </c>
      <c r="W34" s="136" t="n">
        <v>1.3</v>
      </c>
      <c r="X34" s="137" t="n">
        <f aca="false">(W34*F34)/100</f>
        <v>0.12792</v>
      </c>
      <c r="Y34" s="138" t="n">
        <f aca="false">6*M34/1000</f>
        <v>0.6096</v>
      </c>
    </row>
    <row r="35" customFormat="false" ht="14.25" hidden="false" customHeight="false" outlineLevel="0" collapsed="false">
      <c r="B35" s="112" t="s">
        <v>311</v>
      </c>
      <c r="D35" s="126" t="s">
        <v>609</v>
      </c>
      <c r="E35" s="127" t="n">
        <f aca="false">SUM(E11:E13)</f>
        <v>299</v>
      </c>
      <c r="F35" s="128" t="n">
        <f aca="false">R35</f>
        <v>6.888</v>
      </c>
      <c r="G35" s="131" t="n">
        <v>0.62</v>
      </c>
      <c r="H35" s="131" t="n">
        <v>0.48</v>
      </c>
      <c r="I35" s="126" t="n">
        <f aca="false">G35-H35</f>
        <v>0.14</v>
      </c>
      <c r="J35" s="130" t="n">
        <f aca="false">J33-I35</f>
        <v>1.60276</v>
      </c>
      <c r="K35" s="129" t="n">
        <v>1.5</v>
      </c>
      <c r="L35" s="131" t="n">
        <v>6</v>
      </c>
      <c r="M35" s="126" t="n">
        <f aca="false">L35*25.4</f>
        <v>152.4</v>
      </c>
      <c r="N35" s="126"/>
      <c r="O35" s="131" t="n">
        <v>2200</v>
      </c>
      <c r="P35" s="132" t="n">
        <f aca="false">O35/60</f>
        <v>36.6666666666667</v>
      </c>
      <c r="Q35" s="133" t="n">
        <v>2.1</v>
      </c>
      <c r="R35" s="134" t="n">
        <f aca="false">Q35*3.28</f>
        <v>6.888</v>
      </c>
      <c r="S35" s="135" t="n">
        <f aca="false">0.33*12</f>
        <v>3.96</v>
      </c>
      <c r="T35" s="134" t="n">
        <f aca="false">(1*L35)/S35</f>
        <v>1.51515151515152</v>
      </c>
      <c r="U35" s="134" t="n">
        <f aca="false">T35*3.28</f>
        <v>4.96969696969697</v>
      </c>
      <c r="W35" s="136" t="n">
        <v>1.4</v>
      </c>
      <c r="X35" s="137" t="n">
        <f aca="false">(W35*F35)/100</f>
        <v>0.096432</v>
      </c>
      <c r="Y35" s="138" t="n">
        <f aca="false">6*M35/1000</f>
        <v>0.9144</v>
      </c>
    </row>
    <row r="36" customFormat="false" ht="14.25" hidden="false" customHeight="false" outlineLevel="0" collapsed="false">
      <c r="B36" s="112" t="s">
        <v>311</v>
      </c>
      <c r="D36" s="126" t="s">
        <v>610</v>
      </c>
      <c r="E36" s="127" t="n">
        <f aca="false">E11</f>
        <v>109</v>
      </c>
      <c r="F36" s="128" t="n">
        <f aca="false">R36</f>
        <v>13.448</v>
      </c>
      <c r="G36" s="131" t="n">
        <v>0.3</v>
      </c>
      <c r="H36" s="131" t="n">
        <v>0.16</v>
      </c>
      <c r="I36" s="126" t="n">
        <f aca="false">G36-H36</f>
        <v>0.14</v>
      </c>
      <c r="J36" s="130" t="n">
        <f aca="false">J35-I36</f>
        <v>1.46276</v>
      </c>
      <c r="K36" s="129" t="n">
        <v>1.5</v>
      </c>
      <c r="L36" s="131" t="n">
        <v>5</v>
      </c>
      <c r="M36" s="126" t="n">
        <f aca="false">L36*25.4</f>
        <v>127</v>
      </c>
      <c r="N36" s="126"/>
      <c r="O36" s="131" t="n">
        <v>1200</v>
      </c>
      <c r="P36" s="132" t="n">
        <f aca="false">O36/60</f>
        <v>20</v>
      </c>
      <c r="Q36" s="133" t="n">
        <f aca="false">1.1+3</f>
        <v>4.1</v>
      </c>
      <c r="R36" s="134" t="n">
        <f aca="false">Q36*3.28</f>
        <v>13.448</v>
      </c>
      <c r="S36" s="135" t="n">
        <f aca="false">0.33*12</f>
        <v>3.96</v>
      </c>
      <c r="T36" s="134" t="n">
        <f aca="false">(1*L36)/S36</f>
        <v>1.26262626262626</v>
      </c>
      <c r="U36" s="134" t="n">
        <f aca="false">T36*3.28</f>
        <v>4.14141414141414</v>
      </c>
      <c r="W36" s="136" t="n">
        <v>0.52</v>
      </c>
      <c r="X36" s="137" t="n">
        <f aca="false">(W36*F36)/100</f>
        <v>0.0699296</v>
      </c>
      <c r="Y36" s="138" t="n">
        <f aca="false">6*M36/1000</f>
        <v>0.762</v>
      </c>
    </row>
    <row r="37" customFormat="false" ht="14.25" hidden="false" customHeight="false" outlineLevel="0" collapsed="false">
      <c r="B37" s="112" t="s">
        <v>311</v>
      </c>
      <c r="D37" s="126" t="s">
        <v>611</v>
      </c>
      <c r="E37" s="127" t="n">
        <f aca="false">SUM(E12:E13)</f>
        <v>190</v>
      </c>
      <c r="F37" s="128" t="n">
        <f aca="false">R37</f>
        <v>9.184</v>
      </c>
      <c r="G37" s="131" t="n">
        <v>0.33</v>
      </c>
      <c r="H37" s="131" t="n">
        <v>0.21</v>
      </c>
      <c r="I37" s="126" t="n">
        <f aca="false">G37-H37</f>
        <v>0.12</v>
      </c>
      <c r="J37" s="130" t="n">
        <f aca="false">J35-I37</f>
        <v>1.48276</v>
      </c>
      <c r="K37" s="129" t="n">
        <v>1.5</v>
      </c>
      <c r="L37" s="131" t="n">
        <v>6</v>
      </c>
      <c r="M37" s="126" t="n">
        <f aca="false">L37*25.4</f>
        <v>152.4</v>
      </c>
      <c r="N37" s="126"/>
      <c r="O37" s="131" t="n">
        <v>1410</v>
      </c>
      <c r="P37" s="132" t="n">
        <f aca="false">O37/60</f>
        <v>23.5</v>
      </c>
      <c r="Q37" s="133" t="n">
        <v>2.8</v>
      </c>
      <c r="R37" s="134" t="n">
        <f aca="false">Q37*3.28</f>
        <v>9.184</v>
      </c>
      <c r="S37" s="135" t="n">
        <f aca="false">0.33*12</f>
        <v>3.96</v>
      </c>
      <c r="T37" s="134" t="n">
        <f aca="false">(1*L37)/S37</f>
        <v>1.51515151515152</v>
      </c>
      <c r="U37" s="134" t="n">
        <f aca="false">T37*3.28</f>
        <v>4.96969696969697</v>
      </c>
      <c r="W37" s="136" t="n">
        <v>0.55</v>
      </c>
      <c r="X37" s="137" t="n">
        <f aca="false">(W37*F37)/100</f>
        <v>0.050512</v>
      </c>
      <c r="Y37" s="138" t="n">
        <f aca="false">6*M37/1000</f>
        <v>0.9144</v>
      </c>
    </row>
    <row r="38" customFormat="false" ht="14.25" hidden="false" customHeight="false" outlineLevel="0" collapsed="false">
      <c r="B38" s="112" t="s">
        <v>311</v>
      </c>
      <c r="D38" s="126" t="s">
        <v>612</v>
      </c>
      <c r="E38" s="127" t="n">
        <f aca="false">E12</f>
        <v>72</v>
      </c>
      <c r="F38" s="128" t="n">
        <f aca="false">R38</f>
        <v>3.936</v>
      </c>
      <c r="G38" s="131" t="n">
        <v>1.25</v>
      </c>
      <c r="H38" s="131" t="n">
        <v>0.68</v>
      </c>
      <c r="I38" s="126" t="n">
        <f aca="false">G38-H38</f>
        <v>0.57</v>
      </c>
      <c r="J38" s="130" t="n">
        <f aca="false">J37-I38</f>
        <v>0.91276</v>
      </c>
      <c r="K38" s="129" t="n">
        <v>1.5</v>
      </c>
      <c r="L38" s="131" t="n">
        <v>5</v>
      </c>
      <c r="M38" s="126" t="n">
        <f aca="false">L38*25.4</f>
        <v>127</v>
      </c>
      <c r="N38" s="126"/>
      <c r="O38" s="125" t="n">
        <v>1000</v>
      </c>
      <c r="P38" s="132" t="n">
        <f aca="false">O38/60</f>
        <v>16.6666666666667</v>
      </c>
      <c r="Q38" s="133" t="n">
        <v>1.2</v>
      </c>
      <c r="R38" s="134" t="n">
        <f aca="false">Q38*3.28</f>
        <v>3.936</v>
      </c>
      <c r="S38" s="135" t="n">
        <f aca="false">0.33*12</f>
        <v>3.96</v>
      </c>
      <c r="T38" s="134" t="n">
        <f aca="false">(1*L38)/S38</f>
        <v>1.26262626262626</v>
      </c>
      <c r="U38" s="134" t="n">
        <f aca="false">T38*3.28</f>
        <v>4.14141414141414</v>
      </c>
      <c r="W38" s="138" t="n">
        <v>0.38</v>
      </c>
      <c r="X38" s="137" t="n">
        <f aca="false">(W38*F38)/100</f>
        <v>0.0149568</v>
      </c>
      <c r="Y38" s="138" t="n">
        <f aca="false">6*M38/1000</f>
        <v>0.762</v>
      </c>
    </row>
    <row r="39" customFormat="false" ht="14.25" hidden="false" customHeight="false" outlineLevel="0" collapsed="false">
      <c r="B39" s="112" t="s">
        <v>311</v>
      </c>
      <c r="D39" s="126" t="s">
        <v>613</v>
      </c>
      <c r="E39" s="127" t="n">
        <f aca="false">E13</f>
        <v>118</v>
      </c>
      <c r="F39" s="128" t="n">
        <f aca="false">R39</f>
        <v>10.496</v>
      </c>
      <c r="G39" s="131" t="n">
        <v>1.25</v>
      </c>
      <c r="H39" s="131" t="n">
        <v>0.85</v>
      </c>
      <c r="I39" s="126" t="n">
        <f aca="false">G39-H39</f>
        <v>0.4</v>
      </c>
      <c r="J39" s="130" t="n">
        <f aca="false">J38-I39</f>
        <v>0.51276</v>
      </c>
      <c r="K39" s="129" t="n">
        <v>1.5</v>
      </c>
      <c r="L39" s="131" t="n">
        <v>6</v>
      </c>
      <c r="M39" s="126" t="n">
        <f aca="false">L39*25.4</f>
        <v>152.4</v>
      </c>
      <c r="N39" s="126"/>
      <c r="O39" s="125" t="n">
        <v>1000</v>
      </c>
      <c r="P39" s="132" t="n">
        <f aca="false">O39/60</f>
        <v>16.6666666666667</v>
      </c>
      <c r="Q39" s="133" t="n">
        <v>3.2</v>
      </c>
      <c r="R39" s="134" t="n">
        <f aca="false">Q39*3.28</f>
        <v>10.496</v>
      </c>
      <c r="S39" s="135" t="n">
        <f aca="false">0.33*12</f>
        <v>3.96</v>
      </c>
      <c r="T39" s="134" t="n">
        <f aca="false">(1*L39)/S39</f>
        <v>1.51515151515152</v>
      </c>
      <c r="U39" s="134" t="n">
        <f aca="false">T39*3.28</f>
        <v>4.96969696969697</v>
      </c>
      <c r="W39" s="138" t="n">
        <v>0.32</v>
      </c>
      <c r="X39" s="137" t="n">
        <f aca="false">(W39*F39)/100</f>
        <v>0.0335872</v>
      </c>
      <c r="Y39" s="138" t="n">
        <f aca="false">6*M39/1000</f>
        <v>0.9144</v>
      </c>
    </row>
    <row r="40" customFormat="false" ht="14.25" hidden="false" customHeight="false" outlineLevel="0" collapsed="false">
      <c r="B40" s="112" t="s">
        <v>311</v>
      </c>
      <c r="D40" s="126" t="s">
        <v>614</v>
      </c>
      <c r="E40" s="127" t="n">
        <f aca="false">E14</f>
        <v>1738</v>
      </c>
      <c r="F40" s="128" t="n">
        <f aca="false">R40</f>
        <v>11.808</v>
      </c>
      <c r="G40" s="131" t="n">
        <v>0.95</v>
      </c>
      <c r="H40" s="131" t="n">
        <v>0.8</v>
      </c>
      <c r="I40" s="126" t="n">
        <f aca="false">G40-H40</f>
        <v>0.15</v>
      </c>
      <c r="J40" s="130" t="n">
        <f aca="false">J32-I40</f>
        <v>1.69276</v>
      </c>
      <c r="K40" s="129" t="n">
        <v>1.5</v>
      </c>
      <c r="L40" s="131" t="n">
        <v>12</v>
      </c>
      <c r="M40" s="126" t="n">
        <f aca="false">L40*25.4</f>
        <v>304.8</v>
      </c>
      <c r="N40" s="126"/>
      <c r="O40" s="131" t="n">
        <v>3200</v>
      </c>
      <c r="P40" s="133" t="n">
        <f aca="false">O40/60</f>
        <v>53.3333333333333</v>
      </c>
      <c r="Q40" s="133" t="n">
        <f aca="false">2.7+0.9</f>
        <v>3.6</v>
      </c>
      <c r="R40" s="134" t="n">
        <f aca="false">Q40*3.28</f>
        <v>11.808</v>
      </c>
      <c r="S40" s="135" t="n">
        <f aca="false">0.33*12</f>
        <v>3.96</v>
      </c>
      <c r="T40" s="134" t="n">
        <f aca="false">(1*L40)/S40</f>
        <v>3.03030303030303</v>
      </c>
      <c r="U40" s="134" t="n">
        <f aca="false">T40*3.28</f>
        <v>9.93939393939394</v>
      </c>
      <c r="W40" s="136" t="n">
        <v>1</v>
      </c>
      <c r="X40" s="137" t="n">
        <f aca="false">(W40*F40)/100</f>
        <v>0.11808</v>
      </c>
      <c r="Y40" s="138" t="n">
        <f aca="false">6*M40/1000</f>
        <v>1.8288</v>
      </c>
    </row>
    <row r="41" customFormat="false" ht="14.25" hidden="false" customHeight="false" outlineLevel="0" collapsed="false">
      <c r="B41" s="112" t="s">
        <v>615</v>
      </c>
      <c r="D41" s="126" t="s">
        <v>616</v>
      </c>
      <c r="E41" s="127" t="n">
        <f aca="false">E14</f>
        <v>1738</v>
      </c>
      <c r="F41" s="128" t="n">
        <f aca="false">R41</f>
        <v>17.384</v>
      </c>
      <c r="G41" s="131" t="n">
        <v>0.65</v>
      </c>
      <c r="H41" s="131" t="n">
        <v>0.45</v>
      </c>
      <c r="I41" s="126" t="n">
        <f aca="false">G41-H41</f>
        <v>0.2</v>
      </c>
      <c r="J41" s="130" t="n">
        <f aca="false">J40-I41</f>
        <v>1.49276</v>
      </c>
      <c r="K41" s="129" t="n">
        <v>1.5</v>
      </c>
      <c r="L41" s="131" t="n">
        <v>14</v>
      </c>
      <c r="M41" s="126" t="n">
        <f aca="false">L41*25.4</f>
        <v>355.6</v>
      </c>
      <c r="N41" s="126"/>
      <c r="O41" s="131" t="n">
        <v>2400</v>
      </c>
      <c r="P41" s="133" t="n">
        <f aca="false">O41/60</f>
        <v>40</v>
      </c>
      <c r="Q41" s="133" t="n">
        <v>5.3</v>
      </c>
      <c r="R41" s="134" t="n">
        <f aca="false">Q41*3.28</f>
        <v>17.384</v>
      </c>
      <c r="S41" s="135" t="n">
        <f aca="false">0.33*12</f>
        <v>3.96</v>
      </c>
      <c r="T41" s="134" t="n">
        <f aca="false">(1*L41)/S41</f>
        <v>3.53535353535354</v>
      </c>
      <c r="U41" s="134" t="n">
        <f aca="false">T41*3.28</f>
        <v>11.5959595959596</v>
      </c>
      <c r="W41" s="136" t="n">
        <v>0.5</v>
      </c>
      <c r="X41" s="137" t="n">
        <f aca="false">(W41*F41)/100</f>
        <v>0.08692</v>
      </c>
      <c r="Y41" s="138" t="n">
        <f aca="false">6*M41/1000</f>
        <v>2.1336</v>
      </c>
    </row>
    <row r="42" customFormat="false" ht="14.25" hidden="false" customHeight="false" outlineLevel="0" collapsed="false">
      <c r="B42" s="112" t="s">
        <v>79</v>
      </c>
      <c r="D42" s="126" t="s">
        <v>617</v>
      </c>
      <c r="E42" s="127" t="n">
        <f aca="false">E14</f>
        <v>1738</v>
      </c>
      <c r="F42" s="128" t="n">
        <f aca="false">R42</f>
        <v>11.808</v>
      </c>
      <c r="G42" s="131" t="n">
        <v>0.65</v>
      </c>
      <c r="H42" s="131" t="n">
        <v>0.45</v>
      </c>
      <c r="I42" s="126" t="n">
        <f aca="false">G42-H42</f>
        <v>0.2</v>
      </c>
      <c r="J42" s="130" t="n">
        <f aca="false">J41-I42</f>
        <v>1.29276</v>
      </c>
      <c r="K42" s="129" t="n">
        <v>1.5</v>
      </c>
      <c r="L42" s="131" t="n">
        <v>14</v>
      </c>
      <c r="M42" s="126" t="n">
        <f aca="false">L42*25.4</f>
        <v>355.6</v>
      </c>
      <c r="N42" s="126"/>
      <c r="O42" s="131" t="n">
        <v>2200</v>
      </c>
      <c r="P42" s="133" t="n">
        <f aca="false">O42/60</f>
        <v>36.6666666666667</v>
      </c>
      <c r="Q42" s="133" t="n">
        <f aca="false">0.7+2.9</f>
        <v>3.6</v>
      </c>
      <c r="R42" s="134" t="n">
        <f aca="false">Q42*3.28</f>
        <v>11.808</v>
      </c>
      <c r="S42" s="135" t="n">
        <f aca="false">0.33*12</f>
        <v>3.96</v>
      </c>
      <c r="T42" s="134" t="n">
        <f aca="false">(1*L42)/S42</f>
        <v>3.53535353535354</v>
      </c>
      <c r="U42" s="134" t="n">
        <f aca="false">T42*3.28</f>
        <v>11.5959595959596</v>
      </c>
      <c r="W42" s="136" t="n">
        <v>0.45</v>
      </c>
      <c r="X42" s="137" t="n">
        <f aca="false">(W42*F42)/100</f>
        <v>0.053136</v>
      </c>
      <c r="Y42" s="138" t="n">
        <f aca="false">6*M42/1000</f>
        <v>2.1336</v>
      </c>
    </row>
    <row r="43" customFormat="false" ht="14.25" hidden="false" customHeight="false" outlineLevel="0" collapsed="false">
      <c r="B43" s="112" t="s">
        <v>79</v>
      </c>
      <c r="D43" s="126" t="s">
        <v>618</v>
      </c>
      <c r="E43" s="127" t="n">
        <f aca="false">2555/8*2</f>
        <v>638.75</v>
      </c>
      <c r="F43" s="128" t="n">
        <f aca="false">R43</f>
        <v>9.512</v>
      </c>
      <c r="G43" s="131" t="n">
        <v>0.33</v>
      </c>
      <c r="H43" s="131" t="n">
        <v>0.31</v>
      </c>
      <c r="I43" s="126" t="n">
        <f aca="false">G43-H43</f>
        <v>0.02</v>
      </c>
      <c r="J43" s="130" t="n">
        <f aca="false">J42-I43</f>
        <v>1.27276</v>
      </c>
      <c r="K43" s="129" t="n">
        <v>1.5</v>
      </c>
      <c r="L43" s="131" t="n">
        <v>8</v>
      </c>
      <c r="M43" s="126" t="n">
        <f aca="false">L43*25.4</f>
        <v>203.2</v>
      </c>
      <c r="N43" s="126"/>
      <c r="O43" s="131" t="n">
        <v>1850</v>
      </c>
      <c r="P43" s="133" t="n">
        <f aca="false">O43/60</f>
        <v>30.8333333333333</v>
      </c>
      <c r="Q43" s="133" t="n">
        <v>2.9</v>
      </c>
      <c r="R43" s="134" t="n">
        <f aca="false">Q43*3.28</f>
        <v>9.512</v>
      </c>
      <c r="S43" s="135" t="n">
        <f aca="false">0.33*12</f>
        <v>3.96</v>
      </c>
      <c r="T43" s="134" t="n">
        <f aca="false">(1*L43)/S43</f>
        <v>2.02020202020202</v>
      </c>
      <c r="U43" s="134" t="n">
        <f aca="false">T43*3.28</f>
        <v>6.62626262626263</v>
      </c>
      <c r="W43" s="136" t="n">
        <v>0.7</v>
      </c>
      <c r="X43" s="137" t="n">
        <f aca="false">(W43*F43)/100</f>
        <v>0.066584</v>
      </c>
      <c r="Y43" s="138" t="n">
        <f aca="false">6*M43/1000</f>
        <v>1.2192</v>
      </c>
    </row>
    <row r="44" customFormat="false" ht="14.25" hidden="false" customHeight="false" outlineLevel="0" collapsed="false">
      <c r="B44" s="112" t="s">
        <v>79</v>
      </c>
      <c r="D44" s="126" t="s">
        <v>619</v>
      </c>
      <c r="E44" s="127" t="n">
        <f aca="false">2555/8*1</f>
        <v>319.375</v>
      </c>
      <c r="F44" s="128" t="n">
        <f aca="false">R44</f>
        <v>2.624</v>
      </c>
      <c r="G44" s="131" t="n">
        <v>0.23</v>
      </c>
      <c r="H44" s="131" t="n">
        <v>0.14</v>
      </c>
      <c r="I44" s="126" t="n">
        <f aca="false">G44-H44</f>
        <v>0.09</v>
      </c>
      <c r="J44" s="130" t="n">
        <f aca="false">J43-I44</f>
        <v>1.18276</v>
      </c>
      <c r="K44" s="129" t="n">
        <v>1.5</v>
      </c>
      <c r="L44" s="131" t="n">
        <v>7</v>
      </c>
      <c r="M44" s="126" t="n">
        <f aca="false">L44*25.4</f>
        <v>177.8</v>
      </c>
      <c r="N44" s="126"/>
      <c r="O44" s="131" t="n">
        <v>1200</v>
      </c>
      <c r="P44" s="133" t="n">
        <f aca="false">O44/60</f>
        <v>20</v>
      </c>
      <c r="Q44" s="133" t="n">
        <v>0.8</v>
      </c>
      <c r="R44" s="134" t="n">
        <f aca="false">Q44*3.28</f>
        <v>2.624</v>
      </c>
      <c r="S44" s="135" t="n">
        <f aca="false">0.33*12</f>
        <v>3.96</v>
      </c>
      <c r="T44" s="134" t="n">
        <f aca="false">(1*L44)/S44</f>
        <v>1.76767676767677</v>
      </c>
      <c r="U44" s="134" t="n">
        <f aca="false">T44*3.28</f>
        <v>5.7979797979798</v>
      </c>
      <c r="W44" s="136" t="n">
        <v>0.35</v>
      </c>
      <c r="X44" s="137" t="n">
        <f aca="false">(W44*F44)/100</f>
        <v>0.009184</v>
      </c>
      <c r="Y44" s="138" t="n">
        <f aca="false">6*M44/1000</f>
        <v>1.0668</v>
      </c>
    </row>
    <row r="45" customFormat="false" ht="14.25" hidden="false" customHeight="false" outlineLevel="0" collapsed="false">
      <c r="B45" s="112" t="s">
        <v>79</v>
      </c>
      <c r="D45" s="126" t="s">
        <v>620</v>
      </c>
      <c r="E45" s="127" t="n">
        <f aca="false">2555/8*1</f>
        <v>319.375</v>
      </c>
      <c r="F45" s="128" t="n">
        <f aca="false">R45</f>
        <v>2.624</v>
      </c>
      <c r="G45" s="131" t="n">
        <v>0.23</v>
      </c>
      <c r="H45" s="131" t="n">
        <v>0.14</v>
      </c>
      <c r="I45" s="126" t="n">
        <f aca="false">G45-H45</f>
        <v>0.09</v>
      </c>
      <c r="J45" s="130" t="n">
        <f aca="false">J43-I45</f>
        <v>1.18276</v>
      </c>
      <c r="K45" s="129" t="n">
        <v>1.5</v>
      </c>
      <c r="L45" s="131" t="n">
        <v>7</v>
      </c>
      <c r="M45" s="126" t="n">
        <f aca="false">L45*25.4</f>
        <v>177.8</v>
      </c>
      <c r="N45" s="126"/>
      <c r="O45" s="131" t="n">
        <v>1200</v>
      </c>
      <c r="P45" s="133" t="n">
        <f aca="false">O45/60</f>
        <v>20</v>
      </c>
      <c r="Q45" s="133" t="n">
        <v>0.8</v>
      </c>
      <c r="R45" s="134" t="n">
        <f aca="false">Q45*3.28</f>
        <v>2.624</v>
      </c>
      <c r="S45" s="135" t="n">
        <f aca="false">0.33*12</f>
        <v>3.96</v>
      </c>
      <c r="T45" s="134" t="n">
        <f aca="false">(1*L45)/S45</f>
        <v>1.76767676767677</v>
      </c>
      <c r="U45" s="134" t="n">
        <f aca="false">T45*3.28</f>
        <v>5.7979797979798</v>
      </c>
      <c r="W45" s="136" t="n">
        <v>0.35</v>
      </c>
      <c r="X45" s="137" t="n">
        <f aca="false">(W45*F45)/100</f>
        <v>0.009184</v>
      </c>
      <c r="Y45" s="138" t="n">
        <f aca="false">6*M45/1000</f>
        <v>1.0668</v>
      </c>
    </row>
    <row r="46" customFormat="false" ht="14.25" hidden="false" customHeight="false" outlineLevel="0" collapsed="false">
      <c r="B46" s="112" t="s">
        <v>79</v>
      </c>
      <c r="D46" s="126" t="s">
        <v>621</v>
      </c>
      <c r="E46" s="127" t="n">
        <f aca="false">2555/8*2</f>
        <v>638.75</v>
      </c>
      <c r="F46" s="128" t="n">
        <f aca="false">R46</f>
        <v>17.712</v>
      </c>
      <c r="G46" s="131" t="n">
        <v>0.33</v>
      </c>
      <c r="H46" s="131" t="n">
        <v>0.33</v>
      </c>
      <c r="I46" s="126" t="n">
        <f aca="false">G46-H46</f>
        <v>0</v>
      </c>
      <c r="J46" s="130" t="n">
        <f aca="false">J42-I46</f>
        <v>1.29276</v>
      </c>
      <c r="K46" s="129" t="n">
        <v>1.5</v>
      </c>
      <c r="L46" s="131" t="n">
        <v>8</v>
      </c>
      <c r="M46" s="126" t="n">
        <f aca="false">L46*25.4</f>
        <v>203.2</v>
      </c>
      <c r="N46" s="126"/>
      <c r="O46" s="131" t="n">
        <v>1850</v>
      </c>
      <c r="P46" s="133" t="n">
        <f aca="false">O46/60</f>
        <v>30.8333333333333</v>
      </c>
      <c r="Q46" s="133" t="n">
        <f aca="false">4.5+0.9</f>
        <v>5.4</v>
      </c>
      <c r="R46" s="134" t="n">
        <f aca="false">Q46*3.28</f>
        <v>17.712</v>
      </c>
      <c r="S46" s="135" t="n">
        <f aca="false">0.33*12</f>
        <v>3.96</v>
      </c>
      <c r="T46" s="134" t="n">
        <f aca="false">(1*L46)/S46</f>
        <v>2.02020202020202</v>
      </c>
      <c r="U46" s="134" t="n">
        <f aca="false">T46*3.28</f>
        <v>6.62626262626263</v>
      </c>
      <c r="W46" s="136" t="n">
        <v>0.7</v>
      </c>
      <c r="X46" s="137" t="n">
        <f aca="false">(W46*F46)/100</f>
        <v>0.123984</v>
      </c>
      <c r="Y46" s="138" t="n">
        <f aca="false">6*M46/1000</f>
        <v>1.2192</v>
      </c>
    </row>
    <row r="47" customFormat="false" ht="14.25" hidden="false" customHeight="false" outlineLevel="0" collapsed="false">
      <c r="B47" s="112" t="s">
        <v>79</v>
      </c>
      <c r="D47" s="126" t="s">
        <v>622</v>
      </c>
      <c r="E47" s="127" t="n">
        <f aca="false">2555/8*1</f>
        <v>319.375</v>
      </c>
      <c r="F47" s="128" t="n">
        <f aca="false">R47</f>
        <v>2.624</v>
      </c>
      <c r="G47" s="131" t="n">
        <v>0.23</v>
      </c>
      <c r="H47" s="131" t="n">
        <v>0.14</v>
      </c>
      <c r="I47" s="126" t="n">
        <f aca="false">G47-H47</f>
        <v>0.09</v>
      </c>
      <c r="J47" s="130" t="n">
        <f aca="false">J46-I47</f>
        <v>1.20276</v>
      </c>
      <c r="K47" s="129" t="n">
        <v>1.5</v>
      </c>
      <c r="L47" s="131" t="n">
        <v>7</v>
      </c>
      <c r="M47" s="126" t="n">
        <f aca="false">L47*25.4</f>
        <v>177.8</v>
      </c>
      <c r="N47" s="126"/>
      <c r="O47" s="131" t="n">
        <v>1200</v>
      </c>
      <c r="P47" s="133" t="n">
        <f aca="false">O47/60</f>
        <v>20</v>
      </c>
      <c r="Q47" s="133" t="n">
        <v>0.8</v>
      </c>
      <c r="R47" s="134" t="n">
        <f aca="false">Q47*3.28</f>
        <v>2.624</v>
      </c>
      <c r="S47" s="135" t="n">
        <f aca="false">0.33*12</f>
        <v>3.96</v>
      </c>
      <c r="T47" s="134" t="n">
        <f aca="false">(1*L47)/S47</f>
        <v>1.76767676767677</v>
      </c>
      <c r="U47" s="134" t="n">
        <f aca="false">T47*3.28</f>
        <v>5.7979797979798</v>
      </c>
      <c r="W47" s="136" t="n">
        <v>0.35</v>
      </c>
      <c r="X47" s="137" t="n">
        <f aca="false">(W47*F47)/100</f>
        <v>0.009184</v>
      </c>
      <c r="Y47" s="138" t="n">
        <f aca="false">6*M47/1000</f>
        <v>1.0668</v>
      </c>
    </row>
    <row r="48" customFormat="false" ht="14.25" hidden="false" customHeight="false" outlineLevel="0" collapsed="false">
      <c r="B48" s="112" t="s">
        <v>79</v>
      </c>
      <c r="D48" s="126" t="s">
        <v>623</v>
      </c>
      <c r="E48" s="127" t="n">
        <f aca="false">2555/8*1</f>
        <v>319.375</v>
      </c>
      <c r="F48" s="128" t="n">
        <f aca="false">R48</f>
        <v>2.624</v>
      </c>
      <c r="G48" s="131" t="n">
        <v>0.23</v>
      </c>
      <c r="H48" s="131" t="n">
        <v>0.14</v>
      </c>
      <c r="I48" s="126" t="n">
        <f aca="false">G48-H48</f>
        <v>0.09</v>
      </c>
      <c r="J48" s="130" t="n">
        <f aca="false">J46-I48</f>
        <v>1.20276</v>
      </c>
      <c r="K48" s="129" t="n">
        <v>1.5</v>
      </c>
      <c r="L48" s="131" t="n">
        <v>7</v>
      </c>
      <c r="M48" s="126" t="n">
        <f aca="false">L48*25.4</f>
        <v>177.8</v>
      </c>
      <c r="N48" s="126"/>
      <c r="O48" s="131" t="n">
        <v>1200</v>
      </c>
      <c r="P48" s="133" t="n">
        <f aca="false">O48/60</f>
        <v>20</v>
      </c>
      <c r="Q48" s="133" t="n">
        <v>0.8</v>
      </c>
      <c r="R48" s="134" t="n">
        <f aca="false">Q48*3.28</f>
        <v>2.624</v>
      </c>
      <c r="S48" s="135" t="n">
        <f aca="false">0.33*12</f>
        <v>3.96</v>
      </c>
      <c r="T48" s="134" t="n">
        <f aca="false">(1*L48)/S48</f>
        <v>1.76767676767677</v>
      </c>
      <c r="U48" s="134" t="n">
        <f aca="false">T48*3.28</f>
        <v>5.7979797979798</v>
      </c>
      <c r="W48" s="136" t="n">
        <v>0.35</v>
      </c>
      <c r="X48" s="137" t="n">
        <f aca="false">(W48*F48)/100</f>
        <v>0.009184</v>
      </c>
      <c r="Y48" s="138" t="n">
        <f aca="false">6*M48/1000</f>
        <v>1.0668</v>
      </c>
    </row>
    <row r="49" customFormat="false" ht="14.25" hidden="false" customHeight="false" outlineLevel="0" collapsed="false">
      <c r="B49" s="112" t="s">
        <v>79</v>
      </c>
      <c r="D49" s="126" t="s">
        <v>624</v>
      </c>
      <c r="E49" s="127" t="n">
        <f aca="false">2555/8*4</f>
        <v>1277.5</v>
      </c>
      <c r="F49" s="128" t="n">
        <f aca="false">R49</f>
        <v>8.364</v>
      </c>
      <c r="G49" s="131" t="n">
        <v>0.33</v>
      </c>
      <c r="H49" s="131" t="n">
        <v>0.31</v>
      </c>
      <c r="I49" s="126" t="n">
        <f aca="false">G49-H49</f>
        <v>0.02</v>
      </c>
      <c r="J49" s="130" t="n">
        <f aca="false">J42-I49</f>
        <v>1.27276</v>
      </c>
      <c r="K49" s="129" t="n">
        <v>1.5</v>
      </c>
      <c r="L49" s="131" t="n">
        <v>11</v>
      </c>
      <c r="M49" s="126" t="n">
        <f aca="false">L49*25.4</f>
        <v>279.4</v>
      </c>
      <c r="N49" s="126"/>
      <c r="O49" s="131" t="n">
        <v>2000</v>
      </c>
      <c r="P49" s="133" t="n">
        <f aca="false">O49/60</f>
        <v>33.3333333333333</v>
      </c>
      <c r="Q49" s="133" t="n">
        <v>2.55</v>
      </c>
      <c r="R49" s="134" t="n">
        <f aca="false">Q49*3.28</f>
        <v>8.364</v>
      </c>
      <c r="S49" s="135" t="n">
        <f aca="false">0.33*12</f>
        <v>3.96</v>
      </c>
      <c r="T49" s="134" t="n">
        <f aca="false">(1*L49)/S49</f>
        <v>2.77777777777778</v>
      </c>
      <c r="U49" s="134" t="n">
        <f aca="false">T49*3.28</f>
        <v>9.11111111111111</v>
      </c>
      <c r="W49" s="136" t="n">
        <v>0.5</v>
      </c>
      <c r="X49" s="137" t="n">
        <f aca="false">(W49*F49)/100</f>
        <v>0.04182</v>
      </c>
      <c r="Y49" s="138" t="n">
        <f aca="false">6*M49/1000</f>
        <v>1.6764</v>
      </c>
    </row>
    <row r="50" customFormat="false" ht="14.25" hidden="false" customHeight="false" outlineLevel="0" collapsed="false">
      <c r="B50" s="112" t="s">
        <v>79</v>
      </c>
      <c r="D50" s="126" t="s">
        <v>625</v>
      </c>
      <c r="E50" s="127" t="n">
        <f aca="false">2555/8*2</f>
        <v>638.75</v>
      </c>
      <c r="F50" s="128" t="n">
        <f aca="false">R50</f>
        <v>2.952</v>
      </c>
      <c r="G50" s="131" t="n">
        <v>0.26</v>
      </c>
      <c r="H50" s="131" t="n">
        <v>0.175</v>
      </c>
      <c r="I50" s="126" t="n">
        <f aca="false">G50-H50</f>
        <v>0.085</v>
      </c>
      <c r="J50" s="130" t="n">
        <f aca="false">J49-I50</f>
        <v>1.18776</v>
      </c>
      <c r="K50" s="129" t="n">
        <v>1.5</v>
      </c>
      <c r="L50" s="131" t="n">
        <v>9</v>
      </c>
      <c r="M50" s="126" t="n">
        <f aca="false">L50*25.4</f>
        <v>228.6</v>
      </c>
      <c r="N50" s="126"/>
      <c r="O50" s="131" t="n">
        <v>1450</v>
      </c>
      <c r="P50" s="133" t="n">
        <f aca="false">O50/60</f>
        <v>24.1666666666667</v>
      </c>
      <c r="Q50" s="133" t="n">
        <v>0.9</v>
      </c>
      <c r="R50" s="134" t="n">
        <f aca="false">Q50*3.28</f>
        <v>2.952</v>
      </c>
      <c r="S50" s="135" t="n">
        <f aca="false">0.33*12</f>
        <v>3.96</v>
      </c>
      <c r="T50" s="134" t="n">
        <f aca="false">(1*L50)/S50</f>
        <v>2.27272727272727</v>
      </c>
      <c r="U50" s="134" t="n">
        <f aca="false">T50*3.28</f>
        <v>7.45454545454546</v>
      </c>
      <c r="W50" s="136" t="n">
        <v>0.38</v>
      </c>
      <c r="X50" s="137" t="n">
        <f aca="false">(W50*F50)/100</f>
        <v>0.0112176</v>
      </c>
      <c r="Y50" s="138" t="n">
        <f aca="false">6*M50/1000</f>
        <v>1.3716</v>
      </c>
    </row>
    <row r="51" customFormat="false" ht="14.25" hidden="false" customHeight="false" outlineLevel="0" collapsed="false">
      <c r="B51" s="112" t="s">
        <v>79</v>
      </c>
      <c r="D51" s="126" t="s">
        <v>626</v>
      </c>
      <c r="E51" s="127" t="n">
        <f aca="false">2555/8*1</f>
        <v>319.375</v>
      </c>
      <c r="F51" s="128" t="n">
        <f aca="false">R51</f>
        <v>2.624</v>
      </c>
      <c r="G51" s="131" t="n">
        <v>0.14</v>
      </c>
      <c r="H51" s="131" t="n">
        <v>0.14</v>
      </c>
      <c r="I51" s="126" t="n">
        <f aca="false">G51-H51</f>
        <v>0</v>
      </c>
      <c r="J51" s="130" t="n">
        <f aca="false">J50-I51</f>
        <v>1.18776</v>
      </c>
      <c r="K51" s="129" t="n">
        <v>1.5</v>
      </c>
      <c r="L51" s="131" t="n">
        <v>7</v>
      </c>
      <c r="M51" s="126" t="n">
        <f aca="false">L51*25.4</f>
        <v>177.8</v>
      </c>
      <c r="N51" s="126"/>
      <c r="O51" s="131" t="n">
        <v>1200</v>
      </c>
      <c r="P51" s="133" t="n">
        <f aca="false">O51/60</f>
        <v>20</v>
      </c>
      <c r="Q51" s="133" t="n">
        <v>0.8</v>
      </c>
      <c r="R51" s="134" t="n">
        <f aca="false">Q51*3.28</f>
        <v>2.624</v>
      </c>
      <c r="S51" s="135" t="n">
        <f aca="false">0.33*12</f>
        <v>3.96</v>
      </c>
      <c r="T51" s="134" t="n">
        <f aca="false">(1*L51)/S51</f>
        <v>1.76767676767677</v>
      </c>
      <c r="U51" s="134" t="n">
        <f aca="false">T51*3.28</f>
        <v>5.7979797979798</v>
      </c>
      <c r="W51" s="136" t="n">
        <v>0.35</v>
      </c>
      <c r="X51" s="137" t="n">
        <f aca="false">(W51*F51)/100</f>
        <v>0.009184</v>
      </c>
      <c r="Y51" s="138" t="n">
        <f aca="false">6*M51/1000</f>
        <v>1.0668</v>
      </c>
    </row>
    <row r="52" customFormat="false" ht="14.25" hidden="false" customHeight="false" outlineLevel="0" collapsed="false">
      <c r="B52" s="112" t="s">
        <v>79</v>
      </c>
      <c r="D52" s="126" t="s">
        <v>627</v>
      </c>
      <c r="E52" s="127" t="n">
        <f aca="false">2555/8*1</f>
        <v>319.375</v>
      </c>
      <c r="F52" s="128" t="n">
        <f aca="false">R52</f>
        <v>2.624</v>
      </c>
      <c r="G52" s="131" t="n">
        <v>0.14</v>
      </c>
      <c r="H52" s="131" t="n">
        <v>0.14</v>
      </c>
      <c r="I52" s="126" t="n">
        <f aca="false">G52-H52</f>
        <v>0</v>
      </c>
      <c r="J52" s="130" t="n">
        <f aca="false">J50-I52</f>
        <v>1.18776</v>
      </c>
      <c r="K52" s="129" t="n">
        <v>1.5</v>
      </c>
      <c r="L52" s="131" t="n">
        <v>7</v>
      </c>
      <c r="M52" s="126" t="n">
        <f aca="false">L52*25.4</f>
        <v>177.8</v>
      </c>
      <c r="N52" s="126"/>
      <c r="O52" s="131" t="n">
        <v>1200</v>
      </c>
      <c r="P52" s="133" t="n">
        <f aca="false">O52/60</f>
        <v>20</v>
      </c>
      <c r="Q52" s="133" t="n">
        <v>0.8</v>
      </c>
      <c r="R52" s="134" t="n">
        <f aca="false">Q52*3.28</f>
        <v>2.624</v>
      </c>
      <c r="S52" s="135" t="n">
        <f aca="false">0.33*12</f>
        <v>3.96</v>
      </c>
      <c r="T52" s="134" t="n">
        <f aca="false">(1*L52)/S52</f>
        <v>1.76767676767677</v>
      </c>
      <c r="U52" s="134" t="n">
        <f aca="false">T52*3.28</f>
        <v>5.7979797979798</v>
      </c>
      <c r="W52" s="136" t="n">
        <v>0.35</v>
      </c>
      <c r="X52" s="137" t="n">
        <f aca="false">(W52*F52)/100</f>
        <v>0.009184</v>
      </c>
      <c r="Y52" s="138" t="n">
        <f aca="false">6*M52/1000</f>
        <v>1.0668</v>
      </c>
    </row>
    <row r="53" customFormat="false" ht="14.25" hidden="false" customHeight="false" outlineLevel="0" collapsed="false">
      <c r="B53" s="112" t="s">
        <v>79</v>
      </c>
      <c r="D53" s="126" t="s">
        <v>628</v>
      </c>
      <c r="E53" s="127" t="n">
        <f aca="false">2555/8*2</f>
        <v>638.75</v>
      </c>
      <c r="F53" s="128" t="n">
        <f aca="false">R53</f>
        <v>17.712</v>
      </c>
      <c r="G53" s="131" t="n">
        <v>0.242</v>
      </c>
      <c r="H53" s="131" t="n">
        <v>0.175</v>
      </c>
      <c r="I53" s="126" t="n">
        <f aca="false">G53-H53</f>
        <v>0.067</v>
      </c>
      <c r="J53" s="130" t="n">
        <f aca="false">J49-I53</f>
        <v>1.20576</v>
      </c>
      <c r="K53" s="129" t="n">
        <v>1.5</v>
      </c>
      <c r="L53" s="131" t="n">
        <v>9</v>
      </c>
      <c r="M53" s="126" t="n">
        <f aca="false">L53*25.4</f>
        <v>228.6</v>
      </c>
      <c r="N53" s="126"/>
      <c r="O53" s="131" t="n">
        <v>1450</v>
      </c>
      <c r="P53" s="133" t="n">
        <f aca="false">O53/60</f>
        <v>24.1666666666667</v>
      </c>
      <c r="Q53" s="133" t="n">
        <f aca="false">4.5+0.9</f>
        <v>5.4</v>
      </c>
      <c r="R53" s="134" t="n">
        <f aca="false">Q53*3.28</f>
        <v>17.712</v>
      </c>
      <c r="S53" s="135" t="n">
        <f aca="false">0.33*12</f>
        <v>3.96</v>
      </c>
      <c r="T53" s="134" t="n">
        <f aca="false">(1*L53)/S53</f>
        <v>2.27272727272727</v>
      </c>
      <c r="U53" s="134" t="n">
        <f aca="false">T53*3.28</f>
        <v>7.45454545454546</v>
      </c>
      <c r="W53" s="136" t="n">
        <v>0.38</v>
      </c>
      <c r="X53" s="137" t="n">
        <f aca="false">(W53*F53)/100</f>
        <v>0.0673056</v>
      </c>
      <c r="Y53" s="138" t="n">
        <f aca="false">6*M53/1000</f>
        <v>1.3716</v>
      </c>
    </row>
    <row r="54" customFormat="false" ht="14.25" hidden="false" customHeight="false" outlineLevel="0" collapsed="false">
      <c r="B54" s="112" t="s">
        <v>79</v>
      </c>
      <c r="D54" s="126" t="s">
        <v>629</v>
      </c>
      <c r="E54" s="127" t="n">
        <f aca="false">2555/8*1</f>
        <v>319.375</v>
      </c>
      <c r="F54" s="128" t="n">
        <f aca="false">R54</f>
        <v>2.624</v>
      </c>
      <c r="G54" s="131" t="n">
        <v>0.14</v>
      </c>
      <c r="H54" s="131" t="n">
        <v>0.14</v>
      </c>
      <c r="I54" s="126" t="n">
        <f aca="false">G54-H54</f>
        <v>0</v>
      </c>
      <c r="J54" s="130" t="n">
        <f aca="false">J53-I54</f>
        <v>1.20576</v>
      </c>
      <c r="K54" s="129" t="n">
        <v>1.5</v>
      </c>
      <c r="L54" s="131" t="n">
        <v>7</v>
      </c>
      <c r="M54" s="126" t="n">
        <f aca="false">L54*25.4</f>
        <v>177.8</v>
      </c>
      <c r="N54" s="126"/>
      <c r="O54" s="131" t="n">
        <v>1200</v>
      </c>
      <c r="P54" s="133" t="n">
        <f aca="false">O54/60</f>
        <v>20</v>
      </c>
      <c r="Q54" s="133" t="n">
        <v>0.8</v>
      </c>
      <c r="R54" s="134" t="n">
        <f aca="false">Q54*3.28</f>
        <v>2.624</v>
      </c>
      <c r="S54" s="135" t="n">
        <f aca="false">0.33*12</f>
        <v>3.96</v>
      </c>
      <c r="T54" s="134" t="n">
        <f aca="false">(1*L54)/S54</f>
        <v>1.76767676767677</v>
      </c>
      <c r="U54" s="134" t="n">
        <f aca="false">T54*3.28</f>
        <v>5.7979797979798</v>
      </c>
      <c r="W54" s="136" t="n">
        <v>0.35</v>
      </c>
      <c r="X54" s="137" t="n">
        <f aca="false">(W54*F54)/100</f>
        <v>0.009184</v>
      </c>
      <c r="Y54" s="138" t="n">
        <f aca="false">6*M54/1000</f>
        <v>1.0668</v>
      </c>
    </row>
    <row r="55" customFormat="false" ht="14.25" hidden="false" customHeight="false" outlineLevel="0" collapsed="false">
      <c r="B55" s="112" t="s">
        <v>79</v>
      </c>
      <c r="D55" s="126" t="s">
        <v>630</v>
      </c>
      <c r="E55" s="127" t="n">
        <f aca="false">2555/8*1</f>
        <v>319.375</v>
      </c>
      <c r="F55" s="128" t="n">
        <f aca="false">R55</f>
        <v>2.624</v>
      </c>
      <c r="G55" s="131" t="n">
        <v>0.14</v>
      </c>
      <c r="H55" s="131" t="n">
        <v>0.14</v>
      </c>
      <c r="I55" s="126" t="n">
        <f aca="false">G55-H55</f>
        <v>0</v>
      </c>
      <c r="J55" s="130" t="n">
        <f aca="false">J53-I55</f>
        <v>1.20576</v>
      </c>
      <c r="K55" s="129" t="n">
        <v>1.5</v>
      </c>
      <c r="L55" s="131" t="n">
        <v>7</v>
      </c>
      <c r="M55" s="126" t="n">
        <f aca="false">L55*25.4</f>
        <v>177.8</v>
      </c>
      <c r="N55" s="126"/>
      <c r="O55" s="131" t="n">
        <v>1200</v>
      </c>
      <c r="P55" s="133" t="n">
        <f aca="false">O55/60</f>
        <v>20</v>
      </c>
      <c r="Q55" s="133" t="n">
        <v>0.8</v>
      </c>
      <c r="R55" s="134" t="n">
        <f aca="false">Q55*3.28</f>
        <v>2.624</v>
      </c>
      <c r="S55" s="135" t="n">
        <f aca="false">0.33*12</f>
        <v>3.96</v>
      </c>
      <c r="T55" s="134" t="n">
        <f aca="false">(1*L55)/S55</f>
        <v>1.76767676767677</v>
      </c>
      <c r="U55" s="134" t="n">
        <f aca="false">T55*3.28</f>
        <v>5.7979797979798</v>
      </c>
      <c r="W55" s="136" t="n">
        <v>0.35</v>
      </c>
      <c r="X55" s="137" t="n">
        <f aca="false">(W55*F55)/100</f>
        <v>0.009184</v>
      </c>
      <c r="Y55" s="138" t="n">
        <f aca="false">6*M55/1000</f>
        <v>1.0668</v>
      </c>
    </row>
    <row r="56" customFormat="false" ht="14.25" hidden="false" customHeight="false" outlineLevel="0" collapsed="false">
      <c r="E56" s="114"/>
      <c r="F56" s="141"/>
      <c r="J56" s="142"/>
      <c r="R56" s="141"/>
      <c r="T56" s="141"/>
      <c r="U56" s="141"/>
    </row>
    <row r="57" customFormat="false" ht="14.25" hidden="false" customHeight="false" outlineLevel="0" collapsed="false">
      <c r="E57" s="114"/>
      <c r="F57" s="141"/>
      <c r="J57" s="142"/>
      <c r="R57" s="141"/>
      <c r="T57" s="141"/>
      <c r="U57" s="141"/>
    </row>
    <row r="58" customFormat="false" ht="14.25" hidden="false" customHeight="false" outlineLevel="0" collapsed="false">
      <c r="E58" s="114"/>
      <c r="F58" s="141"/>
      <c r="J58" s="142"/>
      <c r="R58" s="141"/>
      <c r="T58" s="141"/>
      <c r="U58" s="141"/>
    </row>
    <row r="59" customFormat="false" ht="14.25" hidden="false" customHeight="false" outlineLevel="0" collapsed="false">
      <c r="E59" s="114"/>
      <c r="F59" s="141"/>
      <c r="J59" s="142"/>
      <c r="R59" s="141"/>
      <c r="T59" s="141"/>
      <c r="U59" s="141"/>
    </row>
    <row r="60" customFormat="false" ht="14.25" hidden="false" customHeight="false" outlineLevel="0" collapsed="false">
      <c r="E60" s="114"/>
      <c r="F60" s="141"/>
      <c r="J60" s="142"/>
      <c r="R60" s="141"/>
      <c r="T60" s="141"/>
      <c r="U60" s="141"/>
    </row>
    <row r="61" customFormat="false" ht="14.25" hidden="false" customHeight="false" outlineLevel="0" collapsed="false">
      <c r="E61" s="114"/>
      <c r="F61" s="141"/>
      <c r="J61" s="142"/>
      <c r="R61" s="141"/>
      <c r="T61" s="141"/>
      <c r="U61" s="141"/>
    </row>
    <row r="62" customFormat="false" ht="14.25" hidden="false" customHeight="false" outlineLevel="0" collapsed="false">
      <c r="E62" s="114"/>
      <c r="F62" s="141"/>
      <c r="J62" s="142"/>
      <c r="R62" s="141"/>
      <c r="T62" s="141"/>
      <c r="U62" s="141"/>
    </row>
    <row r="63" customFormat="false" ht="14.25" hidden="false" customHeight="false" outlineLevel="0" collapsed="false">
      <c r="D63" s="113" t="s">
        <v>631</v>
      </c>
      <c r="E63" s="114"/>
      <c r="F63" s="141"/>
      <c r="J63" s="142"/>
      <c r="R63" s="141"/>
      <c r="T63" s="141"/>
      <c r="U63" s="141"/>
    </row>
    <row r="64" customFormat="false" ht="14.25" hidden="false" customHeight="false" outlineLevel="0" collapsed="false">
      <c r="D64" s="113"/>
      <c r="E64" s="112" t="s">
        <v>126</v>
      </c>
      <c r="G64" s="114"/>
      <c r="J64" s="142"/>
      <c r="R64" s="141"/>
      <c r="T64" s="141"/>
      <c r="U64" s="141"/>
    </row>
    <row r="65" customFormat="false" ht="15" hidden="false" customHeight="false" outlineLevel="0" collapsed="false">
      <c r="D65" s="27" t="s">
        <v>50</v>
      </c>
      <c r="E65" s="114" t="n">
        <f aca="false">DUCTING!M22</f>
        <v>136</v>
      </c>
      <c r="F65" s="114"/>
      <c r="G65" s="114"/>
      <c r="J65" s="142"/>
      <c r="R65" s="141"/>
      <c r="T65" s="141"/>
      <c r="U65" s="141"/>
    </row>
    <row r="66" customFormat="false" ht="15" hidden="false" customHeight="false" outlineLevel="0" collapsed="false">
      <c r="D66" s="27" t="s">
        <v>51</v>
      </c>
      <c r="E66" s="114" t="n">
        <f aca="false">DUCTING!M23</f>
        <v>91</v>
      </c>
      <c r="F66" s="114"/>
      <c r="G66" s="114"/>
      <c r="J66" s="142"/>
      <c r="R66" s="141"/>
      <c r="T66" s="141"/>
      <c r="U66" s="141"/>
    </row>
    <row r="67" customFormat="false" ht="15" hidden="false" customHeight="false" outlineLevel="0" collapsed="false">
      <c r="D67" s="27" t="s">
        <v>52</v>
      </c>
      <c r="E67" s="114" t="n">
        <f aca="false">DUCTING!M24</f>
        <v>76</v>
      </c>
      <c r="F67" s="114"/>
      <c r="G67" s="114"/>
      <c r="J67" s="142"/>
      <c r="R67" s="141"/>
      <c r="T67" s="141"/>
      <c r="U67" s="141"/>
    </row>
    <row r="68" customFormat="false" ht="15" hidden="false" customHeight="false" outlineLevel="0" collapsed="false">
      <c r="D68" s="27" t="s">
        <v>53</v>
      </c>
      <c r="E68" s="114" t="n">
        <f aca="false">DUCTING!M25</f>
        <v>130</v>
      </c>
      <c r="F68" s="114"/>
      <c r="G68" s="114"/>
      <c r="J68" s="142"/>
      <c r="R68" s="141"/>
      <c r="T68" s="141"/>
      <c r="U68" s="141"/>
    </row>
    <row r="69" customFormat="false" ht="15" hidden="false" customHeight="false" outlineLevel="0" collapsed="false">
      <c r="D69" s="27" t="s">
        <v>54</v>
      </c>
      <c r="E69" s="114" t="n">
        <f aca="false">DUCTING!M26</f>
        <v>167</v>
      </c>
      <c r="F69" s="114"/>
      <c r="G69" s="114"/>
      <c r="J69" s="142"/>
      <c r="R69" s="141"/>
      <c r="T69" s="141"/>
      <c r="U69" s="141"/>
    </row>
    <row r="70" customFormat="false" ht="15" hidden="false" customHeight="false" outlineLevel="0" collapsed="false">
      <c r="D70" s="27" t="s">
        <v>491</v>
      </c>
      <c r="E70" s="114" t="n">
        <f aca="false">DUCTING!M27</f>
        <v>242</v>
      </c>
      <c r="F70" s="114"/>
      <c r="G70" s="114"/>
      <c r="J70" s="142"/>
      <c r="R70" s="141"/>
      <c r="T70" s="141"/>
      <c r="U70" s="141"/>
    </row>
    <row r="71" customFormat="false" ht="15" hidden="false" customHeight="false" outlineLevel="0" collapsed="false">
      <c r="D71" s="27" t="s">
        <v>342</v>
      </c>
      <c r="E71" s="114" t="n">
        <f aca="false">DUCTING!M28</f>
        <v>175</v>
      </c>
      <c r="F71" s="114"/>
      <c r="G71" s="114"/>
      <c r="J71" s="142"/>
      <c r="R71" s="141"/>
      <c r="T71" s="141"/>
      <c r="U71" s="141"/>
    </row>
    <row r="72" customFormat="false" ht="15" hidden="false" customHeight="false" outlineLevel="0" collapsed="false">
      <c r="D72" s="27" t="s">
        <v>336</v>
      </c>
      <c r="E72" s="114" t="n">
        <f aca="false">DUCTING!M29</f>
        <v>91</v>
      </c>
      <c r="F72" s="114"/>
      <c r="G72" s="114"/>
      <c r="J72" s="142"/>
      <c r="R72" s="141"/>
      <c r="T72" s="141"/>
      <c r="U72" s="141"/>
    </row>
    <row r="73" customFormat="false" ht="15" hidden="false" customHeight="false" outlineLevel="0" collapsed="false">
      <c r="D73" s="27" t="s">
        <v>338</v>
      </c>
      <c r="E73" s="114" t="n">
        <f aca="false">DUCTING!M30</f>
        <v>108</v>
      </c>
      <c r="F73" s="114"/>
      <c r="G73" s="114"/>
      <c r="J73" s="142"/>
      <c r="R73" s="141"/>
      <c r="T73" s="141"/>
      <c r="U73" s="141"/>
    </row>
    <row r="74" customFormat="false" ht="15" hidden="false" customHeight="false" outlineLevel="0" collapsed="false">
      <c r="D74" s="27" t="s">
        <v>424</v>
      </c>
      <c r="E74" s="114" t="n">
        <f aca="false">DUCTING!M31</f>
        <v>139</v>
      </c>
      <c r="F74" s="114"/>
      <c r="G74" s="114"/>
      <c r="J74" s="142"/>
      <c r="R74" s="141"/>
      <c r="T74" s="141"/>
      <c r="U74" s="141"/>
    </row>
    <row r="75" customFormat="false" ht="14.25" hidden="false" customHeight="false" outlineLevel="0" collapsed="false">
      <c r="D75" s="115"/>
      <c r="E75" s="114" t="n">
        <f aca="false">SUM(E65:E74)</f>
        <v>1355</v>
      </c>
      <c r="F75" s="114"/>
      <c r="G75" s="114"/>
      <c r="J75" s="142"/>
      <c r="R75" s="141"/>
      <c r="T75" s="141"/>
      <c r="U75" s="141"/>
    </row>
    <row r="76" customFormat="false" ht="14.25" hidden="false" customHeight="false" outlineLevel="0" collapsed="false">
      <c r="D76" s="115"/>
      <c r="E76" s="114"/>
      <c r="F76" s="114"/>
      <c r="G76" s="114"/>
      <c r="J76" s="142"/>
      <c r="R76" s="141"/>
      <c r="T76" s="141"/>
      <c r="U76" s="141"/>
    </row>
    <row r="77" customFormat="false" ht="14.25" hidden="false" customHeight="false" outlineLevel="0" collapsed="false">
      <c r="D77" s="112" t="n">
        <v>1</v>
      </c>
      <c r="E77" s="112" t="n">
        <v>2</v>
      </c>
      <c r="F77" s="112" t="n">
        <v>3</v>
      </c>
      <c r="G77" s="112" t="n">
        <v>4</v>
      </c>
      <c r="H77" s="112" t="n">
        <v>5</v>
      </c>
      <c r="I77" s="112" t="n">
        <v>6</v>
      </c>
      <c r="J77" s="112" t="n">
        <v>7</v>
      </c>
      <c r="K77" s="112" t="n">
        <v>8</v>
      </c>
      <c r="L77" s="112" t="n">
        <v>9</v>
      </c>
      <c r="O77" s="112" t="n">
        <v>10</v>
      </c>
    </row>
    <row r="78" customFormat="false" ht="69.75" hidden="false" customHeight="true" outlineLevel="0" collapsed="false">
      <c r="B78" s="117" t="s">
        <v>74</v>
      </c>
      <c r="C78" s="118" t="s">
        <v>575</v>
      </c>
      <c r="D78" s="119" t="s">
        <v>576</v>
      </c>
      <c r="E78" s="119" t="s">
        <v>577</v>
      </c>
      <c r="F78" s="119" t="s">
        <v>578</v>
      </c>
      <c r="G78" s="119" t="s">
        <v>579</v>
      </c>
      <c r="H78" s="119"/>
      <c r="I78" s="119" t="s">
        <v>580</v>
      </c>
      <c r="J78" s="119" t="s">
        <v>581</v>
      </c>
      <c r="K78" s="119" t="s">
        <v>582</v>
      </c>
      <c r="L78" s="119" t="s">
        <v>632</v>
      </c>
      <c r="M78" s="119" t="s">
        <v>584</v>
      </c>
      <c r="N78" s="120"/>
      <c r="O78" s="119" t="s">
        <v>585</v>
      </c>
      <c r="P78" s="119" t="s">
        <v>586</v>
      </c>
      <c r="Q78" s="121" t="s">
        <v>587</v>
      </c>
      <c r="R78" s="121" t="s">
        <v>588</v>
      </c>
      <c r="S78" s="122" t="s">
        <v>589</v>
      </c>
      <c r="T78" s="123" t="s">
        <v>590</v>
      </c>
      <c r="U78" s="123" t="s">
        <v>591</v>
      </c>
      <c r="V78" s="124" t="s">
        <v>592</v>
      </c>
      <c r="W78" s="124" t="s">
        <v>593</v>
      </c>
      <c r="X78" s="124" t="s">
        <v>594</v>
      </c>
      <c r="Y78" s="124" t="s">
        <v>595</v>
      </c>
    </row>
    <row r="79" customFormat="false" ht="85.5" hidden="false" customHeight="true" outlineLevel="0" collapsed="false">
      <c r="B79" s="117"/>
      <c r="C79" s="118"/>
      <c r="D79" s="119"/>
      <c r="E79" s="119"/>
      <c r="F79" s="119"/>
      <c r="G79" s="125" t="s">
        <v>596</v>
      </c>
      <c r="H79" s="125" t="s">
        <v>597</v>
      </c>
      <c r="I79" s="119"/>
      <c r="J79" s="119"/>
      <c r="K79" s="119"/>
      <c r="L79" s="119"/>
      <c r="M79" s="119"/>
      <c r="N79" s="120"/>
      <c r="O79" s="119"/>
      <c r="P79" s="119"/>
      <c r="Q79" s="121"/>
      <c r="R79" s="121"/>
      <c r="S79" s="122"/>
      <c r="T79" s="123"/>
      <c r="U79" s="123"/>
      <c r="V79" s="124"/>
      <c r="W79" s="124"/>
      <c r="X79" s="124"/>
      <c r="Y79" s="124"/>
    </row>
    <row r="80" customFormat="false" ht="14.25" hidden="false" customHeight="false" outlineLevel="0" collapsed="false">
      <c r="B80" s="112" t="s">
        <v>311</v>
      </c>
      <c r="D80" s="126" t="s">
        <v>633</v>
      </c>
      <c r="E80" s="127" t="n">
        <f aca="false">E75</f>
        <v>1355</v>
      </c>
      <c r="F80" s="128" t="n">
        <f aca="false">R80</f>
        <v>10.496</v>
      </c>
      <c r="G80" s="129"/>
      <c r="H80" s="129"/>
      <c r="I80" s="126" t="n">
        <v>1.5</v>
      </c>
      <c r="J80" s="130" t="n">
        <f aca="false">I80+I81</f>
        <v>1.793888</v>
      </c>
      <c r="K80" s="129" t="n">
        <v>1.5</v>
      </c>
      <c r="L80" s="131" t="n">
        <v>9</v>
      </c>
      <c r="M80" s="126" t="n">
        <f aca="false">L80*25.4</f>
        <v>228.6</v>
      </c>
      <c r="N80" s="126"/>
      <c r="O80" s="131" t="n">
        <v>5000</v>
      </c>
      <c r="P80" s="132" t="n">
        <f aca="false">O80/60</f>
        <v>83.3333333333333</v>
      </c>
      <c r="Q80" s="133" t="n">
        <f aca="false">0.9+1.2+1.1</f>
        <v>3.2</v>
      </c>
      <c r="R80" s="134" t="n">
        <f aca="false">Q80*3.28</f>
        <v>10.496</v>
      </c>
      <c r="S80" s="135" t="n">
        <f aca="false">0.33*12</f>
        <v>3.96</v>
      </c>
      <c r="T80" s="134" t="n">
        <f aca="false">(1*L80)/S80</f>
        <v>2.27272727272727</v>
      </c>
      <c r="U80" s="134" t="n">
        <f aca="false">T80*3.28</f>
        <v>7.45454545454546</v>
      </c>
      <c r="W80" s="136" t="n">
        <v>2.8</v>
      </c>
      <c r="X80" s="137" t="n">
        <f aca="false">(W80*F80)/100</f>
        <v>0.293888</v>
      </c>
      <c r="Y80" s="138" t="n">
        <f aca="false">6*M80/1000</f>
        <v>1.3716</v>
      </c>
    </row>
    <row r="81" customFormat="false" ht="14.25" hidden="false" customHeight="false" outlineLevel="0" collapsed="false">
      <c r="D81" s="129"/>
      <c r="E81" s="129"/>
      <c r="F81" s="129"/>
      <c r="G81" s="129"/>
      <c r="H81" s="129"/>
      <c r="I81" s="129" t="n">
        <f aca="false">X80</f>
        <v>0.293888</v>
      </c>
      <c r="J81" s="129"/>
      <c r="K81" s="129"/>
      <c r="L81" s="129"/>
      <c r="M81" s="129"/>
      <c r="N81" s="129"/>
      <c r="O81" s="129"/>
      <c r="P81" s="132" t="n">
        <f aca="false">O81/60</f>
        <v>0</v>
      </c>
    </row>
    <row r="82" customFormat="false" ht="14.25" hidden="false" customHeight="false" outlineLevel="0" collapsed="false">
      <c r="B82" s="112" t="s">
        <v>311</v>
      </c>
      <c r="D82" s="126" t="s">
        <v>634</v>
      </c>
      <c r="E82" s="127" t="n">
        <v>1992</v>
      </c>
      <c r="F82" s="128" t="n">
        <f aca="false">R82</f>
        <v>40.672</v>
      </c>
      <c r="G82" s="129" t="n">
        <v>0.89</v>
      </c>
      <c r="H82" s="129" t="n">
        <v>0.75</v>
      </c>
      <c r="I82" s="126" t="n">
        <f aca="false">G82-H82</f>
        <v>0.14</v>
      </c>
      <c r="J82" s="130" t="n">
        <f aca="false">J80-I82</f>
        <v>1.653888</v>
      </c>
      <c r="K82" s="129" t="n">
        <v>1.5</v>
      </c>
      <c r="L82" s="131" t="n">
        <v>11</v>
      </c>
      <c r="M82" s="126" t="n">
        <f aca="false">L82*25.4</f>
        <v>279.4</v>
      </c>
      <c r="N82" s="126"/>
      <c r="O82" s="131" t="n">
        <v>3050</v>
      </c>
      <c r="P82" s="132" t="n">
        <f aca="false">O82/60</f>
        <v>50.8333333333333</v>
      </c>
      <c r="Q82" s="133" t="n">
        <f aca="false">0.2+4.2+5.6+1.8+0.6</f>
        <v>12.4</v>
      </c>
      <c r="R82" s="134" t="n">
        <f aca="false">Q82*3.28</f>
        <v>40.672</v>
      </c>
      <c r="S82" s="135" t="n">
        <f aca="false">0.33*12</f>
        <v>3.96</v>
      </c>
      <c r="T82" s="134" t="n">
        <f aca="false">(1*L82)/S82</f>
        <v>2.77777777777778</v>
      </c>
      <c r="U82" s="134" t="n">
        <f aca="false">T82*3.28</f>
        <v>9.11111111111111</v>
      </c>
      <c r="W82" s="136" t="n">
        <v>1.1</v>
      </c>
      <c r="X82" s="137" t="n">
        <f aca="false">(W82*F82)/100</f>
        <v>0.447392</v>
      </c>
      <c r="Y82" s="138" t="n">
        <f aca="false">6*M82/1000</f>
        <v>1.6764</v>
      </c>
    </row>
    <row r="83" customFormat="false" ht="14.25" hidden="false" customHeight="false" outlineLevel="0" collapsed="false"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32" t="n">
        <f aca="false">O83/60</f>
        <v>0</v>
      </c>
    </row>
    <row r="84" customFormat="false" ht="14.25" hidden="false" customHeight="false" outlineLevel="0" collapsed="false">
      <c r="B84" s="112" t="s">
        <v>635</v>
      </c>
      <c r="D84" s="126" t="s">
        <v>636</v>
      </c>
      <c r="E84" s="127" t="n">
        <v>1992</v>
      </c>
      <c r="F84" s="128" t="n">
        <f aca="false">R84</f>
        <v>8.856</v>
      </c>
      <c r="G84" s="131" t="n">
        <v>0.65</v>
      </c>
      <c r="H84" s="131" t="n">
        <v>0.55</v>
      </c>
      <c r="I84" s="126" t="n">
        <f aca="false">G84-H84</f>
        <v>0.1</v>
      </c>
      <c r="J84" s="130" t="n">
        <f aca="false">J82-I84</f>
        <v>1.553888</v>
      </c>
      <c r="K84" s="129" t="n">
        <v>1.5</v>
      </c>
      <c r="L84" s="131" t="n">
        <v>12</v>
      </c>
      <c r="M84" s="126" t="n">
        <f aca="false">L84*25.4</f>
        <v>304.8</v>
      </c>
      <c r="N84" s="126"/>
      <c r="O84" s="131" t="n">
        <v>2600</v>
      </c>
      <c r="P84" s="132" t="n">
        <f aca="false">O84/60</f>
        <v>43.3333333333333</v>
      </c>
      <c r="Q84" s="133" t="n">
        <f aca="false">2.7</f>
        <v>2.7</v>
      </c>
      <c r="R84" s="134" t="n">
        <f aca="false">Q84*3.28</f>
        <v>8.856</v>
      </c>
      <c r="S84" s="135" t="n">
        <f aca="false">0.33*12</f>
        <v>3.96</v>
      </c>
      <c r="T84" s="134" t="n">
        <f aca="false">(1*L84)/S84</f>
        <v>3.03030303030303</v>
      </c>
      <c r="U84" s="134" t="n">
        <f aca="false">T84*3.28</f>
        <v>9.93939393939394</v>
      </c>
      <c r="W84" s="136" t="n">
        <v>0.7</v>
      </c>
      <c r="X84" s="137" t="n">
        <f aca="false">(W84*F84)/100</f>
        <v>0.061992</v>
      </c>
      <c r="Y84" s="138" t="n">
        <f aca="false">6*M84/1000</f>
        <v>1.8288</v>
      </c>
    </row>
    <row r="85" customFormat="false" ht="14.25" hidden="false" customHeight="false" outlineLevel="0" collapsed="false">
      <c r="B85" s="112" t="s">
        <v>369</v>
      </c>
      <c r="D85" s="126" t="s">
        <v>637</v>
      </c>
      <c r="E85" s="127" t="n">
        <v>1992</v>
      </c>
      <c r="F85" s="128" t="n">
        <f aca="false">R85</f>
        <v>3.116</v>
      </c>
      <c r="G85" s="131" t="n">
        <v>0.45</v>
      </c>
      <c r="H85" s="131" t="n">
        <v>0.285</v>
      </c>
      <c r="I85" s="126" t="n">
        <f aca="false">G85-H85</f>
        <v>0.165</v>
      </c>
      <c r="J85" s="130" t="n">
        <f aca="false">J84-I85</f>
        <v>1.388888</v>
      </c>
      <c r="K85" s="129" t="n">
        <v>1.5</v>
      </c>
      <c r="L85" s="131" t="n">
        <v>14</v>
      </c>
      <c r="M85" s="126" t="n">
        <f aca="false">L85*25.4</f>
        <v>355.6</v>
      </c>
      <c r="N85" s="126"/>
      <c r="O85" s="131" t="n">
        <v>1950</v>
      </c>
      <c r="P85" s="132" t="n">
        <f aca="false">O85/60</f>
        <v>32.5</v>
      </c>
      <c r="Q85" s="133" t="n">
        <v>0.95</v>
      </c>
      <c r="R85" s="134" t="n">
        <f aca="false">Q85*3.28</f>
        <v>3.116</v>
      </c>
      <c r="S85" s="135" t="n">
        <f aca="false">0.33*12</f>
        <v>3.96</v>
      </c>
      <c r="T85" s="134" t="n">
        <f aca="false">(1*L85)/S85</f>
        <v>3.53535353535354</v>
      </c>
      <c r="U85" s="134" t="n">
        <f aca="false">T85*3.28</f>
        <v>11.5959595959596</v>
      </c>
      <c r="W85" s="136" t="n">
        <v>0.35</v>
      </c>
      <c r="X85" s="137" t="n">
        <f aca="false">(W85*F85)/100</f>
        <v>0.010906</v>
      </c>
      <c r="Y85" s="138" t="n">
        <f aca="false">6*M85/1000</f>
        <v>2.1336</v>
      </c>
    </row>
    <row r="86" customFormat="false" ht="14.25" hidden="false" customHeight="false" outlineLevel="0" collapsed="false">
      <c r="B86" s="112" t="s">
        <v>369</v>
      </c>
      <c r="D86" s="126" t="s">
        <v>638</v>
      </c>
      <c r="E86" s="127" t="n">
        <f aca="false">E67+E65+E66+E68</f>
        <v>433</v>
      </c>
      <c r="F86" s="128" t="n">
        <f aca="false">R86</f>
        <v>11.48</v>
      </c>
      <c r="G86" s="131" t="n">
        <v>0.24</v>
      </c>
      <c r="H86" s="131" t="n">
        <v>0.18</v>
      </c>
      <c r="I86" s="126" t="n">
        <f aca="false">G86-H86</f>
        <v>0.06</v>
      </c>
      <c r="J86" s="130" t="n">
        <f aca="false">J85-I86</f>
        <v>1.328888</v>
      </c>
      <c r="K86" s="129" t="n">
        <v>1.5</v>
      </c>
      <c r="L86" s="131" t="n">
        <v>9</v>
      </c>
      <c r="M86" s="126" t="n">
        <f aca="false">L86*25.4</f>
        <v>228.6</v>
      </c>
      <c r="N86" s="126"/>
      <c r="O86" s="131" t="n">
        <v>1480</v>
      </c>
      <c r="P86" s="132" t="n">
        <f aca="false">O86/60</f>
        <v>24.6666666666667</v>
      </c>
      <c r="Q86" s="133" t="n">
        <f aca="false">3.5</f>
        <v>3.5</v>
      </c>
      <c r="R86" s="134" t="n">
        <f aca="false">Q86*3.28</f>
        <v>11.48</v>
      </c>
      <c r="S86" s="135" t="n">
        <f aca="false">0.33*12</f>
        <v>3.96</v>
      </c>
      <c r="T86" s="134" t="n">
        <f aca="false">(1*L86)/S86</f>
        <v>2.27272727272727</v>
      </c>
      <c r="U86" s="134" t="n">
        <f aca="false">T86*3.28</f>
        <v>7.45454545454546</v>
      </c>
      <c r="W86" s="136" t="n">
        <v>0.38</v>
      </c>
      <c r="X86" s="137" t="n">
        <f aca="false">(W86*F86)/100</f>
        <v>0.043624</v>
      </c>
      <c r="Y86" s="138" t="n">
        <f aca="false">6*M86/1000</f>
        <v>1.3716</v>
      </c>
    </row>
    <row r="87" customFormat="false" ht="14.25" hidden="false" customHeight="false" outlineLevel="0" collapsed="false">
      <c r="B87" s="112" t="s">
        <v>369</v>
      </c>
      <c r="D87" s="126" t="s">
        <v>639</v>
      </c>
      <c r="E87" s="127" t="n">
        <f aca="false">E67+E68</f>
        <v>206</v>
      </c>
      <c r="F87" s="128" t="n">
        <f aca="false">R87</f>
        <v>9.512</v>
      </c>
      <c r="G87" s="131" t="n">
        <v>0.138</v>
      </c>
      <c r="H87" s="131" t="n">
        <v>0.128</v>
      </c>
      <c r="I87" s="126" t="n">
        <f aca="false">G87-H87</f>
        <v>0.01</v>
      </c>
      <c r="J87" s="130" t="n">
        <f aca="false">J86-I87</f>
        <v>1.318888</v>
      </c>
      <c r="K87" s="129" t="n">
        <v>1.5</v>
      </c>
      <c r="L87" s="131" t="n">
        <v>7</v>
      </c>
      <c r="M87" s="126" t="n">
        <f aca="false">L87*25.4</f>
        <v>177.8</v>
      </c>
      <c r="N87" s="126"/>
      <c r="O87" s="131" t="n">
        <v>1150</v>
      </c>
      <c r="P87" s="132" t="n">
        <f aca="false">O87/60</f>
        <v>19.1666666666667</v>
      </c>
      <c r="Q87" s="133" t="n">
        <f aca="false">2.9</f>
        <v>2.9</v>
      </c>
      <c r="R87" s="134" t="n">
        <f aca="false">Q87*3.28</f>
        <v>9.512</v>
      </c>
      <c r="S87" s="135" t="n">
        <f aca="false">0.33*12</f>
        <v>3.96</v>
      </c>
      <c r="T87" s="134" t="n">
        <f aca="false">(1*L87)/S87</f>
        <v>1.76767676767677</v>
      </c>
      <c r="U87" s="134" t="n">
        <f aca="false">T87*3.28</f>
        <v>5.7979797979798</v>
      </c>
      <c r="W87" s="136" t="n">
        <v>0.34</v>
      </c>
      <c r="X87" s="137" t="n">
        <f aca="false">(W87*F87)/100</f>
        <v>0.0323408</v>
      </c>
      <c r="Y87" s="138" t="n">
        <f aca="false">6*M87/1000</f>
        <v>1.0668</v>
      </c>
    </row>
    <row r="88" customFormat="false" ht="14.25" hidden="false" customHeight="false" outlineLevel="0" collapsed="false">
      <c r="B88" s="112" t="s">
        <v>369</v>
      </c>
      <c r="D88" s="126" t="s">
        <v>640</v>
      </c>
      <c r="E88" s="127" t="n">
        <f aca="false">E67</f>
        <v>76</v>
      </c>
      <c r="F88" s="128" t="n">
        <f aca="false">R88</f>
        <v>1.968</v>
      </c>
      <c r="G88" s="131" t="n">
        <v>0.085</v>
      </c>
      <c r="H88" s="131" t="n">
        <v>0.075</v>
      </c>
      <c r="I88" s="126" t="n">
        <f aca="false">G88-H88</f>
        <v>0.01</v>
      </c>
      <c r="J88" s="130" t="n">
        <f aca="false">J87-I88</f>
        <v>1.308888</v>
      </c>
      <c r="K88" s="129" t="n">
        <v>1.5</v>
      </c>
      <c r="L88" s="131" t="n">
        <v>5</v>
      </c>
      <c r="M88" s="126" t="n">
        <f aca="false">L88*25.4</f>
        <v>127</v>
      </c>
      <c r="N88" s="126"/>
      <c r="O88" s="125" t="n">
        <v>1000</v>
      </c>
      <c r="P88" s="132" t="n">
        <f aca="false">O88/60</f>
        <v>16.6666666666667</v>
      </c>
      <c r="Q88" s="133" t="n">
        <v>0.6</v>
      </c>
      <c r="R88" s="134" t="n">
        <f aca="false">Q88*3.28</f>
        <v>1.968</v>
      </c>
      <c r="S88" s="135" t="n">
        <f aca="false">0.33*12</f>
        <v>3.96</v>
      </c>
      <c r="T88" s="134" t="n">
        <f aca="false">(1*L88)/S88</f>
        <v>1.26262626262626</v>
      </c>
      <c r="U88" s="134" t="n">
        <f aca="false">T88*3.28</f>
        <v>4.14141414141414</v>
      </c>
      <c r="W88" s="138" t="n">
        <v>0.4</v>
      </c>
      <c r="X88" s="137" t="n">
        <f aca="false">(W88*F88)/100</f>
        <v>0.007872</v>
      </c>
      <c r="Y88" s="138" t="n">
        <f aca="false">6*M88/1000</f>
        <v>0.762</v>
      </c>
    </row>
    <row r="89" customFormat="false" ht="14.25" hidden="false" customHeight="false" outlineLevel="0" collapsed="false">
      <c r="B89" s="112" t="s">
        <v>369</v>
      </c>
      <c r="D89" s="126" t="s">
        <v>641</v>
      </c>
      <c r="E89" s="127" t="n">
        <f aca="false">E68</f>
        <v>130</v>
      </c>
      <c r="F89" s="128" t="n">
        <f aca="false">R89</f>
        <v>11.48</v>
      </c>
      <c r="G89" s="131" t="n">
        <v>0.085</v>
      </c>
      <c r="H89" s="131" t="n">
        <v>0.06</v>
      </c>
      <c r="I89" s="126" t="n">
        <f aca="false">G89-H89</f>
        <v>0.025</v>
      </c>
      <c r="J89" s="130" t="n">
        <f aca="false">J87-I89</f>
        <v>1.293888</v>
      </c>
      <c r="K89" s="129" t="n">
        <v>1.5</v>
      </c>
      <c r="L89" s="131" t="n">
        <v>7</v>
      </c>
      <c r="M89" s="126" t="n">
        <f aca="false">L89*25.4</f>
        <v>177.8</v>
      </c>
      <c r="N89" s="126"/>
      <c r="O89" s="125" t="n">
        <v>1000</v>
      </c>
      <c r="P89" s="132" t="n">
        <f aca="false">O89/60</f>
        <v>16.6666666666667</v>
      </c>
      <c r="Q89" s="133" t="n">
        <f aca="false">2.9+0.6</f>
        <v>3.5</v>
      </c>
      <c r="R89" s="134" t="n">
        <f aca="false">Q89*3.28</f>
        <v>11.48</v>
      </c>
      <c r="S89" s="135" t="n">
        <f aca="false">0.33*12</f>
        <v>3.96</v>
      </c>
      <c r="T89" s="134" t="n">
        <f aca="false">(1*L89)/S89</f>
        <v>1.76767676767677</v>
      </c>
      <c r="U89" s="134" t="n">
        <f aca="false">T89*3.28</f>
        <v>5.7979797979798</v>
      </c>
      <c r="W89" s="138" t="n">
        <v>0.28</v>
      </c>
      <c r="X89" s="137" t="n">
        <f aca="false">(W89*F89)/100</f>
        <v>0.032144</v>
      </c>
      <c r="Y89" s="138" t="n">
        <f aca="false">6*M89/1000</f>
        <v>1.0668</v>
      </c>
    </row>
    <row r="90" customFormat="false" ht="14.25" hidden="false" customHeight="false" outlineLevel="0" collapsed="false">
      <c r="B90" s="112" t="s">
        <v>369</v>
      </c>
      <c r="D90" s="126" t="s">
        <v>642</v>
      </c>
      <c r="E90" s="127" t="n">
        <f aca="false">E65+E66</f>
        <v>227</v>
      </c>
      <c r="F90" s="128" t="n">
        <f aca="false">R90</f>
        <v>5.248</v>
      </c>
      <c r="G90" s="131" t="n">
        <v>0.145</v>
      </c>
      <c r="H90" s="131" t="n">
        <v>0.09</v>
      </c>
      <c r="I90" s="126" t="n">
        <f aca="false">G90-H90</f>
        <v>0.055</v>
      </c>
      <c r="J90" s="130" t="n">
        <f aca="false">J86-I90</f>
        <v>1.273888</v>
      </c>
      <c r="K90" s="129" t="n">
        <v>1.5</v>
      </c>
      <c r="L90" s="131" t="n">
        <v>8</v>
      </c>
      <c r="M90" s="126" t="n">
        <f aca="false">L90*25.4</f>
        <v>203.2</v>
      </c>
      <c r="N90" s="126"/>
      <c r="O90" s="125" t="n">
        <v>1000</v>
      </c>
      <c r="P90" s="132" t="n">
        <f aca="false">O90/60</f>
        <v>16.6666666666667</v>
      </c>
      <c r="Q90" s="133" t="n">
        <v>1.6</v>
      </c>
      <c r="R90" s="134" t="n">
        <f aca="false">Q90*3.28</f>
        <v>5.248</v>
      </c>
      <c r="S90" s="135" t="n">
        <f aca="false">0.33*12</f>
        <v>3.96</v>
      </c>
      <c r="T90" s="134" t="n">
        <f aca="false">(1*L90)/S90</f>
        <v>2.02020202020202</v>
      </c>
      <c r="U90" s="134" t="n">
        <f aca="false">T90*3.28</f>
        <v>6.62626262626263</v>
      </c>
      <c r="W90" s="138" t="n">
        <v>0.25</v>
      </c>
      <c r="X90" s="137" t="n">
        <f aca="false">(W90*F90)/100</f>
        <v>0.01312</v>
      </c>
      <c r="Y90" s="138" t="n">
        <f aca="false">6*M90/1000</f>
        <v>1.2192</v>
      </c>
    </row>
    <row r="91" customFormat="false" ht="14.25" hidden="false" customHeight="false" outlineLevel="0" collapsed="false">
      <c r="B91" s="112" t="s">
        <v>369</v>
      </c>
      <c r="D91" s="126" t="s">
        <v>643</v>
      </c>
      <c r="E91" s="127" t="n">
        <f aca="false">E66</f>
        <v>91</v>
      </c>
      <c r="F91" s="128" t="n">
        <f aca="false">R91</f>
        <v>1.968</v>
      </c>
      <c r="G91" s="131" t="n">
        <v>0.06</v>
      </c>
      <c r="H91" s="131" t="n">
        <v>0.06</v>
      </c>
      <c r="I91" s="126" t="n">
        <f aca="false">G91-H91</f>
        <v>0</v>
      </c>
      <c r="J91" s="130" t="n">
        <f aca="false">J90-I91</f>
        <v>1.273888</v>
      </c>
      <c r="K91" s="129" t="n">
        <v>1.5</v>
      </c>
      <c r="L91" s="131" t="n">
        <v>6</v>
      </c>
      <c r="M91" s="126" t="n">
        <f aca="false">L91*25.4</f>
        <v>152.4</v>
      </c>
      <c r="N91" s="126"/>
      <c r="O91" s="125" t="n">
        <v>1000</v>
      </c>
      <c r="P91" s="132" t="n">
        <f aca="false">O91/60</f>
        <v>16.6666666666667</v>
      </c>
      <c r="Q91" s="133" t="n">
        <v>0.6</v>
      </c>
      <c r="R91" s="134" t="n">
        <f aca="false">Q91*3.28</f>
        <v>1.968</v>
      </c>
      <c r="S91" s="135" t="n">
        <f aca="false">0.33*12</f>
        <v>3.96</v>
      </c>
      <c r="T91" s="134" t="n">
        <f aca="false">(1*L91)/S91</f>
        <v>1.51515151515152</v>
      </c>
      <c r="U91" s="134" t="n">
        <f aca="false">T91*3.28</f>
        <v>4.96969696969697</v>
      </c>
      <c r="W91" s="138" t="n">
        <v>0.3</v>
      </c>
      <c r="X91" s="137" t="n">
        <f aca="false">(W91*F91)/100</f>
        <v>0.005904</v>
      </c>
      <c r="Y91" s="138" t="n">
        <f aca="false">6*M91/1000</f>
        <v>0.9144</v>
      </c>
    </row>
    <row r="92" customFormat="false" ht="14.25" hidden="false" customHeight="false" outlineLevel="0" collapsed="false">
      <c r="B92" s="112" t="s">
        <v>369</v>
      </c>
      <c r="D92" s="126" t="s">
        <v>644</v>
      </c>
      <c r="E92" s="127" t="n">
        <f aca="false">E65</f>
        <v>136</v>
      </c>
      <c r="F92" s="128" t="n">
        <f aca="false">R92</f>
        <v>11.808</v>
      </c>
      <c r="G92" s="131" t="n">
        <v>0.06</v>
      </c>
      <c r="H92" s="131" t="n">
        <v>0.06</v>
      </c>
      <c r="I92" s="126" t="n">
        <f aca="false">G92-H92</f>
        <v>0</v>
      </c>
      <c r="J92" s="130" t="n">
        <f aca="false">J90-I92</f>
        <v>1.273888</v>
      </c>
      <c r="K92" s="129" t="n">
        <v>1.5</v>
      </c>
      <c r="L92" s="131" t="n">
        <v>7</v>
      </c>
      <c r="M92" s="126" t="n">
        <f aca="false">L92*25.4</f>
        <v>177.8</v>
      </c>
      <c r="N92" s="126"/>
      <c r="O92" s="125" t="n">
        <v>1000</v>
      </c>
      <c r="P92" s="132" t="n">
        <f aca="false">O92/60</f>
        <v>16.6666666666667</v>
      </c>
      <c r="Q92" s="133" t="n">
        <f aca="false">3+0.6</f>
        <v>3.6</v>
      </c>
      <c r="R92" s="134" t="n">
        <f aca="false">Q92*3.28</f>
        <v>11.808</v>
      </c>
      <c r="S92" s="135" t="n">
        <f aca="false">0.33*12</f>
        <v>3.96</v>
      </c>
      <c r="T92" s="134" t="n">
        <f aca="false">(1*L92)/S92</f>
        <v>1.76767676767677</v>
      </c>
      <c r="U92" s="134" t="n">
        <f aca="false">T92*3.28</f>
        <v>5.7979797979798</v>
      </c>
      <c r="W92" s="138" t="n">
        <v>0.28</v>
      </c>
      <c r="X92" s="137" t="n">
        <f aca="false">(W92*F92)/100</f>
        <v>0.0330624</v>
      </c>
      <c r="Y92" s="138" t="n">
        <f aca="false">6*M92/1000</f>
        <v>1.0668</v>
      </c>
    </row>
    <row r="93" customFormat="false" ht="14.25" hidden="false" customHeight="false" outlineLevel="0" collapsed="false">
      <c r="B93" s="112" t="s">
        <v>369</v>
      </c>
      <c r="D93" s="126" t="s">
        <v>645</v>
      </c>
      <c r="E93" s="127" t="n">
        <f aca="false">SUM(E69:E74)</f>
        <v>922</v>
      </c>
      <c r="F93" s="128" t="n">
        <f aca="false">R93</f>
        <v>32.472</v>
      </c>
      <c r="G93" s="131" t="n">
        <v>0.21</v>
      </c>
      <c r="H93" s="131" t="n">
        <v>0.13</v>
      </c>
      <c r="I93" s="126" t="n">
        <f aca="false">G93-H93</f>
        <v>0.08</v>
      </c>
      <c r="J93" s="130" t="n">
        <f aca="false">J85-I93</f>
        <v>1.308888</v>
      </c>
      <c r="K93" s="129" t="n">
        <v>1.5</v>
      </c>
      <c r="L93" s="131" t="n">
        <v>14</v>
      </c>
      <c r="M93" s="126" t="n">
        <f aca="false">L93*25.4</f>
        <v>355.6</v>
      </c>
      <c r="N93" s="126"/>
      <c r="O93" s="131" t="n">
        <v>1300</v>
      </c>
      <c r="P93" s="132" t="n">
        <f aca="false">O93/60</f>
        <v>21.6666666666667</v>
      </c>
      <c r="Q93" s="133" t="n">
        <f aca="false">2.5+7.4</f>
        <v>9.9</v>
      </c>
      <c r="R93" s="134" t="n">
        <f aca="false">Q93*3.28</f>
        <v>32.472</v>
      </c>
      <c r="S93" s="135" t="n">
        <f aca="false">0.33*12</f>
        <v>3.96</v>
      </c>
      <c r="T93" s="134" t="n">
        <f aca="false">(1*L93)/S93</f>
        <v>3.53535353535354</v>
      </c>
      <c r="U93" s="134" t="n">
        <f aca="false">T93*3.28</f>
        <v>11.5959595959596</v>
      </c>
      <c r="W93" s="136" t="n">
        <v>0.18</v>
      </c>
      <c r="X93" s="137" t="n">
        <f aca="false">(W93*F93)/100</f>
        <v>0.0584496</v>
      </c>
      <c r="Y93" s="138" t="n">
        <f aca="false">6*M93/1000</f>
        <v>2.1336</v>
      </c>
    </row>
    <row r="94" customFormat="false" ht="14.25" hidden="false" customHeight="false" outlineLevel="0" collapsed="false">
      <c r="B94" s="112" t="s">
        <v>369</v>
      </c>
      <c r="D94" s="126" t="s">
        <v>646</v>
      </c>
      <c r="E94" s="127" t="n">
        <f aca="false">E70</f>
        <v>242</v>
      </c>
      <c r="F94" s="128" t="n">
        <f aca="false">R94</f>
        <v>4.592</v>
      </c>
      <c r="G94" s="131" t="n">
        <v>0.11</v>
      </c>
      <c r="H94" s="131" t="n">
        <v>0.1</v>
      </c>
      <c r="I94" s="126" t="n">
        <f aca="false">G94-H94</f>
        <v>0.01</v>
      </c>
      <c r="J94" s="130" t="n">
        <f aca="false">J93-I94</f>
        <v>1.298888</v>
      </c>
      <c r="K94" s="129" t="n">
        <v>1.5</v>
      </c>
      <c r="L94" s="131" t="n">
        <v>8</v>
      </c>
      <c r="M94" s="126" t="n">
        <f aca="false">L94*25.4</f>
        <v>203.2</v>
      </c>
      <c r="N94" s="126"/>
      <c r="O94" s="125" t="n">
        <v>1000</v>
      </c>
      <c r="P94" s="132" t="n">
        <f aca="false">O94/60</f>
        <v>16.6666666666667</v>
      </c>
      <c r="Q94" s="133" t="n">
        <v>1.4</v>
      </c>
      <c r="R94" s="134" t="n">
        <f aca="false">Q94*3.28</f>
        <v>4.592</v>
      </c>
      <c r="S94" s="135" t="n">
        <f aca="false">0.33*12</f>
        <v>3.96</v>
      </c>
      <c r="T94" s="134" t="n">
        <f aca="false">(1*L94)/S94</f>
        <v>2.02020202020202</v>
      </c>
      <c r="U94" s="134" t="n">
        <f aca="false">T94*3.28</f>
        <v>6.62626262626263</v>
      </c>
      <c r="W94" s="138" t="n">
        <v>0.28</v>
      </c>
      <c r="X94" s="137" t="n">
        <f aca="false">(W94*F94)/100</f>
        <v>0.0128576</v>
      </c>
      <c r="Y94" s="138" t="n">
        <f aca="false">6*M94/1000</f>
        <v>1.2192</v>
      </c>
    </row>
    <row r="95" customFormat="false" ht="14.25" hidden="false" customHeight="false" outlineLevel="0" collapsed="false">
      <c r="B95" s="112" t="s">
        <v>369</v>
      </c>
      <c r="D95" s="126" t="s">
        <v>647</v>
      </c>
      <c r="E95" s="127" t="n">
        <f aca="false">E93-E94</f>
        <v>680</v>
      </c>
      <c r="F95" s="128" t="n">
        <f aca="false">R95</f>
        <v>22.96</v>
      </c>
      <c r="G95" s="131" t="n">
        <v>0.95</v>
      </c>
      <c r="H95" s="131" t="n">
        <v>0.068</v>
      </c>
      <c r="I95" s="126" t="n">
        <f aca="false">G95-H95</f>
        <v>0.882</v>
      </c>
      <c r="J95" s="130" t="n">
        <f aca="false">J93-I95</f>
        <v>0.426888</v>
      </c>
      <c r="K95" s="129" t="n">
        <v>1.5</v>
      </c>
      <c r="L95" s="131" t="n">
        <v>14</v>
      </c>
      <c r="M95" s="126" t="n">
        <f aca="false">L95*25.4</f>
        <v>355.6</v>
      </c>
      <c r="N95" s="126"/>
      <c r="O95" s="125" t="n">
        <v>1000</v>
      </c>
      <c r="P95" s="132" t="n">
        <f aca="false">O95/60</f>
        <v>16.6666666666667</v>
      </c>
      <c r="Q95" s="133" t="n">
        <f aca="false">1.8+2.6+2.6</f>
        <v>7</v>
      </c>
      <c r="R95" s="134" t="n">
        <f aca="false">Q95*3.28</f>
        <v>22.96</v>
      </c>
      <c r="S95" s="135" t="n">
        <f aca="false">0.33*12</f>
        <v>3.96</v>
      </c>
      <c r="T95" s="134" t="n">
        <f aca="false">(1*L95)/S95</f>
        <v>3.53535353535354</v>
      </c>
      <c r="U95" s="134" t="n">
        <f aca="false">T95*3.28</f>
        <v>11.5959595959596</v>
      </c>
      <c r="W95" s="138" t="n">
        <v>0.12</v>
      </c>
      <c r="X95" s="137" t="n">
        <f aca="false">(W95*F95)/100</f>
        <v>0.027552</v>
      </c>
      <c r="Y95" s="138" t="n">
        <f aca="false">6*M95/1000</f>
        <v>2.1336</v>
      </c>
    </row>
    <row r="96" customFormat="false" ht="14.25" hidden="false" customHeight="false" outlineLevel="0" collapsed="false">
      <c r="B96" s="112" t="s">
        <v>369</v>
      </c>
      <c r="D96" s="126" t="s">
        <v>648</v>
      </c>
      <c r="E96" s="127" t="n">
        <f aca="false">E74</f>
        <v>139</v>
      </c>
      <c r="F96" s="128" t="n">
        <f aca="false">R96</f>
        <v>5.248</v>
      </c>
      <c r="G96" s="131" t="n">
        <v>0.06</v>
      </c>
      <c r="H96" s="131" t="n">
        <v>0.06</v>
      </c>
      <c r="I96" s="126" t="n">
        <f aca="false">G96-H96</f>
        <v>0</v>
      </c>
      <c r="J96" s="130" t="n">
        <f aca="false">J95-I96</f>
        <v>0.426888</v>
      </c>
      <c r="K96" s="129" t="n">
        <v>1.5</v>
      </c>
      <c r="L96" s="131" t="n">
        <v>7</v>
      </c>
      <c r="M96" s="126" t="n">
        <f aca="false">L96*25.4</f>
        <v>177.8</v>
      </c>
      <c r="N96" s="126"/>
      <c r="O96" s="125" t="n">
        <v>1000</v>
      </c>
      <c r="P96" s="132" t="n">
        <f aca="false">O96/60</f>
        <v>16.6666666666667</v>
      </c>
      <c r="Q96" s="133" t="n">
        <f aca="false">0.7+0.9</f>
        <v>1.6</v>
      </c>
      <c r="R96" s="134" t="n">
        <f aca="false">Q96*3.28</f>
        <v>5.248</v>
      </c>
      <c r="S96" s="135" t="n">
        <f aca="false">0.33*12</f>
        <v>3.96</v>
      </c>
      <c r="T96" s="134" t="n">
        <f aca="false">(1*L96)/S96</f>
        <v>1.76767676767677</v>
      </c>
      <c r="U96" s="134" t="n">
        <f aca="false">T96*3.28</f>
        <v>5.7979797979798</v>
      </c>
      <c r="W96" s="138" t="n">
        <v>0.28</v>
      </c>
      <c r="X96" s="137" t="n">
        <f aca="false">(W96*F96)/100</f>
        <v>0.0146944</v>
      </c>
      <c r="Y96" s="138" t="n">
        <f aca="false">6*M96/1000</f>
        <v>1.0668</v>
      </c>
    </row>
    <row r="97" customFormat="false" ht="14.25" hidden="false" customHeight="false" outlineLevel="0" collapsed="false">
      <c r="B97" s="112" t="s">
        <v>369</v>
      </c>
      <c r="D97" s="126" t="s">
        <v>649</v>
      </c>
      <c r="E97" s="127" t="n">
        <f aca="false">E95-E96</f>
        <v>541</v>
      </c>
      <c r="F97" s="128" t="n">
        <f aca="false">R97</f>
        <v>7.544</v>
      </c>
      <c r="G97" s="131" t="n">
        <v>0.06</v>
      </c>
      <c r="H97" s="131" t="n">
        <v>0.06</v>
      </c>
      <c r="I97" s="126" t="n">
        <f aca="false">G97-H97</f>
        <v>0</v>
      </c>
      <c r="J97" s="130" t="n">
        <f aca="false">J95-I97</f>
        <v>0.426888</v>
      </c>
      <c r="K97" s="129" t="n">
        <v>1.5</v>
      </c>
      <c r="L97" s="131" t="n">
        <v>14</v>
      </c>
      <c r="M97" s="126" t="n">
        <f aca="false">L97*25.4</f>
        <v>355.6</v>
      </c>
      <c r="N97" s="126"/>
      <c r="O97" s="125" t="n">
        <v>1000</v>
      </c>
      <c r="P97" s="132" t="n">
        <f aca="false">O97/60</f>
        <v>16.6666666666667</v>
      </c>
      <c r="Q97" s="133" t="n">
        <v>2.3</v>
      </c>
      <c r="R97" s="134" t="n">
        <f aca="false">Q97*3.28</f>
        <v>7.544</v>
      </c>
      <c r="S97" s="135" t="n">
        <f aca="false">0.33*12</f>
        <v>3.96</v>
      </c>
      <c r="T97" s="134" t="n">
        <f aca="false">(1*L97)/S97</f>
        <v>3.53535353535354</v>
      </c>
      <c r="U97" s="134" t="n">
        <f aca="false">T97*3.28</f>
        <v>11.5959595959596</v>
      </c>
      <c r="W97" s="138" t="n">
        <v>0.12</v>
      </c>
      <c r="X97" s="137" t="n">
        <f aca="false">(W97*F97)/100</f>
        <v>0.0090528</v>
      </c>
      <c r="Y97" s="138" t="n">
        <f aca="false">6*M97/1000</f>
        <v>2.1336</v>
      </c>
    </row>
    <row r="98" customFormat="false" ht="14.25" hidden="false" customHeight="false" outlineLevel="0" collapsed="false">
      <c r="B98" s="112" t="s">
        <v>369</v>
      </c>
      <c r="D98" s="126" t="s">
        <v>650</v>
      </c>
      <c r="E98" s="127" t="n">
        <f aca="false">E73</f>
        <v>108</v>
      </c>
      <c r="F98" s="128" t="n">
        <f aca="false">R98</f>
        <v>2.952</v>
      </c>
      <c r="G98" s="131" t="n">
        <v>0.06</v>
      </c>
      <c r="H98" s="131" t="n">
        <v>0.06</v>
      </c>
      <c r="I98" s="126" t="n">
        <f aca="false">G98-H98</f>
        <v>0</v>
      </c>
      <c r="J98" s="130" t="n">
        <f aca="false">J97-I98</f>
        <v>0.426888</v>
      </c>
      <c r="K98" s="129" t="n">
        <v>1.5</v>
      </c>
      <c r="L98" s="131" t="n">
        <v>7</v>
      </c>
      <c r="M98" s="126" t="n">
        <f aca="false">L98*25.4</f>
        <v>177.8</v>
      </c>
      <c r="N98" s="126"/>
      <c r="O98" s="125" t="n">
        <v>1000</v>
      </c>
      <c r="P98" s="132" t="n">
        <f aca="false">O98/60</f>
        <v>16.6666666666667</v>
      </c>
      <c r="Q98" s="133" t="n">
        <v>0.9</v>
      </c>
      <c r="R98" s="134" t="n">
        <f aca="false">Q98*3.28</f>
        <v>2.952</v>
      </c>
      <c r="S98" s="135" t="n">
        <f aca="false">0.33*12</f>
        <v>3.96</v>
      </c>
      <c r="T98" s="134" t="n">
        <f aca="false">(1*L98)/S98</f>
        <v>1.76767676767677</v>
      </c>
      <c r="U98" s="134" t="n">
        <f aca="false">T98*3.28</f>
        <v>5.7979797979798</v>
      </c>
      <c r="W98" s="138" t="n">
        <v>0.28</v>
      </c>
      <c r="X98" s="137" t="n">
        <f aca="false">(W98*F98)/100</f>
        <v>0.0082656</v>
      </c>
      <c r="Y98" s="138" t="n">
        <f aca="false">6*M98/1000</f>
        <v>1.0668</v>
      </c>
    </row>
    <row r="99" customFormat="false" ht="14.25" hidden="false" customHeight="false" outlineLevel="0" collapsed="false">
      <c r="B99" s="112" t="s">
        <v>369</v>
      </c>
      <c r="D99" s="126" t="s">
        <v>651</v>
      </c>
      <c r="E99" s="127" t="n">
        <f aca="false">E97-E98</f>
        <v>433</v>
      </c>
      <c r="F99" s="128" t="n">
        <f aca="false">R99</f>
        <v>11.48</v>
      </c>
      <c r="G99" s="131" t="n">
        <v>0.06</v>
      </c>
      <c r="H99" s="131" t="n">
        <v>0.06</v>
      </c>
      <c r="I99" s="126" t="n">
        <f aca="false">G99-H99</f>
        <v>0</v>
      </c>
      <c r="J99" s="130" t="n">
        <f aca="false">J97-I99</f>
        <v>0.426888</v>
      </c>
      <c r="K99" s="129" t="n">
        <v>1.5</v>
      </c>
      <c r="L99" s="131" t="n">
        <v>12</v>
      </c>
      <c r="M99" s="126" t="n">
        <f aca="false">L99*25.4</f>
        <v>304.8</v>
      </c>
      <c r="N99" s="126"/>
      <c r="O99" s="125" t="n">
        <v>1000</v>
      </c>
      <c r="P99" s="132" t="n">
        <f aca="false">O99/60</f>
        <v>16.6666666666667</v>
      </c>
      <c r="Q99" s="133" t="n">
        <v>3.5</v>
      </c>
      <c r="R99" s="134" t="n">
        <f aca="false">Q99*3.28</f>
        <v>11.48</v>
      </c>
      <c r="S99" s="135" t="n">
        <f aca="false">0.33*12</f>
        <v>3.96</v>
      </c>
      <c r="T99" s="134" t="n">
        <f aca="false">(1*L99)/S99</f>
        <v>3.03030303030303</v>
      </c>
      <c r="U99" s="134" t="n">
        <f aca="false">T99*3.28</f>
        <v>9.93939393939394</v>
      </c>
      <c r="W99" s="138" t="n">
        <v>0.14</v>
      </c>
      <c r="X99" s="137" t="n">
        <f aca="false">(W99*F99)/100</f>
        <v>0.016072</v>
      </c>
      <c r="Y99" s="138" t="n">
        <f aca="false">6*M99/1000</f>
        <v>1.8288</v>
      </c>
    </row>
    <row r="100" customFormat="false" ht="14.25" hidden="false" customHeight="false" outlineLevel="0" collapsed="false">
      <c r="B100" s="112" t="s">
        <v>369</v>
      </c>
      <c r="D100" s="126" t="s">
        <v>652</v>
      </c>
      <c r="E100" s="127" t="n">
        <f aca="false">E72</f>
        <v>91</v>
      </c>
      <c r="F100" s="128" t="n">
        <f aca="false">R100</f>
        <v>2.952</v>
      </c>
      <c r="G100" s="131" t="n">
        <v>0.06</v>
      </c>
      <c r="H100" s="131" t="n">
        <v>0.06</v>
      </c>
      <c r="I100" s="126" t="n">
        <f aca="false">G100-H100</f>
        <v>0</v>
      </c>
      <c r="J100" s="130" t="n">
        <f aca="false">J99-I100</f>
        <v>0.426888</v>
      </c>
      <c r="K100" s="129" t="n">
        <v>1.5</v>
      </c>
      <c r="L100" s="131" t="n">
        <v>6</v>
      </c>
      <c r="M100" s="126" t="n">
        <f aca="false">L100*25.4</f>
        <v>152.4</v>
      </c>
      <c r="N100" s="126"/>
      <c r="O100" s="125" t="n">
        <v>1000</v>
      </c>
      <c r="P100" s="132" t="n">
        <f aca="false">O100/60</f>
        <v>16.6666666666667</v>
      </c>
      <c r="Q100" s="133" t="n">
        <v>0.9</v>
      </c>
      <c r="R100" s="134" t="n">
        <f aca="false">Q100*3.28</f>
        <v>2.952</v>
      </c>
      <c r="S100" s="135" t="n">
        <f aca="false">0.33*12</f>
        <v>3.96</v>
      </c>
      <c r="T100" s="134" t="n">
        <f aca="false">(1*L100)/S100</f>
        <v>1.51515151515152</v>
      </c>
      <c r="U100" s="134" t="n">
        <f aca="false">T100*3.28</f>
        <v>4.96969696969697</v>
      </c>
      <c r="W100" s="138" t="n">
        <v>0.3</v>
      </c>
      <c r="X100" s="137" t="n">
        <f aca="false">(W100*F100)/100</f>
        <v>0.008856</v>
      </c>
      <c r="Y100" s="138" t="n">
        <f aca="false">6*M100/1000</f>
        <v>0.9144</v>
      </c>
    </row>
    <row r="101" customFormat="false" ht="14.25" hidden="false" customHeight="false" outlineLevel="0" collapsed="false">
      <c r="B101" s="112" t="s">
        <v>369</v>
      </c>
      <c r="D101" s="126" t="s">
        <v>653</v>
      </c>
      <c r="E101" s="127" t="n">
        <f aca="false">E99-E100</f>
        <v>342</v>
      </c>
      <c r="F101" s="128" t="n">
        <f aca="false">R101</f>
        <v>9.512</v>
      </c>
      <c r="G101" s="131" t="n">
        <v>0.06</v>
      </c>
      <c r="H101" s="131" t="n">
        <v>0.06</v>
      </c>
      <c r="I101" s="126" t="n">
        <f aca="false">G101-H101</f>
        <v>0</v>
      </c>
      <c r="J101" s="130" t="n">
        <f aca="false">J99-I101</f>
        <v>0.426888</v>
      </c>
      <c r="K101" s="129" t="n">
        <v>1.5</v>
      </c>
      <c r="L101" s="131" t="n">
        <v>11</v>
      </c>
      <c r="M101" s="126" t="n">
        <f aca="false">L101*25.4</f>
        <v>279.4</v>
      </c>
      <c r="N101" s="126"/>
      <c r="O101" s="125" t="n">
        <v>1000</v>
      </c>
      <c r="P101" s="132" t="n">
        <f aca="false">O101/60</f>
        <v>16.6666666666667</v>
      </c>
      <c r="Q101" s="133" t="n">
        <v>2.9</v>
      </c>
      <c r="R101" s="134" t="n">
        <f aca="false">Q101*3.28</f>
        <v>9.512</v>
      </c>
      <c r="S101" s="135" t="n">
        <f aca="false">0.33*12</f>
        <v>3.96</v>
      </c>
      <c r="T101" s="134" t="n">
        <f aca="false">(1*L101)/S101</f>
        <v>2.77777777777778</v>
      </c>
      <c r="U101" s="134" t="n">
        <f aca="false">T101*3.28</f>
        <v>9.11111111111111</v>
      </c>
      <c r="W101" s="138" t="n">
        <v>0.15</v>
      </c>
      <c r="X101" s="137" t="n">
        <f aca="false">(W101*F101)/100</f>
        <v>0.014268</v>
      </c>
      <c r="Y101" s="138" t="n">
        <f aca="false">6*M101/1000</f>
        <v>1.6764</v>
      </c>
    </row>
    <row r="102" customFormat="false" ht="14.25" hidden="false" customHeight="false" outlineLevel="0" collapsed="false">
      <c r="B102" s="112" t="s">
        <v>369</v>
      </c>
      <c r="D102" s="126" t="s">
        <v>654</v>
      </c>
      <c r="E102" s="127" t="n">
        <f aca="false">E71</f>
        <v>175</v>
      </c>
      <c r="F102" s="128" t="n">
        <f aca="false">R102</f>
        <v>9.84</v>
      </c>
      <c r="G102" s="131" t="n">
        <v>0.06</v>
      </c>
      <c r="H102" s="131" t="n">
        <v>0.06</v>
      </c>
      <c r="I102" s="126" t="n">
        <f aca="false">G102-H102</f>
        <v>0</v>
      </c>
      <c r="J102" s="130" t="n">
        <f aca="false">J100-I102</f>
        <v>0.426888</v>
      </c>
      <c r="K102" s="129" t="n">
        <v>1.5</v>
      </c>
      <c r="L102" s="131" t="n">
        <v>8</v>
      </c>
      <c r="M102" s="126" t="n">
        <f aca="false">L102*25.4</f>
        <v>203.2</v>
      </c>
      <c r="N102" s="126"/>
      <c r="O102" s="125" t="n">
        <v>1000</v>
      </c>
      <c r="P102" s="132" t="n">
        <f aca="false">O102/60</f>
        <v>16.6666666666667</v>
      </c>
      <c r="Q102" s="133" t="n">
        <f aca="false">1.9+1.1</f>
        <v>3</v>
      </c>
      <c r="R102" s="134" t="n">
        <f aca="false">Q102*3.28</f>
        <v>9.84</v>
      </c>
      <c r="S102" s="135" t="n">
        <f aca="false">0.33*12</f>
        <v>3.96</v>
      </c>
      <c r="T102" s="134" t="n">
        <f aca="false">(1*L102)/S102</f>
        <v>2.02020202020202</v>
      </c>
      <c r="U102" s="134" t="n">
        <f aca="false">T102*3.28</f>
        <v>6.62626262626263</v>
      </c>
      <c r="W102" s="138" t="n">
        <v>0.15</v>
      </c>
      <c r="X102" s="137" t="n">
        <f aca="false">(W102*F102)/100</f>
        <v>0.01476</v>
      </c>
      <c r="Y102" s="138" t="n">
        <f aca="false">6*M102/1000</f>
        <v>1.2192</v>
      </c>
    </row>
    <row r="103" customFormat="false" ht="14.25" hidden="false" customHeight="false" outlineLevel="0" collapsed="false">
      <c r="B103" s="112" t="s">
        <v>369</v>
      </c>
      <c r="D103" s="126" t="s">
        <v>655</v>
      </c>
      <c r="E103" s="127" t="n">
        <f aca="false">E72</f>
        <v>91</v>
      </c>
      <c r="F103" s="128" t="n">
        <f aca="false">R103</f>
        <v>24.928</v>
      </c>
      <c r="G103" s="131" t="n">
        <v>0.06</v>
      </c>
      <c r="H103" s="131" t="n">
        <v>0.06</v>
      </c>
      <c r="I103" s="126" t="n">
        <f aca="false">G103-H103</f>
        <v>0</v>
      </c>
      <c r="J103" s="130" t="n">
        <f aca="false">J101-I103</f>
        <v>0.426888</v>
      </c>
      <c r="K103" s="129" t="n">
        <v>1.5</v>
      </c>
      <c r="L103" s="131" t="n">
        <v>7</v>
      </c>
      <c r="M103" s="126" t="n">
        <f aca="false">L103*25.4</f>
        <v>177.8</v>
      </c>
      <c r="N103" s="126"/>
      <c r="O103" s="125" t="n">
        <v>1000</v>
      </c>
      <c r="P103" s="132" t="n">
        <f aca="false">O103/60</f>
        <v>16.6666666666667</v>
      </c>
      <c r="Q103" s="133" t="n">
        <f aca="false">1.9+5+0.7</f>
        <v>7.6</v>
      </c>
      <c r="R103" s="134" t="n">
        <f aca="false">Q103*3.28</f>
        <v>24.928</v>
      </c>
      <c r="S103" s="135" t="n">
        <f aca="false">0.33*12</f>
        <v>3.96</v>
      </c>
      <c r="T103" s="134" t="n">
        <f aca="false">(1*L103)/S103</f>
        <v>1.76767676767677</v>
      </c>
      <c r="U103" s="134" t="n">
        <f aca="false">T103*3.28</f>
        <v>5.7979797979798</v>
      </c>
      <c r="W103" s="138" t="n">
        <v>0.28</v>
      </c>
      <c r="X103" s="137" t="n">
        <f aca="false">(W103*F103)/100</f>
        <v>0.0697984</v>
      </c>
      <c r="Y103" s="138" t="n">
        <f aca="false">6*M103/1000</f>
        <v>1.0668</v>
      </c>
    </row>
    <row r="105" customFormat="false" ht="14.25" hidden="false" customHeight="false" outlineLevel="0" collapsed="false">
      <c r="D105" s="113" t="s">
        <v>656</v>
      </c>
    </row>
    <row r="106" customFormat="false" ht="14.25" hidden="false" customHeight="false" outlineLevel="0" collapsed="false">
      <c r="E106" s="112" t="s">
        <v>126</v>
      </c>
    </row>
    <row r="107" customFormat="false" ht="15" hidden="false" customHeight="false" outlineLevel="0" collapsed="false">
      <c r="D107" s="143" t="s">
        <v>64</v>
      </c>
      <c r="E107" s="114" t="n">
        <f aca="false">DUCTING!M36</f>
        <v>99</v>
      </c>
    </row>
    <row r="108" customFormat="false" ht="15" hidden="false" customHeight="false" outlineLevel="0" collapsed="false">
      <c r="D108" s="143" t="s">
        <v>63</v>
      </c>
      <c r="E108" s="114" t="n">
        <f aca="false">DUCTING!M35</f>
        <v>64</v>
      </c>
    </row>
    <row r="109" customFormat="false" ht="15" hidden="false" customHeight="false" outlineLevel="0" collapsed="false">
      <c r="D109" s="143" t="s">
        <v>62</v>
      </c>
      <c r="E109" s="114" t="n">
        <f aca="false">DUCTING!M34</f>
        <v>130</v>
      </c>
    </row>
    <row r="110" customFormat="false" ht="15" hidden="false" customHeight="false" outlineLevel="0" collapsed="false">
      <c r="D110" s="143" t="s">
        <v>657</v>
      </c>
      <c r="E110" s="114" t="n">
        <f aca="false">DUCTING!M33</f>
        <v>50</v>
      </c>
    </row>
    <row r="111" customFormat="false" ht="15" hidden="false" customHeight="false" outlineLevel="0" collapsed="false">
      <c r="D111" s="143" t="s">
        <v>658</v>
      </c>
      <c r="E111" s="114" t="n">
        <f aca="false">DUCTING!M32</f>
        <v>118</v>
      </c>
    </row>
    <row r="112" customFormat="false" ht="15" hidden="false" customHeight="false" outlineLevel="0" collapsed="false">
      <c r="D112" s="143" t="s">
        <v>659</v>
      </c>
      <c r="E112" s="114" t="n">
        <f aca="false">DUCTING!M37</f>
        <v>240</v>
      </c>
    </row>
    <row r="113" customFormat="false" ht="15" hidden="false" customHeight="false" outlineLevel="0" collapsed="false">
      <c r="D113" s="143" t="s">
        <v>660</v>
      </c>
      <c r="E113" s="114" t="n">
        <f aca="false">DUCTING!M39</f>
        <v>86</v>
      </c>
    </row>
    <row r="114" customFormat="false" ht="15" hidden="false" customHeight="false" outlineLevel="0" collapsed="false">
      <c r="D114" s="143" t="s">
        <v>661</v>
      </c>
      <c r="E114" s="114" t="n">
        <f aca="false">DUCTING!M38</f>
        <v>106</v>
      </c>
    </row>
    <row r="115" customFormat="false" ht="15" hidden="false" customHeight="false" outlineLevel="0" collapsed="false">
      <c r="D115" s="27" t="s">
        <v>662</v>
      </c>
      <c r="E115" s="114" t="n">
        <f aca="false">DUCTING!M41</f>
        <v>88</v>
      </c>
    </row>
    <row r="116" customFormat="false" ht="15" hidden="false" customHeight="false" outlineLevel="0" collapsed="false">
      <c r="D116" s="27" t="s">
        <v>69</v>
      </c>
      <c r="E116" s="114" t="n">
        <f aca="false">DUCTING!M40</f>
        <v>126</v>
      </c>
    </row>
    <row r="117" customFormat="false" ht="14.25" hidden="false" customHeight="false" outlineLevel="0" collapsed="false">
      <c r="D117" s="115"/>
      <c r="E117" s="114" t="n">
        <f aca="false">SUM(E107:E116)</f>
        <v>1107</v>
      </c>
    </row>
    <row r="119" customFormat="false" ht="14.25" hidden="false" customHeight="true" outlineLevel="0" collapsed="false">
      <c r="B119" s="144" t="s">
        <v>74</v>
      </c>
      <c r="C119" s="145" t="s">
        <v>663</v>
      </c>
      <c r="D119" s="119" t="s">
        <v>576</v>
      </c>
      <c r="E119" s="119" t="s">
        <v>577</v>
      </c>
      <c r="F119" s="119" t="s">
        <v>578</v>
      </c>
      <c r="G119" s="119" t="s">
        <v>579</v>
      </c>
      <c r="H119" s="119"/>
      <c r="I119" s="119" t="s">
        <v>580</v>
      </c>
      <c r="J119" s="119" t="s">
        <v>581</v>
      </c>
      <c r="K119" s="119" t="s">
        <v>582</v>
      </c>
      <c r="L119" s="119" t="s">
        <v>632</v>
      </c>
      <c r="M119" s="119" t="s">
        <v>664</v>
      </c>
      <c r="N119" s="119" t="s">
        <v>665</v>
      </c>
      <c r="O119" s="119" t="s">
        <v>585</v>
      </c>
      <c r="P119" s="119" t="s">
        <v>586</v>
      </c>
      <c r="Q119" s="146" t="s">
        <v>587</v>
      </c>
      <c r="R119" s="146" t="s">
        <v>588</v>
      </c>
      <c r="S119" s="147" t="s">
        <v>589</v>
      </c>
      <c r="T119" s="146" t="s">
        <v>590</v>
      </c>
      <c r="U119" s="146" t="s">
        <v>591</v>
      </c>
      <c r="V119" s="144" t="s">
        <v>592</v>
      </c>
      <c r="W119" s="144" t="s">
        <v>593</v>
      </c>
      <c r="X119" s="144" t="s">
        <v>594</v>
      </c>
      <c r="Y119" s="144" t="s">
        <v>595</v>
      </c>
      <c r="Z119" s="148" t="s">
        <v>666</v>
      </c>
      <c r="AA119" s="148"/>
      <c r="AB119" s="148"/>
      <c r="AC119" s="148"/>
      <c r="AD119" s="148"/>
      <c r="AE119" s="148"/>
      <c r="AF119" s="148"/>
      <c r="AG119" s="148"/>
      <c r="AH119" s="148"/>
    </row>
    <row r="120" customFormat="false" ht="60.75" hidden="false" customHeight="true" outlineLevel="0" collapsed="false">
      <c r="B120" s="144"/>
      <c r="C120" s="145"/>
      <c r="D120" s="119"/>
      <c r="E120" s="119"/>
      <c r="F120" s="119"/>
      <c r="G120" s="125" t="s">
        <v>596</v>
      </c>
      <c r="H120" s="125" t="s">
        <v>597</v>
      </c>
      <c r="I120" s="119"/>
      <c r="J120" s="119"/>
      <c r="K120" s="119"/>
      <c r="L120" s="119"/>
      <c r="M120" s="119"/>
      <c r="N120" s="119"/>
      <c r="O120" s="119"/>
      <c r="P120" s="119"/>
      <c r="Q120" s="146"/>
      <c r="R120" s="146"/>
      <c r="S120" s="147"/>
      <c r="T120" s="146"/>
      <c r="U120" s="146"/>
      <c r="V120" s="144"/>
      <c r="W120" s="144"/>
      <c r="X120" s="144"/>
      <c r="Y120" s="144"/>
      <c r="Z120" s="149" t="s">
        <v>667</v>
      </c>
      <c r="AA120" s="149" t="s">
        <v>668</v>
      </c>
      <c r="AB120" s="149" t="s">
        <v>668</v>
      </c>
      <c r="AC120" s="150" t="s">
        <v>126</v>
      </c>
      <c r="AD120" s="149" t="s">
        <v>669</v>
      </c>
      <c r="AE120" s="149" t="s">
        <v>669</v>
      </c>
      <c r="AF120" s="151" t="s">
        <v>586</v>
      </c>
      <c r="AG120" s="152" t="s">
        <v>670</v>
      </c>
      <c r="AH120" s="152" t="s">
        <v>670</v>
      </c>
    </row>
    <row r="121" customFormat="false" ht="14.25" hidden="false" customHeight="false" outlineLevel="0" collapsed="false">
      <c r="B121" s="129" t="s">
        <v>671</v>
      </c>
      <c r="C121" s="129"/>
      <c r="D121" s="126" t="s">
        <v>672</v>
      </c>
      <c r="E121" s="127" t="n">
        <v>1107</v>
      </c>
      <c r="F121" s="153" t="n">
        <f aca="false">R121</f>
        <v>60.682296</v>
      </c>
      <c r="G121" s="129"/>
      <c r="H121" s="129"/>
      <c r="I121" s="126" t="n">
        <v>1.5</v>
      </c>
      <c r="J121" s="130" t="n">
        <f aca="false">I121+I122</f>
        <v>1.833752628</v>
      </c>
      <c r="K121" s="129" t="n">
        <v>1.5</v>
      </c>
      <c r="L121" s="131" t="n">
        <v>10</v>
      </c>
      <c r="M121" s="154" t="n">
        <f aca="false">L121*25.4</f>
        <v>254</v>
      </c>
      <c r="N121" s="154" t="n">
        <f aca="false">M121/2 /1000</f>
        <v>0.127</v>
      </c>
      <c r="O121" s="131" t="n">
        <v>2000</v>
      </c>
      <c r="P121" s="153" t="n">
        <f aca="false">O121/60</f>
        <v>33.3333333333333</v>
      </c>
      <c r="Q121" s="155" t="n">
        <f aca="false">1.3+1.1025+1.2125+4.2+3.25+1.1257+(2.7*2)+0.91</f>
        <v>18.5007</v>
      </c>
      <c r="R121" s="128" t="n">
        <f aca="false">Q121*3.28</f>
        <v>60.682296</v>
      </c>
      <c r="S121" s="126" t="n">
        <f aca="false">0.33*12</f>
        <v>3.96</v>
      </c>
      <c r="T121" s="128" t="n">
        <f aca="false">(1*L121)/S121</f>
        <v>2.52525252525253</v>
      </c>
      <c r="U121" s="128" t="n">
        <f aca="false">T121*3.28</f>
        <v>8.28282828282828</v>
      </c>
      <c r="V121" s="129"/>
      <c r="W121" s="131" t="n">
        <v>0.55</v>
      </c>
      <c r="X121" s="154" t="n">
        <f aca="false">(W121*F121)/100</f>
        <v>0.333752628</v>
      </c>
      <c r="Y121" s="125" t="n">
        <f aca="false">6*M121/1000</f>
        <v>1.524</v>
      </c>
      <c r="Z121" s="129" t="n">
        <v>10</v>
      </c>
      <c r="AA121" s="156" t="n">
        <f aca="false">(Z121-L121)/L121*100</f>
        <v>0</v>
      </c>
      <c r="AB121" s="129" t="n">
        <f aca="false">ABS((Z121-L121)/L121*100)</f>
        <v>0</v>
      </c>
      <c r="AC121" s="129" t="n">
        <v>1107</v>
      </c>
      <c r="AD121" s="129" t="n">
        <f aca="false">(AC121-E121)/E121*100</f>
        <v>0</v>
      </c>
      <c r="AE121" s="129" t="n">
        <f aca="false">ABS((AC121-E121)/E121*100)</f>
        <v>0</v>
      </c>
      <c r="AF121" s="112" t="n">
        <v>34.795</v>
      </c>
      <c r="AG121" s="112" t="n">
        <f aca="false">(AF121-P121)/P121*100</f>
        <v>4.385</v>
      </c>
      <c r="AH121" s="112" t="n">
        <f aca="false">ABS((AF121-P121)/P121*100)</f>
        <v>4.385</v>
      </c>
    </row>
    <row r="122" customFormat="false" ht="14.25" hidden="false" customHeight="false" outlineLevel="0" collapsed="false">
      <c r="B122" s="129"/>
      <c r="C122" s="129"/>
      <c r="D122" s="129"/>
      <c r="E122" s="129"/>
      <c r="F122" s="154"/>
      <c r="G122" s="129"/>
      <c r="H122" s="129"/>
      <c r="I122" s="129" t="n">
        <f aca="false">X121</f>
        <v>0.333752628</v>
      </c>
      <c r="J122" s="129"/>
      <c r="K122" s="129"/>
      <c r="L122" s="129"/>
      <c r="M122" s="154"/>
      <c r="N122" s="154" t="n">
        <f aca="false">M122/2 /1000</f>
        <v>0</v>
      </c>
      <c r="O122" s="129"/>
      <c r="P122" s="153" t="n">
        <f aca="false">O122/60</f>
        <v>0</v>
      </c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56"/>
      <c r="AB122" s="129"/>
      <c r="AC122" s="129"/>
      <c r="AD122" s="129"/>
      <c r="AE122" s="129"/>
    </row>
    <row r="123" customFormat="false" ht="14.25" hidden="false" customHeight="false" outlineLevel="0" collapsed="false">
      <c r="B123" s="129" t="s">
        <v>427</v>
      </c>
      <c r="C123" s="129"/>
      <c r="D123" s="126" t="s">
        <v>673</v>
      </c>
      <c r="E123" s="127" t="n">
        <f aca="false">86+106+88+126+240</f>
        <v>646</v>
      </c>
      <c r="F123" s="153" t="n">
        <f aca="false">R123</f>
        <v>18.5648</v>
      </c>
      <c r="G123" s="129"/>
      <c r="H123" s="129"/>
      <c r="I123" s="126" t="n">
        <f aca="false">G123-H123</f>
        <v>0</v>
      </c>
      <c r="J123" s="130" t="n">
        <f aca="false">J121-I123</f>
        <v>1.833752628</v>
      </c>
      <c r="K123" s="129" t="n">
        <v>1.5</v>
      </c>
      <c r="L123" s="131" t="n">
        <v>9</v>
      </c>
      <c r="M123" s="154" t="n">
        <f aca="false">L123*25.4</f>
        <v>228.6</v>
      </c>
      <c r="N123" s="154" t="n">
        <f aca="false">M123/2 /1000</f>
        <v>0.1143</v>
      </c>
      <c r="O123" s="131" t="n">
        <v>1500</v>
      </c>
      <c r="P123" s="153" t="n">
        <f aca="false">O123/60</f>
        <v>25</v>
      </c>
      <c r="Q123" s="131" t="n">
        <f aca="false">2.4+0.46+2.8</f>
        <v>5.66</v>
      </c>
      <c r="R123" s="128" t="n">
        <f aca="false">Q123*3.28</f>
        <v>18.5648</v>
      </c>
      <c r="S123" s="126" t="n">
        <f aca="false">0.33*12</f>
        <v>3.96</v>
      </c>
      <c r="T123" s="128" t="n">
        <f aca="false">(1*L123)/S123</f>
        <v>2.27272727272727</v>
      </c>
      <c r="U123" s="128" t="n">
        <f aca="false">T123*3.28</f>
        <v>7.45454545454546</v>
      </c>
      <c r="V123" s="129"/>
      <c r="W123" s="125" t="n">
        <v>1.5</v>
      </c>
      <c r="X123" s="154" t="n">
        <f aca="false">(W123*F123)/100</f>
        <v>0.278472</v>
      </c>
      <c r="Y123" s="125" t="n">
        <f aca="false">6*M123/1000</f>
        <v>1.3716</v>
      </c>
      <c r="Z123" s="129" t="n">
        <v>10</v>
      </c>
      <c r="AA123" s="156" t="n">
        <f aca="false">(Z123-L123)/L123*100</f>
        <v>11.1111111111111</v>
      </c>
      <c r="AB123" s="129" t="n">
        <f aca="false">ABS((Z123-L123)/L123*100)</f>
        <v>11.1111111111111</v>
      </c>
      <c r="AC123" s="129" t="n">
        <v>646</v>
      </c>
      <c r="AD123" s="129" t="n">
        <f aca="false">(AC123-E123)/E123*100</f>
        <v>0</v>
      </c>
      <c r="AE123" s="129" t="n">
        <f aca="false">ABS((AC123-E123)/E123*100)</f>
        <v>0</v>
      </c>
      <c r="AF123" s="112" t="n">
        <v>20.321</v>
      </c>
      <c r="AG123" s="112" t="n">
        <f aca="false">(AF123-P123)/P123*100</f>
        <v>-18.716</v>
      </c>
      <c r="AH123" s="112" t="n">
        <f aca="false">ABS((AF123-P123)/P123*100)</f>
        <v>18.716</v>
      </c>
    </row>
    <row r="124" customFormat="false" ht="14.25" hidden="false" customHeight="false" outlineLevel="0" collapsed="false">
      <c r="B124" s="129" t="s">
        <v>427</v>
      </c>
      <c r="C124" s="129"/>
      <c r="D124" s="126" t="s">
        <v>674</v>
      </c>
      <c r="E124" s="126" t="n">
        <v>240</v>
      </c>
      <c r="F124" s="153" t="n">
        <f aca="false">R124</f>
        <v>2.952</v>
      </c>
      <c r="G124" s="129"/>
      <c r="H124" s="129"/>
      <c r="I124" s="126" t="n">
        <f aca="false">G124-H124</f>
        <v>0</v>
      </c>
      <c r="J124" s="157"/>
      <c r="K124" s="129" t="n">
        <v>1.5</v>
      </c>
      <c r="L124" s="131" t="n">
        <v>6</v>
      </c>
      <c r="M124" s="154" t="n">
        <f aca="false">L124*25.4</f>
        <v>152.4</v>
      </c>
      <c r="N124" s="154" t="n">
        <f aca="false">M124/2 /1000</f>
        <v>0.0762</v>
      </c>
      <c r="O124" s="131" t="n">
        <v>1200</v>
      </c>
      <c r="P124" s="153" t="n">
        <f aca="false">O124/60</f>
        <v>20</v>
      </c>
      <c r="Q124" s="131" t="n">
        <v>0.9</v>
      </c>
      <c r="R124" s="128" t="n">
        <f aca="false">Q124*3.28</f>
        <v>2.952</v>
      </c>
      <c r="S124" s="126" t="n">
        <f aca="false">0.33*12</f>
        <v>3.96</v>
      </c>
      <c r="T124" s="128" t="n">
        <f aca="false">(1*L124)/S124</f>
        <v>1.51515151515152</v>
      </c>
      <c r="U124" s="128" t="n">
        <f aca="false">T124*3.28</f>
        <v>4.96969696969697</v>
      </c>
      <c r="V124" s="129"/>
      <c r="W124" s="125" t="n">
        <v>1.5</v>
      </c>
      <c r="X124" s="154" t="n">
        <f aca="false">(W124*F124)/100</f>
        <v>0.04428</v>
      </c>
      <c r="Y124" s="125" t="n">
        <f aca="false">6*M124/1000</f>
        <v>0.9144</v>
      </c>
      <c r="Z124" s="129" t="n">
        <v>4</v>
      </c>
      <c r="AA124" s="156" t="n">
        <f aca="false">(Z124-L124)/L124*100</f>
        <v>-33.3333333333333</v>
      </c>
      <c r="AB124" s="129" t="n">
        <f aca="false">ABS((Z124-L124)/L124*100)</f>
        <v>33.3333333333333</v>
      </c>
      <c r="AC124" s="129" t="n">
        <v>248</v>
      </c>
      <c r="AD124" s="129" t="n">
        <f aca="false">(AC124-E124)/E124*100</f>
        <v>3.33333333333333</v>
      </c>
      <c r="AE124" s="129" t="n">
        <f aca="false">ABS((AC124-E124)/E124*100)</f>
        <v>3.33333333333333</v>
      </c>
      <c r="AF124" s="112" t="n">
        <v>48.448</v>
      </c>
      <c r="AG124" s="112" t="n">
        <f aca="false">(AF124-P124)/P124*100</f>
        <v>142.24</v>
      </c>
      <c r="AH124" s="112" t="n">
        <f aca="false">ABS((AF124-P124)/P124*100)</f>
        <v>142.24</v>
      </c>
    </row>
    <row r="125" customFormat="false" ht="14.25" hidden="false" customHeight="false" outlineLevel="0" collapsed="false">
      <c r="B125" s="129" t="s">
        <v>427</v>
      </c>
      <c r="C125" s="129" t="s">
        <v>659</v>
      </c>
      <c r="D125" s="126" t="s">
        <v>675</v>
      </c>
      <c r="E125" s="127" t="n">
        <v>120</v>
      </c>
      <c r="F125" s="153" t="n">
        <f aca="false">R125</f>
        <v>2.624</v>
      </c>
      <c r="G125" s="129"/>
      <c r="H125" s="129"/>
      <c r="I125" s="126" t="n">
        <f aca="false">G125-H125</f>
        <v>0</v>
      </c>
      <c r="J125" s="158"/>
      <c r="K125" s="129" t="n">
        <v>1.5</v>
      </c>
      <c r="L125" s="131" t="n">
        <v>4</v>
      </c>
      <c r="M125" s="154" t="n">
        <f aca="false">L125*25.4</f>
        <v>101.6</v>
      </c>
      <c r="N125" s="154" t="n">
        <f aca="false">M125/2 /1000</f>
        <v>0.0508</v>
      </c>
      <c r="O125" s="150"/>
      <c r="P125" s="153" t="n">
        <f aca="false">O125/60</f>
        <v>0</v>
      </c>
      <c r="Q125" s="131" t="n">
        <v>0.8</v>
      </c>
      <c r="R125" s="128" t="n">
        <f aca="false">Q125*3.28</f>
        <v>2.624</v>
      </c>
      <c r="S125" s="126" t="n">
        <f aca="false">0.33*12</f>
        <v>3.96</v>
      </c>
      <c r="T125" s="128" t="n">
        <f aca="false">(1*L125)/S125</f>
        <v>1.01010101010101</v>
      </c>
      <c r="U125" s="128" t="n">
        <f aca="false">T125*3.28</f>
        <v>3.31313131313131</v>
      </c>
      <c r="V125" s="129"/>
      <c r="W125" s="125" t="n">
        <v>1.5</v>
      </c>
      <c r="X125" s="154" t="n">
        <f aca="false">(W125*F125)/100</f>
        <v>0.03936</v>
      </c>
      <c r="Y125" s="125" t="n">
        <f aca="false">6*M125/1000</f>
        <v>0.6096</v>
      </c>
      <c r="Z125" s="129" t="n">
        <v>4</v>
      </c>
      <c r="AA125" s="156" t="n">
        <f aca="false">(Z125-L125)/L125*100</f>
        <v>0</v>
      </c>
      <c r="AB125" s="129" t="n">
        <f aca="false">ABS((Z125-L125)/L125*100)</f>
        <v>0</v>
      </c>
      <c r="AC125" s="129" t="n">
        <v>124</v>
      </c>
      <c r="AD125" s="129" t="n">
        <f aca="false">(AC125-E125)/E125*100</f>
        <v>3.33333333333333</v>
      </c>
      <c r="AE125" s="129" t="n">
        <f aca="false">ABS((AC125-E125)/E125*100)</f>
        <v>3.33333333333333</v>
      </c>
    </row>
    <row r="126" customFormat="false" ht="14.25" hidden="false" customHeight="false" outlineLevel="0" collapsed="false">
      <c r="B126" s="129" t="s">
        <v>427</v>
      </c>
      <c r="C126" s="129" t="s">
        <v>659</v>
      </c>
      <c r="D126" s="126" t="s">
        <v>676</v>
      </c>
      <c r="E126" s="127" t="n">
        <v>120</v>
      </c>
      <c r="F126" s="153" t="n">
        <f aca="false">R126</f>
        <v>2.624</v>
      </c>
      <c r="G126" s="129"/>
      <c r="H126" s="129"/>
      <c r="I126" s="126" t="n">
        <f aca="false">G126-H126</f>
        <v>0</v>
      </c>
      <c r="J126" s="157"/>
      <c r="K126" s="129" t="n">
        <v>1.5</v>
      </c>
      <c r="L126" s="131" t="n">
        <v>4</v>
      </c>
      <c r="M126" s="154" t="n">
        <f aca="false">L126*25.4</f>
        <v>101.6</v>
      </c>
      <c r="N126" s="154" t="n">
        <f aca="false">M126/2 /1000</f>
        <v>0.0508</v>
      </c>
      <c r="O126" s="150"/>
      <c r="P126" s="153" t="n">
        <f aca="false">O126/60</f>
        <v>0</v>
      </c>
      <c r="Q126" s="131" t="n">
        <v>0.8</v>
      </c>
      <c r="R126" s="128" t="n">
        <f aca="false">Q126*3.28</f>
        <v>2.624</v>
      </c>
      <c r="S126" s="126" t="n">
        <f aca="false">0.33*12</f>
        <v>3.96</v>
      </c>
      <c r="T126" s="128" t="n">
        <f aca="false">(1*L126)/S126</f>
        <v>1.01010101010101</v>
      </c>
      <c r="U126" s="128" t="n">
        <f aca="false">T126*3.28</f>
        <v>3.31313131313131</v>
      </c>
      <c r="V126" s="129"/>
      <c r="W126" s="125" t="n">
        <v>1.5</v>
      </c>
      <c r="X126" s="154" t="n">
        <f aca="false">(W126*F126)/100</f>
        <v>0.03936</v>
      </c>
      <c r="Y126" s="125" t="n">
        <f aca="false">6*M126/1000</f>
        <v>0.6096</v>
      </c>
      <c r="Z126" s="129" t="n">
        <v>4</v>
      </c>
      <c r="AA126" s="156" t="n">
        <f aca="false">(Z126-L126)/L126*100</f>
        <v>0</v>
      </c>
      <c r="AB126" s="129" t="n">
        <f aca="false">ABS((Z126-L126)/L126*100)</f>
        <v>0</v>
      </c>
      <c r="AC126" s="129" t="n">
        <v>124</v>
      </c>
      <c r="AD126" s="129" t="n">
        <f aca="false">(AC126-E126)/E126*100</f>
        <v>3.33333333333333</v>
      </c>
      <c r="AE126" s="129" t="n">
        <f aca="false">ABS((AC126-E126)/E126*100)</f>
        <v>3.33333333333333</v>
      </c>
    </row>
    <row r="127" customFormat="false" ht="14.25" hidden="false" customHeight="false" outlineLevel="0" collapsed="false">
      <c r="B127" s="129" t="s">
        <v>427</v>
      </c>
      <c r="C127" s="129"/>
      <c r="D127" s="126" t="s">
        <v>677</v>
      </c>
      <c r="E127" s="127" t="n">
        <f aca="false">86+106+88+126</f>
        <v>406</v>
      </c>
      <c r="F127" s="153" t="n">
        <f aca="false">R127</f>
        <v>21.156</v>
      </c>
      <c r="G127" s="129"/>
      <c r="H127" s="129"/>
      <c r="I127" s="126" t="n">
        <f aca="false">G127-H127</f>
        <v>0</v>
      </c>
      <c r="J127" s="158" t="n">
        <f aca="false">J125-I127</f>
        <v>0</v>
      </c>
      <c r="K127" s="129" t="n">
        <v>1.5</v>
      </c>
      <c r="L127" s="131" t="n">
        <v>8</v>
      </c>
      <c r="M127" s="154" t="n">
        <f aca="false">L127*25.4</f>
        <v>203.2</v>
      </c>
      <c r="N127" s="154" t="n">
        <f aca="false">M127/2 /1000</f>
        <v>0.1016</v>
      </c>
      <c r="O127" s="131" t="n">
        <v>1200</v>
      </c>
      <c r="P127" s="153" t="n">
        <f aca="false">O127/60</f>
        <v>20</v>
      </c>
      <c r="Q127" s="131" t="n">
        <v>6.45</v>
      </c>
      <c r="R127" s="128" t="n">
        <f aca="false">Q127*3.28</f>
        <v>21.156</v>
      </c>
      <c r="S127" s="126" t="n">
        <f aca="false">0.33*12</f>
        <v>3.96</v>
      </c>
      <c r="T127" s="128" t="n">
        <f aca="false">(1*L127)/S127</f>
        <v>2.02020202020202</v>
      </c>
      <c r="U127" s="128" t="n">
        <f aca="false">T127*3.28</f>
        <v>6.62626262626263</v>
      </c>
      <c r="V127" s="129"/>
      <c r="W127" s="125" t="n">
        <v>1.5</v>
      </c>
      <c r="X127" s="154" t="n">
        <f aca="false">(W127*F127)/100</f>
        <v>0.31734</v>
      </c>
      <c r="Y127" s="125" t="n">
        <f aca="false">6*M127/1000</f>
        <v>1.2192</v>
      </c>
      <c r="Z127" s="129" t="n">
        <v>8</v>
      </c>
      <c r="AA127" s="156" t="n">
        <f aca="false">(Z127-L127)/L127*100</f>
        <v>0</v>
      </c>
      <c r="AB127" s="129" t="n">
        <f aca="false">ABS((Z127-L127)/L127*100)</f>
        <v>0</v>
      </c>
      <c r="AC127" s="129" t="n">
        <v>397</v>
      </c>
      <c r="AD127" s="129" t="n">
        <f aca="false">(AC127-E127)/E127*100</f>
        <v>-2.21674876847291</v>
      </c>
      <c r="AE127" s="129" t="n">
        <f aca="false">ABS((AC127-E127)/E127*100)</f>
        <v>2.21674876847291</v>
      </c>
      <c r="AF127" s="112" t="n">
        <v>19.716</v>
      </c>
      <c r="AG127" s="112" t="n">
        <f aca="false">(AF127-P127)/P127*100</f>
        <v>-1.41999999999999</v>
      </c>
      <c r="AH127" s="112" t="n">
        <f aca="false">ABS((AF127-P127)/P127*100)</f>
        <v>1.41999999999999</v>
      </c>
    </row>
    <row r="128" customFormat="false" ht="14.25" hidden="false" customHeight="false" outlineLevel="0" collapsed="false">
      <c r="B128" s="129" t="s">
        <v>427</v>
      </c>
      <c r="C128" s="129" t="s">
        <v>69</v>
      </c>
      <c r="D128" s="126" t="s">
        <v>678</v>
      </c>
      <c r="E128" s="127" t="n">
        <v>126</v>
      </c>
      <c r="F128" s="153" t="n">
        <f aca="false">R128</f>
        <v>3.936</v>
      </c>
      <c r="G128" s="129"/>
      <c r="H128" s="129"/>
      <c r="I128" s="126" t="n">
        <f aca="false">G128-H128</f>
        <v>0</v>
      </c>
      <c r="J128" s="157"/>
      <c r="K128" s="129" t="n">
        <v>1.5</v>
      </c>
      <c r="L128" s="131" t="n">
        <v>4</v>
      </c>
      <c r="M128" s="154" t="n">
        <f aca="false">L128*25.4</f>
        <v>101.6</v>
      </c>
      <c r="N128" s="154" t="n">
        <f aca="false">M128/2 /1000</f>
        <v>0.0508</v>
      </c>
      <c r="O128" s="150"/>
      <c r="P128" s="153" t="n">
        <f aca="false">O128/60</f>
        <v>0</v>
      </c>
      <c r="Q128" s="131" t="n">
        <v>1.2</v>
      </c>
      <c r="R128" s="128" t="n">
        <f aca="false">Q128*3.28</f>
        <v>3.936</v>
      </c>
      <c r="S128" s="126" t="n">
        <f aca="false">0.33*12</f>
        <v>3.96</v>
      </c>
      <c r="T128" s="128" t="n">
        <f aca="false">(1*L128)/S128</f>
        <v>1.01010101010101</v>
      </c>
      <c r="U128" s="128" t="n">
        <f aca="false">T128*3.28</f>
        <v>3.31313131313131</v>
      </c>
      <c r="V128" s="129"/>
      <c r="W128" s="125" t="n">
        <v>1.5</v>
      </c>
      <c r="X128" s="154" t="n">
        <f aca="false">(W128*F128)/100</f>
        <v>0.05904</v>
      </c>
      <c r="Y128" s="125" t="n">
        <f aca="false">6*M128/1000</f>
        <v>0.6096</v>
      </c>
      <c r="Z128" s="129" t="n">
        <v>3</v>
      </c>
      <c r="AA128" s="156" t="n">
        <f aca="false">(Z128-L128)/L128*100</f>
        <v>-25</v>
      </c>
      <c r="AB128" s="129" t="n">
        <f aca="false">ABS((Z128-L128)/L128*100)</f>
        <v>25</v>
      </c>
      <c r="AC128" s="129" t="n">
        <v>132</v>
      </c>
      <c r="AD128" s="129" t="n">
        <f aca="false">(AC128-E128)/E128*100</f>
        <v>4.76190476190476</v>
      </c>
      <c r="AE128" s="129" t="n">
        <f aca="false">ABS((AC128-E128)/E128*100)</f>
        <v>4.76190476190476</v>
      </c>
    </row>
    <row r="129" customFormat="false" ht="14.25" hidden="false" customHeight="false" outlineLevel="0" collapsed="false">
      <c r="B129" s="129" t="s">
        <v>427</v>
      </c>
      <c r="C129" s="129"/>
      <c r="D129" s="126" t="s">
        <v>679</v>
      </c>
      <c r="E129" s="127" t="n">
        <f aca="false">86+106+88</f>
        <v>280</v>
      </c>
      <c r="F129" s="153" t="n">
        <f aca="false">R129</f>
        <v>7.216</v>
      </c>
      <c r="G129" s="129"/>
      <c r="H129" s="129"/>
      <c r="I129" s="126" t="n">
        <f aca="false">G129-H129</f>
        <v>0</v>
      </c>
      <c r="J129" s="158" t="n">
        <f aca="false">J127-I129</f>
        <v>0</v>
      </c>
      <c r="K129" s="129" t="n">
        <v>1.5</v>
      </c>
      <c r="L129" s="131" t="n">
        <v>8</v>
      </c>
      <c r="M129" s="154" t="n">
        <f aca="false">L129*25.4</f>
        <v>203.2</v>
      </c>
      <c r="N129" s="154" t="n">
        <f aca="false">M129/2 /1000</f>
        <v>0.1016</v>
      </c>
      <c r="O129" s="125" t="n">
        <v>1000</v>
      </c>
      <c r="P129" s="153" t="n">
        <f aca="false">O129/60</f>
        <v>16.6666666666667</v>
      </c>
      <c r="Q129" s="131" t="n">
        <v>2.2</v>
      </c>
      <c r="R129" s="128" t="n">
        <f aca="false">Q129*3.28</f>
        <v>7.216</v>
      </c>
      <c r="S129" s="126" t="n">
        <f aca="false">0.33*12</f>
        <v>3.96</v>
      </c>
      <c r="T129" s="128" t="n">
        <f aca="false">(1*L129)/S129</f>
        <v>2.02020202020202</v>
      </c>
      <c r="U129" s="128" t="n">
        <f aca="false">T129*3.28</f>
        <v>6.62626262626263</v>
      </c>
      <c r="V129" s="129"/>
      <c r="W129" s="125" t="n">
        <v>1.5</v>
      </c>
      <c r="X129" s="154" t="n">
        <f aca="false">(W129*F129)/100</f>
        <v>0.10824</v>
      </c>
      <c r="Y129" s="125" t="n">
        <f aca="false">6*M129/1000</f>
        <v>1.2192</v>
      </c>
      <c r="Z129" s="129" t="n">
        <v>8</v>
      </c>
      <c r="AA129" s="156" t="n">
        <f aca="false">(Z129-L129)/L129*100</f>
        <v>0</v>
      </c>
      <c r="AB129" s="129" t="n">
        <f aca="false">ABS((Z129-L129)/L129*100)</f>
        <v>0</v>
      </c>
      <c r="AC129" s="129" t="n">
        <v>265</v>
      </c>
      <c r="AD129" s="129" t="n">
        <f aca="false">(AC129-E129)/E129*100</f>
        <v>-5.35714285714286</v>
      </c>
      <c r="AE129" s="129" t="n">
        <f aca="false">ABS((AC129-E129)/E129*100)</f>
        <v>5.35714285714286</v>
      </c>
      <c r="AF129" s="112" t="n">
        <v>13.145</v>
      </c>
      <c r="AG129" s="112" t="n">
        <f aca="false">(AF129-P129)/P129*100</f>
        <v>-21.13</v>
      </c>
      <c r="AH129" s="112" t="n">
        <f aca="false">ABS((AF129-P129)/P129*100)</f>
        <v>21.13</v>
      </c>
    </row>
    <row r="130" customFormat="false" ht="14.25" hidden="false" customHeight="false" outlineLevel="0" collapsed="false">
      <c r="B130" s="129" t="s">
        <v>427</v>
      </c>
      <c r="C130" s="129" t="s">
        <v>70</v>
      </c>
      <c r="D130" s="126" t="s">
        <v>680</v>
      </c>
      <c r="E130" s="127" t="n">
        <v>88</v>
      </c>
      <c r="F130" s="153" t="n">
        <f aca="false">R130</f>
        <v>2.624</v>
      </c>
      <c r="G130" s="129"/>
      <c r="H130" s="129"/>
      <c r="I130" s="126" t="n">
        <f aca="false">G130-H130</f>
        <v>0</v>
      </c>
      <c r="J130" s="130" t="n">
        <f aca="false">J121-I130</f>
        <v>1.833752628</v>
      </c>
      <c r="K130" s="129" t="n">
        <v>1.5</v>
      </c>
      <c r="L130" s="131" t="n">
        <v>3</v>
      </c>
      <c r="M130" s="154" t="n">
        <f aca="false">L130*25.4</f>
        <v>76.2</v>
      </c>
      <c r="N130" s="154" t="n">
        <f aca="false">M130/2 /1000</f>
        <v>0.0381</v>
      </c>
      <c r="O130" s="150"/>
      <c r="P130" s="153" t="n">
        <f aca="false">O130/60</f>
        <v>0</v>
      </c>
      <c r="Q130" s="131" t="n">
        <v>0.8</v>
      </c>
      <c r="R130" s="128" t="n">
        <f aca="false">Q130*3.28</f>
        <v>2.624</v>
      </c>
      <c r="S130" s="126" t="n">
        <f aca="false">0.33*12</f>
        <v>3.96</v>
      </c>
      <c r="T130" s="128" t="n">
        <f aca="false">(1*L130)/S130</f>
        <v>0.757575757575758</v>
      </c>
      <c r="U130" s="128" t="n">
        <f aca="false">T130*3.28</f>
        <v>2.48484848484849</v>
      </c>
      <c r="V130" s="129"/>
      <c r="W130" s="125" t="n">
        <v>1.5</v>
      </c>
      <c r="X130" s="154" t="n">
        <f aca="false">(W130*F130)/100</f>
        <v>0.03936</v>
      </c>
      <c r="Y130" s="125" t="n">
        <f aca="false">6*M130/1000</f>
        <v>0.4572</v>
      </c>
      <c r="Z130" s="129" t="n">
        <v>3</v>
      </c>
      <c r="AA130" s="156" t="n">
        <f aca="false">(Z130-L130)/L130*100</f>
        <v>0</v>
      </c>
      <c r="AB130" s="129" t="n">
        <f aca="false">ABS((Z130-L130)/L130*100)</f>
        <v>0</v>
      </c>
      <c r="AC130" s="129" t="n">
        <v>83.98</v>
      </c>
      <c r="AD130" s="129" t="n">
        <f aca="false">(AC130-E130)/E130*100</f>
        <v>-4.56818181818181</v>
      </c>
      <c r="AE130" s="129" t="n">
        <f aca="false">ABS((AC130-E130)/E130*100)</f>
        <v>4.56818181818181</v>
      </c>
    </row>
    <row r="131" customFormat="false" ht="14.25" hidden="false" customHeight="false" outlineLevel="0" collapsed="false">
      <c r="B131" s="129" t="s">
        <v>427</v>
      </c>
      <c r="C131" s="129"/>
      <c r="D131" s="126" t="s">
        <v>681</v>
      </c>
      <c r="E131" s="127" t="n">
        <f aca="false">86+106</f>
        <v>192</v>
      </c>
      <c r="F131" s="153" t="n">
        <f aca="false">R131</f>
        <v>3.936</v>
      </c>
      <c r="G131" s="129"/>
      <c r="H131" s="129"/>
      <c r="I131" s="126" t="n">
        <f aca="false">G131-H131</f>
        <v>0</v>
      </c>
      <c r="J131" s="157"/>
      <c r="K131" s="129" t="n">
        <v>1.5</v>
      </c>
      <c r="L131" s="131" t="n">
        <v>7</v>
      </c>
      <c r="M131" s="154" t="n">
        <f aca="false">L131*25.4</f>
        <v>177.8</v>
      </c>
      <c r="N131" s="154" t="n">
        <f aca="false">M131/2 /1000</f>
        <v>0.0889</v>
      </c>
      <c r="O131" s="125" t="n">
        <v>1000</v>
      </c>
      <c r="P131" s="153" t="n">
        <f aca="false">O131/60</f>
        <v>16.6666666666667</v>
      </c>
      <c r="Q131" s="131" t="n">
        <v>1.2</v>
      </c>
      <c r="R131" s="128" t="n">
        <f aca="false">Q131*3.28</f>
        <v>3.936</v>
      </c>
      <c r="S131" s="126" t="n">
        <f aca="false">0.33*12</f>
        <v>3.96</v>
      </c>
      <c r="T131" s="128" t="n">
        <f aca="false">(1*L131)/S131</f>
        <v>1.76767676767677</v>
      </c>
      <c r="U131" s="128" t="n">
        <f aca="false">T131*3.28</f>
        <v>5.7979797979798</v>
      </c>
      <c r="V131" s="129"/>
      <c r="W131" s="125" t="n">
        <v>1.5</v>
      </c>
      <c r="X131" s="154" t="n">
        <f aca="false">(W131*F131)/100</f>
        <v>0.05904</v>
      </c>
      <c r="Y131" s="125" t="n">
        <f aca="false">6*M131/1000</f>
        <v>1.0668</v>
      </c>
      <c r="Z131" s="129" t="n">
        <v>8</v>
      </c>
      <c r="AA131" s="156" t="n">
        <f aca="false">(Z131-L131)/L131*100</f>
        <v>14.2857142857143</v>
      </c>
      <c r="AB131" s="129" t="n">
        <f aca="false">ABS((Z131-L131)/L131*100)</f>
        <v>14.2857142857143</v>
      </c>
      <c r="AC131" s="129" t="n">
        <v>181</v>
      </c>
      <c r="AD131" s="129" t="n">
        <f aca="false">(AC131-E131)/E131*100</f>
        <v>-5.72916666666667</v>
      </c>
      <c r="AE131" s="129" t="n">
        <f aca="false">ABS((AC131-E131)/E131*100)</f>
        <v>5.72916666666667</v>
      </c>
      <c r="AG131" s="112" t="n">
        <f aca="false">(AF131-P131)/P131*100</f>
        <v>-100</v>
      </c>
      <c r="AH131" s="112" t="n">
        <f aca="false">ABS((AF131-P131)/P131*100)</f>
        <v>100</v>
      </c>
    </row>
    <row r="132" customFormat="false" ht="14.25" hidden="false" customHeight="false" outlineLevel="0" collapsed="false">
      <c r="B132" s="129" t="s">
        <v>427</v>
      </c>
      <c r="C132" s="129" t="s">
        <v>67</v>
      </c>
      <c r="D132" s="126" t="s">
        <v>682</v>
      </c>
      <c r="E132" s="127" t="n">
        <v>106</v>
      </c>
      <c r="F132" s="153" t="n">
        <f aca="false">R132</f>
        <v>2.624</v>
      </c>
      <c r="G132" s="129"/>
      <c r="H132" s="129"/>
      <c r="I132" s="126" t="n">
        <f aca="false">G132-H132</f>
        <v>0</v>
      </c>
      <c r="J132" s="130" t="n">
        <f aca="false">J123-I132</f>
        <v>1.833752628</v>
      </c>
      <c r="K132" s="129" t="n">
        <v>1.5</v>
      </c>
      <c r="L132" s="131" t="n">
        <v>4</v>
      </c>
      <c r="M132" s="154" t="n">
        <f aca="false">L132*25.4</f>
        <v>101.6</v>
      </c>
      <c r="N132" s="154" t="n">
        <f aca="false">M132/2 /1000</f>
        <v>0.0508</v>
      </c>
      <c r="O132" s="150"/>
      <c r="P132" s="153" t="n">
        <f aca="false">O132/60</f>
        <v>0</v>
      </c>
      <c r="Q132" s="131" t="n">
        <v>0.8</v>
      </c>
      <c r="R132" s="128" t="n">
        <f aca="false">Q132*3.28</f>
        <v>2.624</v>
      </c>
      <c r="S132" s="126" t="n">
        <f aca="false">0.33*12</f>
        <v>3.96</v>
      </c>
      <c r="T132" s="128" t="n">
        <f aca="false">(1*L132)/S132</f>
        <v>1.01010101010101</v>
      </c>
      <c r="U132" s="128" t="n">
        <f aca="false">T132*3.28</f>
        <v>3.31313131313131</v>
      </c>
      <c r="V132" s="129"/>
      <c r="W132" s="125" t="n">
        <v>1.5</v>
      </c>
      <c r="X132" s="154" t="n">
        <f aca="false">(W132*F132)/100</f>
        <v>0.03936</v>
      </c>
      <c r="Y132" s="125" t="n">
        <f aca="false">6*M132/1000</f>
        <v>0.6096</v>
      </c>
      <c r="Z132" s="129" t="n">
        <v>3.5</v>
      </c>
      <c r="AA132" s="156" t="n">
        <f aca="false">(Z132-L132)/L132*100</f>
        <v>-12.5</v>
      </c>
      <c r="AB132" s="129" t="n">
        <f aca="false">ABS((Z132-L132)/L132*100)</f>
        <v>12.5</v>
      </c>
      <c r="AC132" s="129" t="n">
        <v>113</v>
      </c>
      <c r="AD132" s="129" t="n">
        <f aca="false">(AC132-E132)/E132*100</f>
        <v>6.60377358490566</v>
      </c>
      <c r="AE132" s="129" t="n">
        <f aca="false">ABS((AC132-E132)/E132*100)</f>
        <v>6.60377358490566</v>
      </c>
    </row>
    <row r="133" customFormat="false" ht="14.25" hidden="false" customHeight="false" outlineLevel="0" collapsed="false">
      <c r="B133" s="129" t="s">
        <v>427</v>
      </c>
      <c r="C133" s="129" t="s">
        <v>68</v>
      </c>
      <c r="D133" s="126" t="s">
        <v>683</v>
      </c>
      <c r="E133" s="127" t="n">
        <v>88</v>
      </c>
      <c r="F133" s="153" t="n">
        <f aca="false">R133</f>
        <v>12.136</v>
      </c>
      <c r="G133" s="129"/>
      <c r="H133" s="129"/>
      <c r="I133" s="126" t="n">
        <f aca="false">G133-H133</f>
        <v>0</v>
      </c>
      <c r="J133" s="157"/>
      <c r="K133" s="129" t="n">
        <v>1.5</v>
      </c>
      <c r="L133" s="131" t="n">
        <v>3</v>
      </c>
      <c r="M133" s="154" t="n">
        <f aca="false">L133*25.4</f>
        <v>76.2</v>
      </c>
      <c r="N133" s="154" t="n">
        <f aca="false">M133/2 /1000</f>
        <v>0.0381</v>
      </c>
      <c r="O133" s="150"/>
      <c r="P133" s="153" t="n">
        <f aca="false">O133/60</f>
        <v>0</v>
      </c>
      <c r="Q133" s="131" t="n">
        <f aca="false">0.8+2.9</f>
        <v>3.7</v>
      </c>
      <c r="R133" s="128" t="n">
        <f aca="false">Q133*3.28</f>
        <v>12.136</v>
      </c>
      <c r="S133" s="126" t="n">
        <f aca="false">0.33*12</f>
        <v>3.96</v>
      </c>
      <c r="T133" s="128" t="n">
        <f aca="false">(1*L133)/S133</f>
        <v>0.757575757575758</v>
      </c>
      <c r="U133" s="128" t="n">
        <f aca="false">T133*3.28</f>
        <v>2.48484848484849</v>
      </c>
      <c r="V133" s="129"/>
      <c r="W133" s="125" t="n">
        <v>1.5</v>
      </c>
      <c r="X133" s="154" t="n">
        <f aca="false">(W133*F133)/100</f>
        <v>0.18204</v>
      </c>
      <c r="Y133" s="125" t="n">
        <f aca="false">6*M133/1000</f>
        <v>0.4572</v>
      </c>
      <c r="Z133" s="129" t="n">
        <v>3</v>
      </c>
      <c r="AA133" s="156" t="n">
        <f aca="false">(Z133-L133)/L133*100</f>
        <v>0</v>
      </c>
      <c r="AB133" s="129" t="n">
        <f aca="false">ABS((Z133-L133)/L133*100)</f>
        <v>0</v>
      </c>
      <c r="AC133" s="129" t="n">
        <v>67.7</v>
      </c>
      <c r="AD133" s="129" t="n">
        <f aca="false">(AC133-E133)/E133*100</f>
        <v>-23.0681818181818</v>
      </c>
      <c r="AE133" s="129" t="n">
        <f aca="false">ABS((AC133-E133)/E133*100)</f>
        <v>23.0681818181818</v>
      </c>
    </row>
    <row r="134" customFormat="false" ht="14.25" hidden="false" customHeight="false" outlineLevel="0" collapsed="false">
      <c r="B134" s="129"/>
      <c r="C134" s="129"/>
      <c r="D134" s="129"/>
      <c r="E134" s="127"/>
      <c r="F134" s="153"/>
      <c r="G134" s="129"/>
      <c r="H134" s="129"/>
      <c r="I134" s="126"/>
      <c r="J134" s="157"/>
      <c r="K134" s="129"/>
      <c r="L134" s="131"/>
      <c r="M134" s="154"/>
      <c r="N134" s="154"/>
      <c r="O134" s="150"/>
      <c r="P134" s="153"/>
      <c r="Q134" s="131"/>
      <c r="R134" s="128"/>
      <c r="S134" s="126"/>
      <c r="T134" s="128"/>
      <c r="U134" s="128"/>
      <c r="V134" s="129"/>
      <c r="W134" s="125"/>
      <c r="X134" s="154"/>
      <c r="Y134" s="125"/>
      <c r="Z134" s="129"/>
      <c r="AA134" s="156"/>
      <c r="AB134" s="129"/>
      <c r="AC134" s="129"/>
      <c r="AD134" s="129"/>
      <c r="AE134" s="129"/>
    </row>
    <row r="135" customFormat="false" ht="14.25" hidden="false" customHeight="false" outlineLevel="0" collapsed="false">
      <c r="B135" s="129"/>
      <c r="C135" s="129"/>
      <c r="D135" s="129"/>
      <c r="E135" s="129"/>
      <c r="F135" s="154"/>
      <c r="G135" s="129"/>
      <c r="H135" s="129"/>
      <c r="I135" s="129"/>
      <c r="J135" s="129"/>
      <c r="K135" s="129"/>
      <c r="L135" s="129"/>
      <c r="M135" s="154"/>
      <c r="N135" s="154" t="n">
        <f aca="false">M135/2 /1000</f>
        <v>0</v>
      </c>
      <c r="O135" s="129"/>
      <c r="P135" s="154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56"/>
      <c r="AB135" s="129"/>
      <c r="AC135" s="129"/>
      <c r="AD135" s="129"/>
      <c r="AE135" s="129"/>
    </row>
    <row r="136" customFormat="false" ht="14.25" hidden="false" customHeight="false" outlineLevel="0" collapsed="false">
      <c r="B136" s="129" t="s">
        <v>427</v>
      </c>
      <c r="C136" s="129"/>
      <c r="D136" s="126" t="s">
        <v>684</v>
      </c>
      <c r="E136" s="127" t="n">
        <f aca="false">99+64+130+50+118</f>
        <v>461</v>
      </c>
      <c r="F136" s="153" t="n">
        <f aca="false">R136</f>
        <v>11.4472</v>
      </c>
      <c r="G136" s="129"/>
      <c r="H136" s="129"/>
      <c r="I136" s="126" t="n">
        <f aca="false">G136-H136</f>
        <v>0</v>
      </c>
      <c r="J136" s="130" t="n">
        <f aca="false">J127-I136</f>
        <v>0</v>
      </c>
      <c r="K136" s="129" t="n">
        <v>1.5</v>
      </c>
      <c r="L136" s="131" t="n">
        <v>8</v>
      </c>
      <c r="M136" s="154" t="n">
        <f aca="false">L136*25.4</f>
        <v>203.2</v>
      </c>
      <c r="N136" s="154" t="n">
        <f aca="false">M136/2 /1000</f>
        <v>0.1016</v>
      </c>
      <c r="O136" s="131" t="n">
        <v>1400</v>
      </c>
      <c r="P136" s="153" t="n">
        <f aca="false">O136/60</f>
        <v>23.3333333333333</v>
      </c>
      <c r="Q136" s="131" t="n">
        <v>3.49</v>
      </c>
      <c r="R136" s="128" t="n">
        <f aca="false">Q136*3.28</f>
        <v>11.4472</v>
      </c>
      <c r="S136" s="126" t="n">
        <f aca="false">0.33*12</f>
        <v>3.96</v>
      </c>
      <c r="T136" s="128" t="n">
        <f aca="false">(1*L136)/S136</f>
        <v>2.02020202020202</v>
      </c>
      <c r="U136" s="128" t="n">
        <f aca="false">T136*3.28</f>
        <v>6.62626262626263</v>
      </c>
      <c r="V136" s="129"/>
      <c r="W136" s="125" t="n">
        <v>1.5</v>
      </c>
      <c r="X136" s="154" t="n">
        <f aca="false">(W136*F136)/100</f>
        <v>0.171708</v>
      </c>
      <c r="Y136" s="125" t="n">
        <f aca="false">6*M136/1000</f>
        <v>1.2192</v>
      </c>
      <c r="Z136" s="129" t="n">
        <v>8</v>
      </c>
      <c r="AA136" s="156" t="n">
        <f aca="false">(Z136-L136)/L136*100</f>
        <v>0</v>
      </c>
      <c r="AB136" s="129" t="n">
        <f aca="false">ABS((Z136-L136)/L136*100)</f>
        <v>0</v>
      </c>
      <c r="AC136" s="129" t="n">
        <v>461</v>
      </c>
      <c r="AD136" s="129" t="n">
        <f aca="false">(AC136-E136)/E136*100</f>
        <v>0</v>
      </c>
      <c r="AE136" s="129" t="n">
        <f aca="false">ABS((AC136-E136)/E136*100)</f>
        <v>0</v>
      </c>
      <c r="AG136" s="112" t="n">
        <f aca="false">(AF136-P136)/P136*100</f>
        <v>-100</v>
      </c>
      <c r="AH136" s="112" t="n">
        <f aca="false">ABS((AF136-P136)/P136*100)</f>
        <v>100</v>
      </c>
    </row>
    <row r="137" customFormat="false" ht="14.25" hidden="false" customHeight="false" outlineLevel="0" collapsed="false">
      <c r="B137" s="129" t="s">
        <v>427</v>
      </c>
      <c r="C137" s="129" t="s">
        <v>62</v>
      </c>
      <c r="D137" s="126" t="s">
        <v>685</v>
      </c>
      <c r="E137" s="127" t="n">
        <v>130</v>
      </c>
      <c r="F137" s="153" t="n">
        <f aca="false">R137</f>
        <v>3.936</v>
      </c>
      <c r="G137" s="129"/>
      <c r="H137" s="129"/>
      <c r="I137" s="126" t="n">
        <f aca="false">G137-H137</f>
        <v>0</v>
      </c>
      <c r="J137" s="130" t="n">
        <f aca="false">J128-I137</f>
        <v>0</v>
      </c>
      <c r="K137" s="129" t="n">
        <v>1.5</v>
      </c>
      <c r="L137" s="131" t="n">
        <v>4</v>
      </c>
      <c r="M137" s="154" t="n">
        <f aca="false">L137*25.4</f>
        <v>101.6</v>
      </c>
      <c r="N137" s="154" t="n">
        <f aca="false">M137/2 /1000</f>
        <v>0.0508</v>
      </c>
      <c r="O137" s="150"/>
      <c r="P137" s="153" t="n">
        <f aca="false">O137/60</f>
        <v>0</v>
      </c>
      <c r="Q137" s="131" t="n">
        <v>1.2</v>
      </c>
      <c r="R137" s="128" t="n">
        <f aca="false">Q137*3.28</f>
        <v>3.936</v>
      </c>
      <c r="S137" s="126" t="n">
        <f aca="false">0.33*12</f>
        <v>3.96</v>
      </c>
      <c r="T137" s="128" t="n">
        <f aca="false">(1*L137)/S137</f>
        <v>1.01010101010101</v>
      </c>
      <c r="U137" s="128" t="n">
        <f aca="false">T137*3.28</f>
        <v>3.31313131313131</v>
      </c>
      <c r="V137" s="129"/>
      <c r="W137" s="125" t="n">
        <v>1.5</v>
      </c>
      <c r="X137" s="154" t="n">
        <f aca="false">(W137*F137)/100</f>
        <v>0.05904</v>
      </c>
      <c r="Y137" s="125" t="n">
        <f aca="false">6*M137/1000</f>
        <v>0.6096</v>
      </c>
      <c r="Z137" s="129" t="n">
        <v>4</v>
      </c>
      <c r="AA137" s="156" t="n">
        <f aca="false">(Z137-L137)/L137*100</f>
        <v>0</v>
      </c>
      <c r="AB137" s="129" t="n">
        <f aca="false">ABS((Z137-L137)/L137*100)</f>
        <v>0</v>
      </c>
      <c r="AC137" s="129" t="n">
        <v>133</v>
      </c>
      <c r="AD137" s="129" t="n">
        <f aca="false">(AC137-E137)/E137*100</f>
        <v>2.30769230769231</v>
      </c>
      <c r="AE137" s="129" t="n">
        <f aca="false">ABS((AC137-E137)/E137*100)</f>
        <v>2.30769230769231</v>
      </c>
    </row>
    <row r="138" customFormat="false" ht="14.25" hidden="false" customHeight="false" outlineLevel="0" collapsed="false">
      <c r="B138" s="129" t="s">
        <v>427</v>
      </c>
      <c r="C138" s="129"/>
      <c r="D138" s="126" t="s">
        <v>686</v>
      </c>
      <c r="E138" s="127" t="n">
        <f aca="false">99+64</f>
        <v>163</v>
      </c>
      <c r="F138" s="153" t="n">
        <f aca="false">R138</f>
        <v>9.184</v>
      </c>
      <c r="G138" s="129"/>
      <c r="H138" s="129"/>
      <c r="I138" s="126" t="n">
        <f aca="false">G138-H138</f>
        <v>0</v>
      </c>
      <c r="J138" s="130" t="n">
        <f aca="false">J129-I138</f>
        <v>0</v>
      </c>
      <c r="K138" s="129" t="n">
        <v>1.5</v>
      </c>
      <c r="L138" s="131" t="n">
        <v>6</v>
      </c>
      <c r="M138" s="154" t="n">
        <f aca="false">L138*25.4</f>
        <v>152.4</v>
      </c>
      <c r="N138" s="154" t="n">
        <f aca="false">M138/2 /1000</f>
        <v>0.0762</v>
      </c>
      <c r="O138" s="125" t="n">
        <v>1000</v>
      </c>
      <c r="P138" s="153" t="n">
        <f aca="false">O138/60</f>
        <v>16.6666666666667</v>
      </c>
      <c r="Q138" s="131" t="n">
        <v>2.8</v>
      </c>
      <c r="R138" s="128" t="n">
        <f aca="false">Q138*3.28</f>
        <v>9.184</v>
      </c>
      <c r="S138" s="126" t="n">
        <f aca="false">0.33*12</f>
        <v>3.96</v>
      </c>
      <c r="T138" s="128" t="n">
        <f aca="false">(1*L138)/S138</f>
        <v>1.51515151515152</v>
      </c>
      <c r="U138" s="128" t="n">
        <f aca="false">T138*3.28</f>
        <v>4.96969696969697</v>
      </c>
      <c r="V138" s="129"/>
      <c r="W138" s="125" t="n">
        <v>1.5</v>
      </c>
      <c r="X138" s="154" t="n">
        <f aca="false">(W138*F138)/100</f>
        <v>0.13776</v>
      </c>
      <c r="Y138" s="125" t="n">
        <f aca="false">6*M138/1000</f>
        <v>0.9144</v>
      </c>
      <c r="Z138" s="129" t="n">
        <v>6</v>
      </c>
      <c r="AA138" s="156" t="n">
        <f aca="false">(Z138-L138)/L138*100</f>
        <v>0</v>
      </c>
      <c r="AB138" s="129" t="n">
        <f aca="false">ABS((Z138-L138)/L138*100)</f>
        <v>0</v>
      </c>
      <c r="AC138" s="129" t="n">
        <v>156</v>
      </c>
      <c r="AD138" s="129" t="n">
        <f aca="false">(AC138-E138)/E138*100</f>
        <v>-4.29447852760736</v>
      </c>
      <c r="AE138" s="129" t="n">
        <f aca="false">ABS((AC138-E138)/E138*100)</f>
        <v>4.29447852760736</v>
      </c>
      <c r="AG138" s="112" t="n">
        <f aca="false">(AF138-P138)/P138*100</f>
        <v>-100</v>
      </c>
      <c r="AH138" s="112" t="n">
        <f aca="false">ABS((AF138-P138)/P138*100)</f>
        <v>100</v>
      </c>
    </row>
    <row r="139" customFormat="false" ht="14.25" hidden="false" customHeight="false" outlineLevel="0" collapsed="false">
      <c r="B139" s="129" t="s">
        <v>427</v>
      </c>
      <c r="C139" s="129" t="s">
        <v>63</v>
      </c>
      <c r="D139" s="126" t="s">
        <v>687</v>
      </c>
      <c r="E139" s="127" t="n">
        <v>64</v>
      </c>
      <c r="F139" s="153" t="n">
        <f aca="false">R139</f>
        <v>3.936</v>
      </c>
      <c r="G139" s="129"/>
      <c r="H139" s="129"/>
      <c r="I139" s="126" t="n">
        <f aca="false">G139-H139</f>
        <v>0</v>
      </c>
      <c r="J139" s="130" t="n">
        <f aca="false">J130-I139</f>
        <v>1.833752628</v>
      </c>
      <c r="K139" s="129" t="n">
        <v>1.5</v>
      </c>
      <c r="L139" s="131" t="n">
        <v>3</v>
      </c>
      <c r="M139" s="154" t="n">
        <f aca="false">L139*25.4</f>
        <v>76.2</v>
      </c>
      <c r="N139" s="154" t="n">
        <f aca="false">M139/2 /1000</f>
        <v>0.0381</v>
      </c>
      <c r="O139" s="150"/>
      <c r="P139" s="153" t="n">
        <f aca="false">O139/60</f>
        <v>0</v>
      </c>
      <c r="Q139" s="131" t="n">
        <v>1.2</v>
      </c>
      <c r="R139" s="128" t="n">
        <f aca="false">Q139*3.28</f>
        <v>3.936</v>
      </c>
      <c r="S139" s="126" t="n">
        <f aca="false">0.33*12</f>
        <v>3.96</v>
      </c>
      <c r="T139" s="128" t="n">
        <f aca="false">(1*L139)/S139</f>
        <v>0.757575757575758</v>
      </c>
      <c r="U139" s="128" t="n">
        <f aca="false">T139*3.28</f>
        <v>2.48484848484849</v>
      </c>
      <c r="V139" s="129"/>
      <c r="W139" s="125" t="n">
        <v>1.5</v>
      </c>
      <c r="X139" s="154" t="n">
        <f aca="false">(W139*F139)/100</f>
        <v>0.05904</v>
      </c>
      <c r="Y139" s="125" t="n">
        <f aca="false">6*M139/1000</f>
        <v>0.4572</v>
      </c>
      <c r="Z139" s="129" t="n">
        <v>3</v>
      </c>
      <c r="AA139" s="156" t="n">
        <f aca="false">(Z139-L139)/L139*100</f>
        <v>0</v>
      </c>
      <c r="AB139" s="129" t="n">
        <f aca="false">ABS((Z139-L139)/L139*100)</f>
        <v>0</v>
      </c>
      <c r="AC139" s="129" t="n">
        <v>61.25</v>
      </c>
      <c r="AD139" s="129" t="n">
        <f aca="false">(AC139-E139)/E139*100</f>
        <v>-4.296875</v>
      </c>
      <c r="AE139" s="129" t="n">
        <f aca="false">ABS((AC139-E139)/E139*100)</f>
        <v>4.296875</v>
      </c>
    </row>
    <row r="140" customFormat="false" ht="14.25" hidden="false" customHeight="false" outlineLevel="0" collapsed="false">
      <c r="B140" s="129" t="s">
        <v>427</v>
      </c>
      <c r="C140" s="129" t="s">
        <v>64</v>
      </c>
      <c r="D140" s="126" t="s">
        <v>688</v>
      </c>
      <c r="E140" s="127" t="n">
        <v>99</v>
      </c>
      <c r="F140" s="153" t="n">
        <f aca="false">R140</f>
        <v>13.776</v>
      </c>
      <c r="G140" s="129"/>
      <c r="H140" s="129"/>
      <c r="I140" s="126" t="n">
        <f aca="false">G140-H140</f>
        <v>0</v>
      </c>
      <c r="J140" s="130" t="n">
        <f aca="false">J131-I140</f>
        <v>0</v>
      </c>
      <c r="K140" s="129" t="n">
        <v>1.5</v>
      </c>
      <c r="L140" s="131" t="n">
        <v>4</v>
      </c>
      <c r="M140" s="154" t="n">
        <f aca="false">L140*25.4</f>
        <v>101.6</v>
      </c>
      <c r="N140" s="154" t="n">
        <f aca="false">M140/2 /1000</f>
        <v>0.0508</v>
      </c>
      <c r="O140" s="150"/>
      <c r="P140" s="153" t="n">
        <f aca="false">O140/60</f>
        <v>0</v>
      </c>
      <c r="Q140" s="131" t="n">
        <v>4.2</v>
      </c>
      <c r="R140" s="128" t="n">
        <f aca="false">Q140*3.28</f>
        <v>13.776</v>
      </c>
      <c r="S140" s="126" t="n">
        <f aca="false">0.33*12</f>
        <v>3.96</v>
      </c>
      <c r="T140" s="128" t="n">
        <f aca="false">(1*L140)/S140</f>
        <v>1.01010101010101</v>
      </c>
      <c r="U140" s="128" t="n">
        <f aca="false">T140*3.28</f>
        <v>3.31313131313131</v>
      </c>
      <c r="V140" s="129"/>
      <c r="W140" s="125" t="n">
        <v>1.5</v>
      </c>
      <c r="X140" s="154" t="n">
        <f aca="false">(W140*F140)/100</f>
        <v>0.20664</v>
      </c>
      <c r="Y140" s="125" t="n">
        <f aca="false">6*M140/1000</f>
        <v>0.6096</v>
      </c>
      <c r="Z140" s="129" t="n">
        <v>4</v>
      </c>
      <c r="AA140" s="156" t="n">
        <f aca="false">(Z140-L140)/L140*100</f>
        <v>0</v>
      </c>
      <c r="AB140" s="129" t="n">
        <f aca="false">ABS((Z140-L140)/L140*100)</f>
        <v>0</v>
      </c>
      <c r="AC140" s="129" t="n">
        <v>95.21</v>
      </c>
      <c r="AD140" s="129" t="n">
        <f aca="false">(AC140-E140)/E140*100</f>
        <v>-3.82828282828284</v>
      </c>
      <c r="AE140" s="129" t="n">
        <f aca="false">ABS((AC140-E140)/E140*100)</f>
        <v>3.82828282828284</v>
      </c>
    </row>
    <row r="141" customFormat="false" ht="14.25" hidden="false" customHeight="false" outlineLevel="0" collapsed="false">
      <c r="B141" s="129" t="s">
        <v>427</v>
      </c>
      <c r="C141" s="129"/>
      <c r="D141" s="126" t="s">
        <v>689</v>
      </c>
      <c r="E141" s="127" t="n">
        <f aca="false">50+118</f>
        <v>168</v>
      </c>
      <c r="F141" s="153" t="n">
        <f aca="false">R141</f>
        <v>11.808</v>
      </c>
      <c r="G141" s="129"/>
      <c r="H141" s="129"/>
      <c r="I141" s="126" t="n">
        <f aca="false">G141-H141</f>
        <v>0</v>
      </c>
      <c r="J141" s="130" t="n">
        <f aca="false">J132-I141</f>
        <v>1.833752628</v>
      </c>
      <c r="K141" s="129" t="n">
        <v>1.5</v>
      </c>
      <c r="L141" s="131" t="n">
        <v>6</v>
      </c>
      <c r="M141" s="154" t="n">
        <f aca="false">L141*25.4</f>
        <v>152.4</v>
      </c>
      <c r="N141" s="154" t="n">
        <f aca="false">M141/2 /1000</f>
        <v>0.0762</v>
      </c>
      <c r="O141" s="125" t="n">
        <v>1000</v>
      </c>
      <c r="P141" s="153" t="n">
        <f aca="false">O141/60</f>
        <v>16.6666666666667</v>
      </c>
      <c r="Q141" s="131" t="n">
        <v>3.6</v>
      </c>
      <c r="R141" s="128" t="n">
        <f aca="false">Q141*3.28</f>
        <v>11.808</v>
      </c>
      <c r="S141" s="126" t="n">
        <f aca="false">0.33*12</f>
        <v>3.96</v>
      </c>
      <c r="T141" s="128" t="n">
        <f aca="false">(1*L141)/S141</f>
        <v>1.51515151515152</v>
      </c>
      <c r="U141" s="128" t="n">
        <f aca="false">T141*3.28</f>
        <v>4.96969696969697</v>
      </c>
      <c r="V141" s="129"/>
      <c r="W141" s="125" t="n">
        <v>1.5</v>
      </c>
      <c r="X141" s="154" t="n">
        <f aca="false">(W141*F141)/100</f>
        <v>0.17712</v>
      </c>
      <c r="Y141" s="125" t="n">
        <f aca="false">6*M141/1000</f>
        <v>0.9144</v>
      </c>
      <c r="Z141" s="129" t="n">
        <v>6</v>
      </c>
      <c r="AA141" s="156" t="n">
        <f aca="false">(Z141-L141)/L141*100</f>
        <v>0</v>
      </c>
      <c r="AB141" s="129" t="n">
        <f aca="false">ABS((Z141-L141)/L141*100)</f>
        <v>0</v>
      </c>
      <c r="AC141" s="129" t="n">
        <v>171</v>
      </c>
      <c r="AD141" s="129" t="n">
        <f aca="false">(AC141-E141)/E141*100</f>
        <v>1.78571428571429</v>
      </c>
      <c r="AE141" s="129" t="n">
        <f aca="false">ABS((AC141-E141)/E141*100)</f>
        <v>1.78571428571429</v>
      </c>
      <c r="AG141" s="112" t="n">
        <f aca="false">(AF141-P141)/P141*100</f>
        <v>-100</v>
      </c>
      <c r="AH141" s="112" t="n">
        <f aca="false">ABS((AF141-P141)/P141*100)</f>
        <v>100</v>
      </c>
    </row>
    <row r="142" customFormat="false" ht="14.25" hidden="false" customHeight="false" outlineLevel="0" collapsed="false">
      <c r="B142" s="129" t="s">
        <v>427</v>
      </c>
      <c r="C142" s="129" t="s">
        <v>657</v>
      </c>
      <c r="D142" s="126" t="s">
        <v>690</v>
      </c>
      <c r="E142" s="127" t="n">
        <v>50</v>
      </c>
      <c r="F142" s="153" t="n">
        <f aca="false">R142</f>
        <v>3.936</v>
      </c>
      <c r="G142" s="129"/>
      <c r="H142" s="129"/>
      <c r="I142" s="126" t="n">
        <f aca="false">G142-H142</f>
        <v>0</v>
      </c>
      <c r="J142" s="130" t="n">
        <f aca="false">J133-I142</f>
        <v>0</v>
      </c>
      <c r="K142" s="129" t="n">
        <v>1.5</v>
      </c>
      <c r="L142" s="131" t="n">
        <v>3</v>
      </c>
      <c r="M142" s="154" t="n">
        <f aca="false">L142*25.4</f>
        <v>76.2</v>
      </c>
      <c r="N142" s="154" t="n">
        <f aca="false">M142/2 /1000</f>
        <v>0.0381</v>
      </c>
      <c r="O142" s="150"/>
      <c r="P142" s="153" t="n">
        <f aca="false">O142/60</f>
        <v>0</v>
      </c>
      <c r="Q142" s="131" t="n">
        <v>1.2</v>
      </c>
      <c r="R142" s="128" t="n">
        <f aca="false">Q142*3.28</f>
        <v>3.936</v>
      </c>
      <c r="S142" s="126" t="n">
        <f aca="false">0.33*12</f>
        <v>3.96</v>
      </c>
      <c r="T142" s="128" t="n">
        <f aca="false">(1*L142)/S142</f>
        <v>0.757575757575758</v>
      </c>
      <c r="U142" s="128" t="n">
        <f aca="false">T142*3.28</f>
        <v>2.48484848484849</v>
      </c>
      <c r="V142" s="129"/>
      <c r="W142" s="125" t="n">
        <v>1.5</v>
      </c>
      <c r="X142" s="154" t="n">
        <f aca="false">(W142*F142)/100</f>
        <v>0.05904</v>
      </c>
      <c r="Y142" s="125" t="n">
        <f aca="false">6*M142/1000</f>
        <v>0.4572</v>
      </c>
      <c r="Z142" s="129" t="n">
        <v>3</v>
      </c>
      <c r="AA142" s="156" t="n">
        <f aca="false">(Z142-L142)/L142*100</f>
        <v>0</v>
      </c>
      <c r="AB142" s="129" t="n">
        <f aca="false">ABS((Z142-L142)/L142*100)</f>
        <v>0</v>
      </c>
      <c r="AC142" s="129" t="n">
        <v>57.62</v>
      </c>
      <c r="AD142" s="129" t="n">
        <f aca="false">(AC142-E142)/E142*100</f>
        <v>15.24</v>
      </c>
      <c r="AE142" s="129" t="n">
        <f aca="false">ABS((AC142-E142)/E142*100)</f>
        <v>15.24</v>
      </c>
    </row>
    <row r="143" customFormat="false" ht="14.25" hidden="false" customHeight="false" outlineLevel="0" collapsed="false">
      <c r="B143" s="129" t="s">
        <v>427</v>
      </c>
      <c r="C143" s="129" t="s">
        <v>658</v>
      </c>
      <c r="D143" s="126" t="s">
        <v>691</v>
      </c>
      <c r="E143" s="127" t="n">
        <v>118</v>
      </c>
      <c r="F143" s="153" t="n">
        <f aca="false">R143</f>
        <v>13.776</v>
      </c>
      <c r="G143" s="129"/>
      <c r="H143" s="129"/>
      <c r="I143" s="126" t="n">
        <f aca="false">G143-H143</f>
        <v>0</v>
      </c>
      <c r="J143" s="130" t="n">
        <f aca="false">J134-I143</f>
        <v>0</v>
      </c>
      <c r="K143" s="129" t="n">
        <v>1.5</v>
      </c>
      <c r="L143" s="131" t="n">
        <v>4</v>
      </c>
      <c r="M143" s="154" t="n">
        <f aca="false">L143*25.4</f>
        <v>101.6</v>
      </c>
      <c r="N143" s="154" t="n">
        <f aca="false">M143/2 /1000</f>
        <v>0.0508</v>
      </c>
      <c r="O143" s="150"/>
      <c r="P143" s="153" t="n">
        <f aca="false">O143/60</f>
        <v>0</v>
      </c>
      <c r="Q143" s="131" t="n">
        <v>4.2</v>
      </c>
      <c r="R143" s="128" t="n">
        <f aca="false">Q143*3.28</f>
        <v>13.776</v>
      </c>
      <c r="S143" s="126" t="n">
        <f aca="false">0.33*12</f>
        <v>3.96</v>
      </c>
      <c r="T143" s="128" t="n">
        <f aca="false">(1*L143)/S143</f>
        <v>1.01010101010101</v>
      </c>
      <c r="U143" s="128" t="n">
        <f aca="false">T143*3.28</f>
        <v>3.31313131313131</v>
      </c>
      <c r="V143" s="129"/>
      <c r="W143" s="125" t="n">
        <v>1.5</v>
      </c>
      <c r="X143" s="154" t="n">
        <f aca="false">(W143*F143)/100</f>
        <v>0.20664</v>
      </c>
      <c r="Y143" s="125" t="n">
        <f aca="false">6*M143/1000</f>
        <v>0.6096</v>
      </c>
      <c r="Z143" s="129" t="n">
        <v>5</v>
      </c>
      <c r="AA143" s="156" t="n">
        <f aca="false">(Z143-L143)/L143*100</f>
        <v>25</v>
      </c>
      <c r="AB143" s="129" t="n">
        <f aca="false">ABS((Z143-L143)/L143*100)</f>
        <v>25</v>
      </c>
      <c r="AC143" s="129" t="n">
        <v>113</v>
      </c>
      <c r="AD143" s="129" t="n">
        <f aca="false">(AC143-E143)/E143*100</f>
        <v>-4.23728813559322</v>
      </c>
      <c r="AE143" s="129" t="n">
        <f aca="false">ABS((AC143-E143)/E143*100)</f>
        <v>4.23728813559322</v>
      </c>
    </row>
    <row r="144" customFormat="false" ht="14.25" hidden="false" customHeight="false" outlineLevel="0" collapsed="false">
      <c r="AA144" s="112" t="n">
        <f aca="false">AVERAGE(AA121:AA143)</f>
        <v>-1.0218253968254</v>
      </c>
      <c r="AB144" s="112" t="n">
        <f aca="false">AVERAGE(AB121:AB143)</f>
        <v>6.06150793650794</v>
      </c>
      <c r="AD144" s="112" t="n">
        <f aca="false">AVERAGE(AD121:AD143)</f>
        <v>-0.844863073995623</v>
      </c>
      <c r="AE144" s="112" t="n">
        <f aca="false">AVERAGE(AE121:AE143)</f>
        <v>4.91477156801733</v>
      </c>
      <c r="AG144" s="112" t="n">
        <f aca="false">AVERAGE(AG121:AG143)</f>
        <v>-32.7378888888889</v>
      </c>
      <c r="AH144" s="112" t="n">
        <f aca="false">AVERAGE(AH121:AH143)</f>
        <v>65.3212222222222</v>
      </c>
    </row>
    <row r="146" customFormat="false" ht="14.25" hidden="false" customHeight="false" outlineLevel="0" collapsed="false">
      <c r="D146" s="159" t="s">
        <v>492</v>
      </c>
      <c r="E146" s="159"/>
    </row>
    <row r="147" customFormat="false" ht="14.25" hidden="false" customHeight="false" outlineLevel="0" collapsed="false">
      <c r="D147" s="129" t="s">
        <v>692</v>
      </c>
      <c r="E147" s="129" t="s">
        <v>126</v>
      </c>
    </row>
    <row r="148" customFormat="false" ht="15" hidden="false" customHeight="false" outlineLevel="0" collapsed="false">
      <c r="D148" s="27" t="s">
        <v>40</v>
      </c>
      <c r="E148" s="79" t="n">
        <f aca="false">DUCTING!M13</f>
        <v>109</v>
      </c>
    </row>
    <row r="149" customFormat="false" ht="15" hidden="false" customHeight="false" outlineLevel="0" collapsed="false">
      <c r="D149" s="27" t="s">
        <v>41</v>
      </c>
      <c r="E149" s="79" t="n">
        <f aca="false">DUCTING!M14</f>
        <v>102</v>
      </c>
    </row>
    <row r="150" customFormat="false" ht="15" hidden="false" customHeight="false" outlineLevel="0" collapsed="false">
      <c r="D150" s="27" t="s">
        <v>42</v>
      </c>
      <c r="E150" s="79" t="n">
        <f aca="false">DUCTING!M15</f>
        <v>72</v>
      </c>
    </row>
    <row r="151" customFormat="false" ht="15" hidden="false" customHeight="false" outlineLevel="0" collapsed="false">
      <c r="D151" s="27" t="s">
        <v>43</v>
      </c>
      <c r="E151" s="79" t="n">
        <f aca="false">DUCTING!M16</f>
        <v>93</v>
      </c>
    </row>
    <row r="152" customFormat="false" ht="15" hidden="false" customHeight="false" outlineLevel="0" collapsed="false">
      <c r="D152" s="27" t="s">
        <v>44</v>
      </c>
      <c r="E152" s="79" t="n">
        <f aca="false">DUCTING!M17</f>
        <v>118</v>
      </c>
    </row>
    <row r="153" customFormat="false" ht="15" hidden="false" customHeight="false" outlineLevel="0" collapsed="false">
      <c r="D153" s="27" t="s">
        <v>45</v>
      </c>
      <c r="E153" s="79" t="n">
        <f aca="false">DUCTING!M18</f>
        <v>103</v>
      </c>
    </row>
    <row r="154" customFormat="false" ht="15" hidden="false" customHeight="false" outlineLevel="0" collapsed="false">
      <c r="D154" s="27" t="s">
        <v>46</v>
      </c>
      <c r="E154" s="79" t="n">
        <f aca="false">DUCTING!M19</f>
        <v>66</v>
      </c>
    </row>
    <row r="155" customFormat="false" ht="15" hidden="false" customHeight="false" outlineLevel="0" collapsed="false">
      <c r="D155" s="27" t="s">
        <v>47</v>
      </c>
      <c r="E155" s="79" t="n">
        <f aca="false">DUCTING!M20</f>
        <v>73</v>
      </c>
    </row>
    <row r="156" customFormat="false" ht="15" hidden="false" customHeight="false" outlineLevel="0" collapsed="false">
      <c r="D156" s="160" t="s">
        <v>693</v>
      </c>
      <c r="E156" s="140" t="n">
        <f aca="false">SUM(E148:E155)</f>
        <v>736</v>
      </c>
    </row>
    <row r="157" customFormat="false" ht="15" hidden="false" customHeight="false" outlineLevel="0" collapsed="false">
      <c r="D157" s="27"/>
      <c r="E157" s="79"/>
    </row>
    <row r="160" customFormat="false" ht="69.75" hidden="false" customHeight="true" outlineLevel="0" collapsed="false">
      <c r="B160" s="144" t="s">
        <v>74</v>
      </c>
      <c r="C160" s="145" t="s">
        <v>663</v>
      </c>
      <c r="D160" s="119" t="s">
        <v>576</v>
      </c>
      <c r="E160" s="119" t="s">
        <v>577</v>
      </c>
      <c r="F160" s="119" t="s">
        <v>578</v>
      </c>
      <c r="G160" s="119" t="s">
        <v>579</v>
      </c>
      <c r="H160" s="119"/>
      <c r="I160" s="119" t="s">
        <v>580</v>
      </c>
      <c r="J160" s="119" t="s">
        <v>581</v>
      </c>
      <c r="K160" s="119" t="s">
        <v>582</v>
      </c>
      <c r="L160" s="119" t="s">
        <v>632</v>
      </c>
      <c r="M160" s="119" t="s">
        <v>664</v>
      </c>
      <c r="N160" s="119" t="s">
        <v>665</v>
      </c>
      <c r="O160" s="119" t="s">
        <v>585</v>
      </c>
      <c r="P160" s="119" t="s">
        <v>586</v>
      </c>
      <c r="Q160" s="146" t="s">
        <v>587</v>
      </c>
      <c r="R160" s="146" t="s">
        <v>588</v>
      </c>
      <c r="S160" s="147" t="s">
        <v>589</v>
      </c>
      <c r="T160" s="146" t="s">
        <v>590</v>
      </c>
      <c r="U160" s="146" t="s">
        <v>591</v>
      </c>
      <c r="V160" s="144" t="s">
        <v>592</v>
      </c>
      <c r="W160" s="144" t="s">
        <v>593</v>
      </c>
      <c r="X160" s="144" t="s">
        <v>594</v>
      </c>
      <c r="Y160" s="144" t="s">
        <v>595</v>
      </c>
      <c r="Z160" s="161" t="s">
        <v>666</v>
      </c>
      <c r="AA160" s="161"/>
      <c r="AB160" s="161"/>
      <c r="AC160" s="161"/>
      <c r="AD160" s="161"/>
      <c r="AE160" s="161"/>
      <c r="AF160" s="161"/>
      <c r="AG160" s="161"/>
      <c r="AH160" s="161"/>
      <c r="AI160" s="129"/>
      <c r="AJ160" s="129"/>
      <c r="AK160" s="129"/>
      <c r="AL160" s="129"/>
      <c r="AM160" s="129"/>
      <c r="AN160" s="144" t="s">
        <v>694</v>
      </c>
      <c r="AO160" s="144"/>
      <c r="AP160" s="144"/>
      <c r="AQ160" s="144"/>
      <c r="AR160" s="144"/>
      <c r="AS160" s="144" t="s">
        <v>74</v>
      </c>
      <c r="AT160" s="145" t="s">
        <v>663</v>
      </c>
      <c r="AU160" s="119" t="s">
        <v>576</v>
      </c>
      <c r="AV160" s="162" t="s">
        <v>695</v>
      </c>
      <c r="AW160" s="163" t="s">
        <v>666</v>
      </c>
      <c r="AX160" s="163"/>
      <c r="AY160" s="163"/>
      <c r="AZ160" s="164"/>
      <c r="BA160" s="144" t="s">
        <v>74</v>
      </c>
      <c r="BB160" s="145" t="s">
        <v>663</v>
      </c>
      <c r="BC160" s="119" t="s">
        <v>576</v>
      </c>
      <c r="BD160" s="162" t="s">
        <v>696</v>
      </c>
      <c r="BE160" s="150" t="s">
        <v>666</v>
      </c>
      <c r="BF160" s="150"/>
      <c r="BG160" s="150"/>
    </row>
    <row r="161" customFormat="false" ht="35.5" hidden="false" customHeight="false" outlineLevel="0" collapsed="false">
      <c r="B161" s="144"/>
      <c r="C161" s="145"/>
      <c r="D161" s="119"/>
      <c r="E161" s="119"/>
      <c r="F161" s="119"/>
      <c r="G161" s="125" t="s">
        <v>596</v>
      </c>
      <c r="H161" s="125" t="s">
        <v>597</v>
      </c>
      <c r="I161" s="119"/>
      <c r="J161" s="119"/>
      <c r="K161" s="119"/>
      <c r="L161" s="119"/>
      <c r="M161" s="119"/>
      <c r="N161" s="119"/>
      <c r="O161" s="119"/>
      <c r="P161" s="119"/>
      <c r="Q161" s="146"/>
      <c r="R161" s="146"/>
      <c r="S161" s="147"/>
      <c r="T161" s="146"/>
      <c r="U161" s="146"/>
      <c r="V161" s="144"/>
      <c r="W161" s="144"/>
      <c r="X161" s="144"/>
      <c r="Y161" s="144"/>
      <c r="Z161" s="149" t="s">
        <v>667</v>
      </c>
      <c r="AA161" s="149" t="s">
        <v>668</v>
      </c>
      <c r="AB161" s="149" t="s">
        <v>668</v>
      </c>
      <c r="AC161" s="150" t="s">
        <v>126</v>
      </c>
      <c r="AD161" s="149" t="s">
        <v>669</v>
      </c>
      <c r="AE161" s="149" t="s">
        <v>669</v>
      </c>
      <c r="AF161" s="149" t="s">
        <v>586</v>
      </c>
      <c r="AG161" s="163" t="s">
        <v>670</v>
      </c>
      <c r="AH161" s="163" t="s">
        <v>670</v>
      </c>
      <c r="AI161" s="165" t="s">
        <v>664</v>
      </c>
      <c r="AJ161" s="166" t="s">
        <v>697</v>
      </c>
      <c r="AK161" s="129"/>
      <c r="AL161" s="166" t="s">
        <v>697</v>
      </c>
      <c r="AM161" s="166"/>
      <c r="AN161" s="167" t="s">
        <v>698</v>
      </c>
      <c r="AO161" s="167" t="s">
        <v>699</v>
      </c>
      <c r="AP161" s="167" t="s">
        <v>700</v>
      </c>
      <c r="AQ161" s="167" t="s">
        <v>701</v>
      </c>
      <c r="AR161" s="168" t="s">
        <v>702</v>
      </c>
      <c r="AS161" s="144"/>
      <c r="AT161" s="145"/>
      <c r="AU161" s="119"/>
      <c r="AV161" s="169" t="s">
        <v>632</v>
      </c>
      <c r="AW161" s="163" t="s">
        <v>667</v>
      </c>
      <c r="AX161" s="149" t="s">
        <v>668</v>
      </c>
      <c r="AY161" s="149" t="s">
        <v>668</v>
      </c>
      <c r="AZ161" s="163" t="s">
        <v>703</v>
      </c>
      <c r="BA161" s="144"/>
      <c r="BB161" s="145"/>
      <c r="BC161" s="119"/>
      <c r="BD161" s="169" t="s">
        <v>126</v>
      </c>
      <c r="BE161" s="150" t="s">
        <v>126</v>
      </c>
      <c r="BF161" s="163" t="s">
        <v>669</v>
      </c>
      <c r="BG161" s="163" t="s">
        <v>669</v>
      </c>
      <c r="BH161" s="151" t="s">
        <v>586</v>
      </c>
      <c r="BI161" s="152" t="s">
        <v>670</v>
      </c>
      <c r="BJ161" s="152" t="s">
        <v>670</v>
      </c>
    </row>
    <row r="162" customFormat="false" ht="14.25" hidden="false" customHeight="false" outlineLevel="0" collapsed="false">
      <c r="B162" s="129" t="s">
        <v>311</v>
      </c>
      <c r="C162" s="129"/>
      <c r="D162" s="129" t="s">
        <v>704</v>
      </c>
      <c r="E162" s="127" t="n">
        <v>736</v>
      </c>
      <c r="F162" s="153" t="n">
        <f aca="false">R162</f>
        <v>12.730992</v>
      </c>
      <c r="G162" s="129"/>
      <c r="H162" s="129"/>
      <c r="I162" s="126" t="n">
        <v>1.5</v>
      </c>
      <c r="J162" s="130" t="n">
        <f aca="false">I162+I163</f>
        <v>3</v>
      </c>
      <c r="K162" s="129" t="n">
        <v>1.5</v>
      </c>
      <c r="L162" s="131" t="n">
        <v>6</v>
      </c>
      <c r="M162" s="154" t="n">
        <f aca="false">L162*25.4</f>
        <v>152.4</v>
      </c>
      <c r="N162" s="154" t="n">
        <f aca="false">M162/2 /1000</f>
        <v>0.0762</v>
      </c>
      <c r="O162" s="131" t="n">
        <v>4000</v>
      </c>
      <c r="P162" s="153" t="n">
        <f aca="false">O162/60</f>
        <v>66.6666666666667</v>
      </c>
      <c r="Q162" s="155" t="n">
        <f aca="false">3.4689+0.4125</f>
        <v>3.8814</v>
      </c>
      <c r="R162" s="128" t="n">
        <f aca="false">Q162*3.28</f>
        <v>12.730992</v>
      </c>
      <c r="S162" s="126" t="n">
        <f aca="false">0.33*12</f>
        <v>3.96</v>
      </c>
      <c r="T162" s="128" t="n">
        <f aca="false">(1*L162)/S162</f>
        <v>1.51515151515152</v>
      </c>
      <c r="U162" s="128" t="n">
        <f aca="false">T162*3.28</f>
        <v>4.96969696969697</v>
      </c>
      <c r="V162" s="129"/>
      <c r="W162" s="131" t="n">
        <v>4</v>
      </c>
      <c r="X162" s="154" t="n">
        <f aca="false">(W162*F162)/100</f>
        <v>0.50923968</v>
      </c>
      <c r="Y162" s="125" t="n">
        <f aca="false">6*M162/1000</f>
        <v>0.9144</v>
      </c>
      <c r="Z162" s="129" t="n">
        <v>6</v>
      </c>
      <c r="AA162" s="156" t="n">
        <f aca="false">(Z162-$L162)/$L162*100</f>
        <v>0</v>
      </c>
      <c r="AB162" s="129" t="n">
        <f aca="false">ABS((Z162-$L162)/$L162*100)</f>
        <v>0</v>
      </c>
      <c r="AC162" s="129" t="n">
        <v>792</v>
      </c>
      <c r="AD162" s="129" t="n">
        <f aca="false">(AC162-$E162)/$E162*100</f>
        <v>7.60869565217391</v>
      </c>
      <c r="AE162" s="129" t="n">
        <f aca="false">ABS((AC162-$E162)/$E162*100)</f>
        <v>7.60869565217391</v>
      </c>
      <c r="AF162" s="129" t="n">
        <v>34.795</v>
      </c>
      <c r="AG162" s="129" t="n">
        <f aca="false">(AF162-$P162)/$P162*100</f>
        <v>-47.8075</v>
      </c>
      <c r="AH162" s="129" t="n">
        <f aca="false">ABS((AF162-$P162)/$P162*100)</f>
        <v>47.8075</v>
      </c>
      <c r="AI162" s="129" t="n">
        <f aca="false">Z162*25.4</f>
        <v>152.4</v>
      </c>
      <c r="AJ162" s="170" t="n">
        <f aca="false">AC162 * 1.69901082</f>
        <v>1345.61656944</v>
      </c>
      <c r="AK162" s="129" t="n">
        <v>1345.61656944</v>
      </c>
      <c r="AL162" s="170" t="n">
        <f aca="false">E162 * 1.69901082</f>
        <v>1250.47196352</v>
      </c>
      <c r="AM162" s="170" t="n">
        <v>1250.47196352</v>
      </c>
      <c r="AN162" s="129"/>
      <c r="AO162" s="129"/>
      <c r="AP162" s="129"/>
      <c r="AQ162" s="129"/>
      <c r="AR162" s="129"/>
      <c r="AS162" s="129" t="s">
        <v>311</v>
      </c>
      <c r="AT162" s="129"/>
      <c r="AU162" s="129" t="s">
        <v>705</v>
      </c>
      <c r="AV162" s="129" t="n">
        <f aca="false">L162</f>
        <v>6</v>
      </c>
      <c r="AW162" s="129" t="n">
        <v>6</v>
      </c>
      <c r="AX162" s="156" t="n">
        <f aca="false">(AW162-$L162)/$L162*100</f>
        <v>0</v>
      </c>
      <c r="AY162" s="129" t="n">
        <f aca="false">ABS((AW162-$L162)/$L162*100)</f>
        <v>0</v>
      </c>
      <c r="AZ162" s="171" t="n">
        <f aca="false">AW162*0.0254/2</f>
        <v>0.0762</v>
      </c>
      <c r="BA162" s="129" t="s">
        <v>311</v>
      </c>
      <c r="BB162" s="129"/>
      <c r="BC162" s="129" t="s">
        <v>704</v>
      </c>
      <c r="BD162" s="140" t="n">
        <f aca="false">E162</f>
        <v>736</v>
      </c>
      <c r="BE162" s="129" t="n">
        <v>736</v>
      </c>
      <c r="BF162" s="172" t="n">
        <f aca="false">(BE162-$E162)/$E162*100</f>
        <v>0</v>
      </c>
      <c r="BG162" s="172" t="n">
        <f aca="false">ABS((BE162-$E162)/$E162*100)</f>
        <v>0</v>
      </c>
      <c r="BH162" s="112" t="n">
        <v>34.795</v>
      </c>
      <c r="BI162" s="112" t="n">
        <f aca="false">(BH162-$P162)/$P162*100</f>
        <v>-47.8075</v>
      </c>
      <c r="BJ162" s="112" t="n">
        <f aca="false">ABS((BH162-$P162)/$P162*100)</f>
        <v>47.8075</v>
      </c>
    </row>
    <row r="163" customFormat="false" ht="15" hidden="false" customHeight="false" outlineLevel="0" collapsed="false">
      <c r="B163" s="129" t="s">
        <v>311</v>
      </c>
      <c r="C163" s="27" t="s">
        <v>43</v>
      </c>
      <c r="D163" s="129" t="s">
        <v>706</v>
      </c>
      <c r="E163" s="127" t="n">
        <v>93</v>
      </c>
      <c r="F163" s="153" t="n">
        <f aca="false">R163</f>
        <v>3.608</v>
      </c>
      <c r="G163" s="129"/>
      <c r="H163" s="129"/>
      <c r="I163" s="126" t="n">
        <v>1.5</v>
      </c>
      <c r="J163" s="130" t="n">
        <f aca="false">I163+I164</f>
        <v>3</v>
      </c>
      <c r="K163" s="129" t="n">
        <v>1.5</v>
      </c>
      <c r="L163" s="131" t="n">
        <v>4</v>
      </c>
      <c r="M163" s="154" t="n">
        <f aca="false">L163*25.4</f>
        <v>101.6</v>
      </c>
      <c r="N163" s="154" t="n">
        <f aca="false">M163/2 /1000</f>
        <v>0.0508</v>
      </c>
      <c r="O163" s="150"/>
      <c r="P163" s="153" t="n">
        <f aca="false">O163/60</f>
        <v>0</v>
      </c>
      <c r="Q163" s="155" t="n">
        <v>1.1</v>
      </c>
      <c r="R163" s="128" t="n">
        <f aca="false">Q163*3.28</f>
        <v>3.608</v>
      </c>
      <c r="S163" s="126" t="n">
        <f aca="false">0.33*12</f>
        <v>3.96</v>
      </c>
      <c r="T163" s="128" t="n">
        <f aca="false">(1*L163)/S163</f>
        <v>1.01010101010101</v>
      </c>
      <c r="U163" s="128" t="n">
        <f aca="false">T163*3.28</f>
        <v>3.31313131313131</v>
      </c>
      <c r="V163" s="129"/>
      <c r="W163" s="131"/>
      <c r="X163" s="154" t="n">
        <f aca="false">(W163*F163)/100</f>
        <v>0</v>
      </c>
      <c r="Y163" s="125" t="n">
        <f aca="false">6*M163/1000</f>
        <v>0.6096</v>
      </c>
      <c r="Z163" s="129" t="n">
        <v>2.5</v>
      </c>
      <c r="AA163" s="156" t="n">
        <f aca="false">(Z163-$L163)/$L163*100</f>
        <v>-37.5</v>
      </c>
      <c r="AB163" s="129" t="n">
        <f aca="false">ABS((Z163-$L163)/$L163*100)</f>
        <v>37.5</v>
      </c>
      <c r="AC163" s="129" t="n">
        <v>82.09</v>
      </c>
      <c r="AD163" s="129" t="n">
        <f aca="false">(AC163-$E163)/$E163*100</f>
        <v>-11.7311827956989</v>
      </c>
      <c r="AE163" s="129" t="n">
        <f aca="false">ABS((AC163-$E163)/$E163*100)</f>
        <v>11.7311827956989</v>
      </c>
      <c r="AF163" s="129" t="n">
        <v>34.795</v>
      </c>
      <c r="AG163" s="129" t="e">
        <f aca="false">(AF163-$P163)/$P163*100</f>
        <v>#DIV/0!</v>
      </c>
      <c r="AH163" s="129" t="e">
        <f aca="false">ABS((AF163-$P163)/$P163*100)</f>
        <v>#DIV/0!</v>
      </c>
      <c r="AI163" s="129" t="n">
        <f aca="false">Z163*25.4</f>
        <v>63.5</v>
      </c>
      <c r="AJ163" s="170" t="n">
        <f aca="false">AC163 * 1.69901082</f>
        <v>139.4717982138</v>
      </c>
      <c r="AK163" s="129" t="n">
        <v>139.4717982138</v>
      </c>
      <c r="AL163" s="170" t="n">
        <f aca="false">E163 * 1.69901082</f>
        <v>158.00800626</v>
      </c>
      <c r="AM163" s="170" t="n">
        <v>158.00800626</v>
      </c>
      <c r="AN163" s="129" t="n">
        <v>105</v>
      </c>
      <c r="AO163" s="129" t="n">
        <f aca="false">29/1000</f>
        <v>0.029</v>
      </c>
      <c r="AP163" s="129" t="n">
        <v>158.00800626</v>
      </c>
      <c r="AQ163" s="170" t="n">
        <f aca="false">65/1000</f>
        <v>0.065</v>
      </c>
      <c r="AR163" s="129"/>
      <c r="AS163" s="129" t="s">
        <v>311</v>
      </c>
      <c r="AT163" s="27" t="s">
        <v>43</v>
      </c>
      <c r="AU163" s="129" t="s">
        <v>707</v>
      </c>
      <c r="AV163" s="129" t="n">
        <f aca="false">L163</f>
        <v>4</v>
      </c>
      <c r="AW163" s="129" t="n">
        <v>2.5</v>
      </c>
      <c r="AX163" s="156" t="n">
        <f aca="false">(AW163-$L163)/$L163*100</f>
        <v>-37.5</v>
      </c>
      <c r="AY163" s="129" t="n">
        <f aca="false">ABS((AW163-$L163)/$L163*100)</f>
        <v>37.5</v>
      </c>
      <c r="AZ163" s="171" t="n">
        <f aca="false">AW163*0.0254/2</f>
        <v>0.03175</v>
      </c>
      <c r="BA163" s="129" t="s">
        <v>311</v>
      </c>
      <c r="BB163" s="27" t="s">
        <v>43</v>
      </c>
      <c r="BC163" s="129" t="s">
        <v>708</v>
      </c>
      <c r="BD163" s="140" t="n">
        <f aca="false">E163</f>
        <v>93</v>
      </c>
      <c r="BE163" s="129" t="n">
        <v>91.34</v>
      </c>
      <c r="BF163" s="172" t="n">
        <f aca="false">(BE163-$E163)/$E163*100</f>
        <v>-1.78494623655914</v>
      </c>
      <c r="BG163" s="172" t="n">
        <f aca="false">ABS((BE163-$E163)/$E163*100)</f>
        <v>1.78494623655914</v>
      </c>
      <c r="BH163" s="112" t="n">
        <v>34.795</v>
      </c>
      <c r="BI163" s="112" t="e">
        <f aca="false">(BH163-$P163)/$P163*100</f>
        <v>#DIV/0!</v>
      </c>
      <c r="BJ163" s="112" t="e">
        <f aca="false">ABS((BH163-$P163)/$P163*100)</f>
        <v>#DIV/0!</v>
      </c>
    </row>
    <row r="164" customFormat="false" ht="15" hidden="false" customHeight="false" outlineLevel="0" collapsed="false">
      <c r="B164" s="129" t="s">
        <v>311</v>
      </c>
      <c r="C164" s="27"/>
      <c r="D164" s="129" t="s">
        <v>709</v>
      </c>
      <c r="E164" s="127" t="n">
        <f aca="false">E162-E163</f>
        <v>643</v>
      </c>
      <c r="F164" s="153" t="n">
        <f aca="false">R164</f>
        <v>10.824</v>
      </c>
      <c r="G164" s="129"/>
      <c r="H164" s="129"/>
      <c r="I164" s="126" t="n">
        <v>1.5</v>
      </c>
      <c r="J164" s="130" t="n">
        <f aca="false">I164+I165</f>
        <v>3</v>
      </c>
      <c r="K164" s="129" t="n">
        <v>1.5</v>
      </c>
      <c r="L164" s="131" t="n">
        <v>7</v>
      </c>
      <c r="M164" s="154" t="n">
        <f aca="false">L164*25.4</f>
        <v>177.8</v>
      </c>
      <c r="N164" s="154" t="n">
        <f aca="false">M164/2 /1000</f>
        <v>0.0889</v>
      </c>
      <c r="O164" s="131" t="n">
        <v>2350</v>
      </c>
      <c r="P164" s="153" t="n">
        <f aca="false">O164/60</f>
        <v>39.1666666666667</v>
      </c>
      <c r="Q164" s="155" t="n">
        <v>3.3</v>
      </c>
      <c r="R164" s="128" t="n">
        <f aca="false">Q164*3.28</f>
        <v>10.824</v>
      </c>
      <c r="S164" s="126" t="n">
        <f aca="false">0.33*12</f>
        <v>3.96</v>
      </c>
      <c r="T164" s="128" t="n">
        <f aca="false">(1*L164)/S164</f>
        <v>1.76767676767677</v>
      </c>
      <c r="U164" s="128" t="n">
        <f aca="false">T164*3.28</f>
        <v>5.7979797979798</v>
      </c>
      <c r="V164" s="129"/>
      <c r="W164" s="131" t="n">
        <v>1.5</v>
      </c>
      <c r="X164" s="154" t="n">
        <f aca="false">(W164*F164)/100</f>
        <v>0.16236</v>
      </c>
      <c r="Y164" s="125" t="n">
        <f aca="false">6*M164/1000</f>
        <v>1.0668</v>
      </c>
      <c r="Z164" s="129" t="n">
        <v>8</v>
      </c>
      <c r="AA164" s="156" t="n">
        <f aca="false">(Z164-$L164)/$L164*100</f>
        <v>14.2857142857143</v>
      </c>
      <c r="AB164" s="129" t="n">
        <f aca="false">ABS((Z164-$L164)/$L164*100)</f>
        <v>14.2857142857143</v>
      </c>
      <c r="AC164" s="129" t="n">
        <v>710</v>
      </c>
      <c r="AD164" s="129" t="n">
        <f aca="false">(AC164-$E164)/$E164*100</f>
        <v>10.4199066874028</v>
      </c>
      <c r="AE164" s="129" t="n">
        <f aca="false">ABS((AC164-$E164)/$E164*100)</f>
        <v>10.4199066874028</v>
      </c>
      <c r="AF164" s="129" t="n">
        <v>34.795</v>
      </c>
      <c r="AG164" s="129" t="n">
        <f aca="false">(AF164-$P164)/$P164*100</f>
        <v>-11.1617021276596</v>
      </c>
      <c r="AH164" s="129" t="n">
        <f aca="false">ABS((AF164-$P164)/$P164*100)</f>
        <v>11.1617021276596</v>
      </c>
      <c r="AI164" s="129" t="n">
        <f aca="false">Z164*25.4</f>
        <v>203.2</v>
      </c>
      <c r="AJ164" s="170" t="n">
        <f aca="false">AC164 * 1.69901082</f>
        <v>1206.2976822</v>
      </c>
      <c r="AK164" s="129" t="n">
        <v>1206.2976822</v>
      </c>
      <c r="AL164" s="170" t="n">
        <f aca="false">E164 * 1.69901082</f>
        <v>1092.46395726</v>
      </c>
      <c r="AM164" s="170" t="n">
        <v>1092.46395726</v>
      </c>
      <c r="AN164" s="129"/>
      <c r="AO164" s="129"/>
      <c r="AP164" s="129"/>
      <c r="AQ164" s="129"/>
      <c r="AR164" s="129"/>
      <c r="AS164" s="129" t="s">
        <v>311</v>
      </c>
      <c r="AT164" s="27"/>
      <c r="AU164" s="129" t="s">
        <v>710</v>
      </c>
      <c r="AV164" s="129" t="n">
        <f aca="false">L164</f>
        <v>7</v>
      </c>
      <c r="AW164" s="129" t="n">
        <v>8</v>
      </c>
      <c r="AX164" s="156" t="n">
        <f aca="false">(AW164-$L164)/$L164*100</f>
        <v>14.2857142857143</v>
      </c>
      <c r="AY164" s="129" t="n">
        <f aca="false">ABS((AW164-$L164)/$L164*100)</f>
        <v>14.2857142857143</v>
      </c>
      <c r="AZ164" s="171" t="n">
        <f aca="false">AW164*0.0254/2</f>
        <v>0.1016</v>
      </c>
      <c r="BA164" s="129" t="s">
        <v>311</v>
      </c>
      <c r="BB164" s="27"/>
      <c r="BC164" s="129" t="s">
        <v>711</v>
      </c>
      <c r="BD164" s="140" t="n">
        <f aca="false">E164</f>
        <v>643</v>
      </c>
      <c r="BE164" s="129" t="n">
        <v>645</v>
      </c>
      <c r="BF164" s="172" t="n">
        <f aca="false">(BE164-$E164)/$E164*100</f>
        <v>0.31104199066874</v>
      </c>
      <c r="BG164" s="172" t="n">
        <f aca="false">ABS((BE164-$E164)/$E164*100)</f>
        <v>0.31104199066874</v>
      </c>
      <c r="BH164" s="112" t="n">
        <v>34.795</v>
      </c>
      <c r="BI164" s="112" t="n">
        <f aca="false">(BH164-$P164)/$P164*100</f>
        <v>-11.1617021276596</v>
      </c>
      <c r="BJ164" s="112" t="n">
        <f aca="false">ABS((BH164-$P164)/$P164*100)</f>
        <v>11.1617021276596</v>
      </c>
    </row>
    <row r="165" customFormat="false" ht="15" hidden="false" customHeight="false" outlineLevel="0" collapsed="false">
      <c r="B165" s="129" t="s">
        <v>311</v>
      </c>
      <c r="C165" s="27" t="s">
        <v>47</v>
      </c>
      <c r="D165" s="129" t="s">
        <v>712</v>
      </c>
      <c r="E165" s="127" t="n">
        <v>73</v>
      </c>
      <c r="F165" s="153" t="n">
        <f aca="false">R165</f>
        <v>14.104</v>
      </c>
      <c r="G165" s="129"/>
      <c r="H165" s="129"/>
      <c r="I165" s="126" t="n">
        <v>1.5</v>
      </c>
      <c r="J165" s="130" t="n">
        <f aca="false">I165+I166</f>
        <v>3</v>
      </c>
      <c r="K165" s="129" t="n">
        <v>1.5</v>
      </c>
      <c r="L165" s="131" t="n">
        <v>3</v>
      </c>
      <c r="M165" s="154" t="n">
        <f aca="false">L165*25.4</f>
        <v>76.2</v>
      </c>
      <c r="N165" s="154" t="n">
        <f aca="false">M165/2 /1000</f>
        <v>0.0381</v>
      </c>
      <c r="O165" s="150"/>
      <c r="P165" s="153" t="n">
        <f aca="false">O165/60</f>
        <v>0</v>
      </c>
      <c r="Q165" s="155" t="n">
        <f aca="false">2.8+1.5</f>
        <v>4.3</v>
      </c>
      <c r="R165" s="128" t="n">
        <f aca="false">Q165*3.28</f>
        <v>14.104</v>
      </c>
      <c r="S165" s="126" t="n">
        <f aca="false">0.33*12</f>
        <v>3.96</v>
      </c>
      <c r="T165" s="128" t="n">
        <f aca="false">(1*L165)/S165</f>
        <v>0.757575757575758</v>
      </c>
      <c r="U165" s="128" t="n">
        <f aca="false">T165*3.28</f>
        <v>2.48484848484849</v>
      </c>
      <c r="V165" s="129"/>
      <c r="W165" s="131"/>
      <c r="X165" s="154" t="n">
        <f aca="false">(W165*F165)/100</f>
        <v>0</v>
      </c>
      <c r="Y165" s="125" t="n">
        <f aca="false">6*M165/1000</f>
        <v>0.4572</v>
      </c>
      <c r="Z165" s="129" t="n">
        <v>3</v>
      </c>
      <c r="AA165" s="156" t="n">
        <f aca="false">(Z165-$L165)/$L165*100</f>
        <v>0</v>
      </c>
      <c r="AB165" s="129" t="n">
        <f aca="false">ABS((Z165-$L165)/$L165*100)</f>
        <v>0</v>
      </c>
      <c r="AC165" s="129" t="n">
        <v>74.84</v>
      </c>
      <c r="AD165" s="129" t="n">
        <f aca="false">(AC165-$E165)/$E165*100</f>
        <v>2.52054794520548</v>
      </c>
      <c r="AE165" s="129" t="n">
        <f aca="false">ABS((AC165-$E165)/$E165*100)</f>
        <v>2.52054794520548</v>
      </c>
      <c r="AF165" s="129" t="n">
        <v>34.795</v>
      </c>
      <c r="AG165" s="129" t="e">
        <f aca="false">(AF165-$P165)/$P165*100</f>
        <v>#DIV/0!</v>
      </c>
      <c r="AH165" s="129" t="e">
        <f aca="false">ABS((AF165-$P165)/$P165*100)</f>
        <v>#DIV/0!</v>
      </c>
      <c r="AI165" s="129" t="n">
        <f aca="false">Z165*25.4</f>
        <v>76.2</v>
      </c>
      <c r="AJ165" s="170" t="n">
        <f aca="false">AC165 * 1.69901082</f>
        <v>127.1539697688</v>
      </c>
      <c r="AK165" s="129" t="n">
        <v>127.1539697688</v>
      </c>
      <c r="AL165" s="170" t="n">
        <f aca="false">E165 * 1.69901082</f>
        <v>124.02778986</v>
      </c>
      <c r="AM165" s="170" t="n">
        <v>124.02778986</v>
      </c>
      <c r="AN165" s="129" t="n">
        <v>105</v>
      </c>
      <c r="AO165" s="129" t="n">
        <v>0.029</v>
      </c>
      <c r="AP165" s="129" t="n">
        <v>124.02778986</v>
      </c>
      <c r="AQ165" s="129" t="n">
        <f aca="false">40/1000</f>
        <v>0.04</v>
      </c>
      <c r="AR165" s="129"/>
      <c r="AS165" s="129" t="s">
        <v>311</v>
      </c>
      <c r="AT165" s="27" t="s">
        <v>47</v>
      </c>
      <c r="AU165" s="129" t="s">
        <v>713</v>
      </c>
      <c r="AV165" s="129" t="n">
        <f aca="false">L165</f>
        <v>3</v>
      </c>
      <c r="AW165" s="129" t="n">
        <v>2.5</v>
      </c>
      <c r="AX165" s="156" t="n">
        <f aca="false">(AW165-$L165)/$L165*100</f>
        <v>-16.6666666666667</v>
      </c>
      <c r="AY165" s="129" t="n">
        <f aca="false">ABS((AW165-$L165)/$L165*100)</f>
        <v>16.6666666666667</v>
      </c>
      <c r="AZ165" s="171" t="n">
        <f aca="false">AW165*0.0254/2</f>
        <v>0.03175</v>
      </c>
      <c r="BA165" s="129" t="s">
        <v>311</v>
      </c>
      <c r="BB165" s="27" t="s">
        <v>47</v>
      </c>
      <c r="BC165" s="129" t="s">
        <v>714</v>
      </c>
      <c r="BD165" s="140" t="n">
        <f aca="false">E165</f>
        <v>73</v>
      </c>
      <c r="BE165" s="129" t="n">
        <v>76.91</v>
      </c>
      <c r="BF165" s="172" t="n">
        <f aca="false">(BE165-$E165)/$E165*100</f>
        <v>5.35616438356164</v>
      </c>
      <c r="BG165" s="172" t="n">
        <f aca="false">ABS((BE165-$E165)/$E165*100)</f>
        <v>5.35616438356164</v>
      </c>
      <c r="BH165" s="112" t="n">
        <v>34.795</v>
      </c>
      <c r="BI165" s="112" t="e">
        <f aca="false">(BH165-$P165)/$P165*100</f>
        <v>#DIV/0!</v>
      </c>
      <c r="BJ165" s="112" t="e">
        <f aca="false">ABS((BH165-$P165)/$P165*100)</f>
        <v>#DIV/0!</v>
      </c>
    </row>
    <row r="166" customFormat="false" ht="15" hidden="false" customHeight="false" outlineLevel="0" collapsed="false">
      <c r="B166" s="129" t="s">
        <v>311</v>
      </c>
      <c r="C166" s="27"/>
      <c r="D166" s="129" t="s">
        <v>715</v>
      </c>
      <c r="E166" s="127" t="n">
        <f aca="false">E164-E165</f>
        <v>570</v>
      </c>
      <c r="F166" s="153" t="n">
        <f aca="false">R166</f>
        <v>5.904</v>
      </c>
      <c r="G166" s="129"/>
      <c r="H166" s="129"/>
      <c r="I166" s="126" t="n">
        <v>1.5</v>
      </c>
      <c r="J166" s="130" t="n">
        <f aca="false">I166+I167</f>
        <v>3</v>
      </c>
      <c r="K166" s="129" t="n">
        <v>1.5</v>
      </c>
      <c r="L166" s="131" t="n">
        <v>7</v>
      </c>
      <c r="M166" s="154" t="n">
        <f aca="false">L166*25.4</f>
        <v>177.8</v>
      </c>
      <c r="N166" s="154" t="n">
        <f aca="false">M166/2 /1000</f>
        <v>0.0889</v>
      </c>
      <c r="O166" s="131" t="n">
        <v>2200</v>
      </c>
      <c r="P166" s="153" t="n">
        <f aca="false">O166/60</f>
        <v>36.6666666666667</v>
      </c>
      <c r="Q166" s="155" t="n">
        <v>1.8</v>
      </c>
      <c r="R166" s="128" t="n">
        <f aca="false">Q166*3.28</f>
        <v>5.904</v>
      </c>
      <c r="S166" s="126" t="n">
        <f aca="false">0.33*12</f>
        <v>3.96</v>
      </c>
      <c r="T166" s="128" t="n">
        <f aca="false">(1*L166)/S166</f>
        <v>1.76767676767677</v>
      </c>
      <c r="U166" s="128" t="n">
        <f aca="false">T166*3.28</f>
        <v>5.7979797979798</v>
      </c>
      <c r="V166" s="129"/>
      <c r="W166" s="131" t="n">
        <v>1.3</v>
      </c>
      <c r="X166" s="154" t="n">
        <f aca="false">(W166*F166)/100</f>
        <v>0.076752</v>
      </c>
      <c r="Y166" s="125" t="n">
        <f aca="false">6*M166/1000</f>
        <v>1.0668</v>
      </c>
      <c r="Z166" s="129" t="n">
        <v>8</v>
      </c>
      <c r="AA166" s="156" t="n">
        <f aca="false">(Z166-$L166)/$L166*100</f>
        <v>14.2857142857143</v>
      </c>
      <c r="AB166" s="129" t="n">
        <f aca="false">ABS((Z166-$L166)/$L166*100)</f>
        <v>14.2857142857143</v>
      </c>
      <c r="AC166" s="129" t="n">
        <v>635</v>
      </c>
      <c r="AD166" s="129" t="n">
        <f aca="false">(AC166-$E166)/$E166*100</f>
        <v>11.4035087719298</v>
      </c>
      <c r="AE166" s="129" t="n">
        <f aca="false">ABS((AC166-$E166)/$E166*100)</f>
        <v>11.4035087719298</v>
      </c>
      <c r="AF166" s="129" t="n">
        <v>34.795</v>
      </c>
      <c r="AG166" s="129" t="n">
        <f aca="false">(AF166-$P166)/$P166*100</f>
        <v>-5.10454545454544</v>
      </c>
      <c r="AH166" s="129" t="n">
        <f aca="false">ABS((AF166-$P166)/$P166*100)</f>
        <v>5.10454545454544</v>
      </c>
      <c r="AI166" s="129" t="n">
        <f aca="false">Z166*25.4</f>
        <v>203.2</v>
      </c>
      <c r="AJ166" s="170" t="n">
        <f aca="false">AC166 * 1.69901082</f>
        <v>1078.8718707</v>
      </c>
      <c r="AK166" s="129" t="n">
        <v>1078.8718707</v>
      </c>
      <c r="AL166" s="170" t="n">
        <f aca="false">E166 * 1.69901082</f>
        <v>968.4361674</v>
      </c>
      <c r="AM166" s="170" t="n">
        <v>968.4361674</v>
      </c>
      <c r="AN166" s="129"/>
      <c r="AO166" s="129"/>
      <c r="AP166" s="129"/>
      <c r="AQ166" s="129"/>
      <c r="AR166" s="129"/>
      <c r="AS166" s="129" t="s">
        <v>311</v>
      </c>
      <c r="AT166" s="27"/>
      <c r="AU166" s="129" t="s">
        <v>716</v>
      </c>
      <c r="AV166" s="129" t="n">
        <f aca="false">L166</f>
        <v>7</v>
      </c>
      <c r="AW166" s="129" t="n">
        <v>8</v>
      </c>
      <c r="AX166" s="156" t="n">
        <f aca="false">(AW166-$L166)/$L166*100</f>
        <v>14.2857142857143</v>
      </c>
      <c r="AY166" s="129" t="n">
        <f aca="false">ABS((AW166-$L166)/$L166*100)</f>
        <v>14.2857142857143</v>
      </c>
      <c r="AZ166" s="171" t="n">
        <f aca="false">AW166*0.0254/2</f>
        <v>0.1016</v>
      </c>
      <c r="BA166" s="129" t="s">
        <v>311</v>
      </c>
      <c r="BB166" s="27"/>
      <c r="BC166" s="129" t="s">
        <v>717</v>
      </c>
      <c r="BD166" s="140" t="n">
        <f aca="false">E166</f>
        <v>570</v>
      </c>
      <c r="BE166" s="129" t="n">
        <v>568</v>
      </c>
      <c r="BF166" s="172" t="n">
        <f aca="false">(BE166-$E166)/$E166*100</f>
        <v>-0.350877192982456</v>
      </c>
      <c r="BG166" s="172" t="n">
        <f aca="false">ABS((BE166-$E166)/$E166*100)</f>
        <v>0.350877192982456</v>
      </c>
      <c r="BH166" s="112" t="n">
        <v>34.795</v>
      </c>
      <c r="BI166" s="112" t="n">
        <f aca="false">(BH166-$P166)/$P166*100</f>
        <v>-5.10454545454544</v>
      </c>
      <c r="BJ166" s="112" t="n">
        <f aca="false">ABS((BH166-$P166)/$P166*100)</f>
        <v>5.10454545454544</v>
      </c>
    </row>
    <row r="167" customFormat="false" ht="15" hidden="false" customHeight="false" outlineLevel="0" collapsed="false">
      <c r="B167" s="129" t="s">
        <v>311</v>
      </c>
      <c r="C167" s="27" t="s">
        <v>46</v>
      </c>
      <c r="D167" s="129" t="s">
        <v>718</v>
      </c>
      <c r="E167" s="127" t="n">
        <f aca="false">E154</f>
        <v>66</v>
      </c>
      <c r="F167" s="153" t="n">
        <f aca="false">R167</f>
        <v>9.84</v>
      </c>
      <c r="G167" s="129"/>
      <c r="H167" s="129"/>
      <c r="I167" s="126" t="n">
        <v>1.5</v>
      </c>
      <c r="J167" s="130" t="n">
        <f aca="false">I167+I168</f>
        <v>3</v>
      </c>
      <c r="K167" s="129" t="n">
        <v>1.5</v>
      </c>
      <c r="L167" s="131" t="n">
        <v>3</v>
      </c>
      <c r="M167" s="154" t="n">
        <f aca="false">L167*25.4</f>
        <v>76.2</v>
      </c>
      <c r="N167" s="154" t="n">
        <f aca="false">M167/2 /1000</f>
        <v>0.0381</v>
      </c>
      <c r="O167" s="150"/>
      <c r="P167" s="153" t="n">
        <f aca="false">O167/60</f>
        <v>0</v>
      </c>
      <c r="Q167" s="155" t="n">
        <v>3</v>
      </c>
      <c r="R167" s="128" t="n">
        <f aca="false">Q167*3.28</f>
        <v>9.84</v>
      </c>
      <c r="S167" s="126" t="n">
        <f aca="false">0.33*12</f>
        <v>3.96</v>
      </c>
      <c r="T167" s="128" t="n">
        <f aca="false">(1*L167)/S167</f>
        <v>0.757575757575758</v>
      </c>
      <c r="U167" s="128" t="n">
        <f aca="false">T167*3.28</f>
        <v>2.48484848484849</v>
      </c>
      <c r="V167" s="129"/>
      <c r="W167" s="131"/>
      <c r="X167" s="154" t="n">
        <f aca="false">(W167*F167)/100</f>
        <v>0</v>
      </c>
      <c r="Y167" s="125" t="n">
        <f aca="false">6*M167/1000</f>
        <v>0.4572</v>
      </c>
      <c r="Z167" s="129" t="n">
        <v>2.5</v>
      </c>
      <c r="AA167" s="156" t="n">
        <f aca="false">(Z167-$L167)/$L167*100</f>
        <v>-16.6666666666667</v>
      </c>
      <c r="AB167" s="129" t="n">
        <f aca="false">ABS((Z167-$L167)/$L167*100)</f>
        <v>16.6666666666667</v>
      </c>
      <c r="AC167" s="129" t="n">
        <v>64.18</v>
      </c>
      <c r="AD167" s="129" t="n">
        <f aca="false">(AC167-$E167)/$E167*100</f>
        <v>-2.75757575757575</v>
      </c>
      <c r="AE167" s="129" t="n">
        <f aca="false">ABS((AC167-$E167)/$E167*100)</f>
        <v>2.75757575757575</v>
      </c>
      <c r="AF167" s="129" t="n">
        <v>34.795</v>
      </c>
      <c r="AG167" s="129" t="e">
        <f aca="false">(AF167-$P167)/$P167*100</f>
        <v>#DIV/0!</v>
      </c>
      <c r="AH167" s="129" t="e">
        <f aca="false">ABS((AF167-$P167)/$P167*100)</f>
        <v>#DIV/0!</v>
      </c>
      <c r="AI167" s="129" t="n">
        <f aca="false">Z167*25.4</f>
        <v>63.5</v>
      </c>
      <c r="AJ167" s="170" t="n">
        <f aca="false">AC167 * 1.69901082</f>
        <v>109.0425144276</v>
      </c>
      <c r="AK167" s="129" t="n">
        <v>109.0425144276</v>
      </c>
      <c r="AL167" s="170" t="n">
        <f aca="false">E167 * 1.69901082</f>
        <v>112.13471412</v>
      </c>
      <c r="AM167" s="170" t="n">
        <v>112.13471412</v>
      </c>
      <c r="AN167" s="129" t="n">
        <v>105</v>
      </c>
      <c r="AO167" s="129" t="n">
        <v>0.029</v>
      </c>
      <c r="AP167" s="129" t="n">
        <v>112.13471412</v>
      </c>
      <c r="AQ167" s="129" t="n">
        <f aca="false">32/1000</f>
        <v>0.032</v>
      </c>
      <c r="AR167" s="129"/>
      <c r="AS167" s="129" t="s">
        <v>311</v>
      </c>
      <c r="AT167" s="27" t="s">
        <v>46</v>
      </c>
      <c r="AU167" s="129" t="s">
        <v>719</v>
      </c>
      <c r="AV167" s="129" t="n">
        <f aca="false">L167</f>
        <v>3</v>
      </c>
      <c r="AW167" s="129" t="n">
        <v>2.5</v>
      </c>
      <c r="AX167" s="156" t="n">
        <f aca="false">(AW167-$L167)/$L167*100</f>
        <v>-16.6666666666667</v>
      </c>
      <c r="AY167" s="129" t="n">
        <f aca="false">ABS((AW167-$L167)/$L167*100)</f>
        <v>16.6666666666667</v>
      </c>
      <c r="AZ167" s="171" t="n">
        <f aca="false">AW167*0.0254/2</f>
        <v>0.03175</v>
      </c>
      <c r="BA167" s="129" t="s">
        <v>311</v>
      </c>
      <c r="BB167" s="27" t="s">
        <v>46</v>
      </c>
      <c r="BC167" s="129" t="s">
        <v>720</v>
      </c>
      <c r="BD167" s="140" t="n">
        <f aca="false">E167</f>
        <v>66</v>
      </c>
      <c r="BE167" s="129" t="n">
        <v>63.7</v>
      </c>
      <c r="BF167" s="172" t="n">
        <f aca="false">(BE167-$E167)/$E167*100</f>
        <v>-3.48484848484848</v>
      </c>
      <c r="BG167" s="172" t="n">
        <f aca="false">ABS((BE167-$E167)/$E167*100)</f>
        <v>3.48484848484848</v>
      </c>
      <c r="BH167" s="112" t="n">
        <v>34.795</v>
      </c>
      <c r="BI167" s="112" t="e">
        <f aca="false">(BH167-$P167)/$P167*100</f>
        <v>#DIV/0!</v>
      </c>
      <c r="BJ167" s="112" t="e">
        <f aca="false">ABS((BH167-$P167)/$P167*100)</f>
        <v>#DIV/0!</v>
      </c>
    </row>
    <row r="168" customFormat="false" ht="15" hidden="false" customHeight="false" outlineLevel="0" collapsed="false">
      <c r="B168" s="129" t="s">
        <v>311</v>
      </c>
      <c r="C168" s="27"/>
      <c r="D168" s="129" t="s">
        <v>721</v>
      </c>
      <c r="E168" s="127" t="n">
        <f aca="false">E166-E167</f>
        <v>504</v>
      </c>
      <c r="F168" s="153" t="n">
        <f aca="false">R168</f>
        <v>8.528</v>
      </c>
      <c r="G168" s="129"/>
      <c r="H168" s="129"/>
      <c r="I168" s="126" t="n">
        <v>1.5</v>
      </c>
      <c r="J168" s="130" t="n">
        <f aca="false">I168+I169</f>
        <v>3</v>
      </c>
      <c r="K168" s="129" t="n">
        <v>1.5</v>
      </c>
      <c r="L168" s="131" t="n">
        <v>8</v>
      </c>
      <c r="M168" s="154" t="n">
        <f aca="false">L168*25.4</f>
        <v>203.2</v>
      </c>
      <c r="N168" s="154" t="n">
        <f aca="false">M168/2 /1000</f>
        <v>0.1016</v>
      </c>
      <c r="O168" s="131" t="n">
        <v>1650</v>
      </c>
      <c r="P168" s="153" t="n">
        <f aca="false">O168/60</f>
        <v>27.5</v>
      </c>
      <c r="Q168" s="155" t="n">
        <v>2.6</v>
      </c>
      <c r="R168" s="128" t="n">
        <f aca="false">Q168*3.28</f>
        <v>8.528</v>
      </c>
      <c r="S168" s="126" t="n">
        <f aca="false">0.33*12</f>
        <v>3.96</v>
      </c>
      <c r="T168" s="128" t="n">
        <f aca="false">(1*L168)/S168</f>
        <v>2.02020202020202</v>
      </c>
      <c r="U168" s="128" t="n">
        <f aca="false">T168*3.28</f>
        <v>6.62626262626263</v>
      </c>
      <c r="V168" s="129"/>
      <c r="W168" s="131" t="n">
        <v>0.55</v>
      </c>
      <c r="X168" s="154" t="n">
        <f aca="false">(W168*F168)/100</f>
        <v>0.046904</v>
      </c>
      <c r="Y168" s="125" t="n">
        <f aca="false">6*M168/1000</f>
        <v>1.2192</v>
      </c>
      <c r="Z168" s="129" t="n">
        <v>8</v>
      </c>
      <c r="AA168" s="156" t="n">
        <f aca="false">(Z168-$L168)/$L168*100</f>
        <v>0</v>
      </c>
      <c r="AB168" s="129" t="n">
        <f aca="false">ABS((Z168-$L168)/$L168*100)</f>
        <v>0</v>
      </c>
      <c r="AC168" s="129" t="n">
        <v>571</v>
      </c>
      <c r="AD168" s="129" t="n">
        <f aca="false">(AC168-$E168)/$E168*100</f>
        <v>13.2936507936508</v>
      </c>
      <c r="AE168" s="129" t="n">
        <f aca="false">ABS((AC168-$E168)/$E168*100)</f>
        <v>13.2936507936508</v>
      </c>
      <c r="AF168" s="129" t="n">
        <v>34.795</v>
      </c>
      <c r="AG168" s="129" t="n">
        <f aca="false">(AF168-$P168)/$P168*100</f>
        <v>26.5272727272727</v>
      </c>
      <c r="AH168" s="129" t="n">
        <f aca="false">ABS((AF168-$P168)/$P168*100)</f>
        <v>26.5272727272727</v>
      </c>
      <c r="AI168" s="129" t="n">
        <f aca="false">Z168*25.4</f>
        <v>203.2</v>
      </c>
      <c r="AJ168" s="170" t="n">
        <f aca="false">AC168 * 1.69901082</f>
        <v>970.13517822</v>
      </c>
      <c r="AK168" s="129" t="n">
        <v>970.13517822</v>
      </c>
      <c r="AL168" s="170" t="n">
        <f aca="false">E168 * 1.69901082</f>
        <v>856.30145328</v>
      </c>
      <c r="AM168" s="170" t="n">
        <v>856.30145328</v>
      </c>
      <c r="AN168" s="129"/>
      <c r="AO168" s="129"/>
      <c r="AP168" s="129"/>
      <c r="AQ168" s="129"/>
      <c r="AR168" s="129"/>
      <c r="AS168" s="129" t="s">
        <v>311</v>
      </c>
      <c r="AT168" s="27"/>
      <c r="AU168" s="129" t="s">
        <v>722</v>
      </c>
      <c r="AV168" s="129" t="n">
        <f aca="false">L168</f>
        <v>8</v>
      </c>
      <c r="AW168" s="129" t="n">
        <v>8</v>
      </c>
      <c r="AX168" s="156" t="n">
        <f aca="false">(AW168-$L168)/$L168*100</f>
        <v>0</v>
      </c>
      <c r="AY168" s="129" t="n">
        <f aca="false">ABS((AW168-$L168)/$L168*100)</f>
        <v>0</v>
      </c>
      <c r="AZ168" s="171" t="n">
        <f aca="false">AW168*0.0254/2</f>
        <v>0.1016</v>
      </c>
      <c r="BA168" s="129" t="s">
        <v>311</v>
      </c>
      <c r="BB168" s="27"/>
      <c r="BC168" s="129" t="s">
        <v>722</v>
      </c>
      <c r="BD168" s="140" t="n">
        <f aca="false">E168</f>
        <v>504</v>
      </c>
      <c r="BE168" s="129" t="n">
        <v>504</v>
      </c>
      <c r="BF168" s="172" t="n">
        <f aca="false">(BE168-$E168)/$E168*100</f>
        <v>0</v>
      </c>
      <c r="BG168" s="172" t="n">
        <f aca="false">ABS((BE168-$E168)/$E168*100)</f>
        <v>0</v>
      </c>
      <c r="BH168" s="112" t="n">
        <v>34.795</v>
      </c>
      <c r="BI168" s="112" t="n">
        <f aca="false">(BH168-$P168)/$P168*100</f>
        <v>26.5272727272727</v>
      </c>
      <c r="BJ168" s="112" t="n">
        <f aca="false">ABS((BH168-$P168)/$P168*100)</f>
        <v>26.5272727272727</v>
      </c>
    </row>
    <row r="169" customFormat="false" ht="15" hidden="false" customHeight="false" outlineLevel="0" collapsed="false">
      <c r="B169" s="129" t="s">
        <v>311</v>
      </c>
      <c r="C169" s="27" t="s">
        <v>45</v>
      </c>
      <c r="D169" s="129" t="s">
        <v>723</v>
      </c>
      <c r="E169" s="127" t="n">
        <v>103</v>
      </c>
      <c r="F169" s="153" t="n">
        <f aca="false">R169</f>
        <v>9.84</v>
      </c>
      <c r="G169" s="129"/>
      <c r="H169" s="129"/>
      <c r="I169" s="126" t="n">
        <v>1.5</v>
      </c>
      <c r="J169" s="130" t="n">
        <f aca="false">I169+I170</f>
        <v>3</v>
      </c>
      <c r="K169" s="129" t="n">
        <v>1.5</v>
      </c>
      <c r="L169" s="131" t="n">
        <v>4</v>
      </c>
      <c r="M169" s="154" t="n">
        <f aca="false">L169*25.4</f>
        <v>101.6</v>
      </c>
      <c r="N169" s="154" t="n">
        <f aca="false">M169/2 /1000</f>
        <v>0.0508</v>
      </c>
      <c r="O169" s="150"/>
      <c r="P169" s="153" t="n">
        <f aca="false">O169/60</f>
        <v>0</v>
      </c>
      <c r="Q169" s="155" t="n">
        <v>3</v>
      </c>
      <c r="R169" s="128" t="n">
        <f aca="false">Q169*3.28</f>
        <v>9.84</v>
      </c>
      <c r="S169" s="126" t="n">
        <f aca="false">0.33*12</f>
        <v>3.96</v>
      </c>
      <c r="T169" s="128" t="n">
        <f aca="false">(1*L169)/S169</f>
        <v>1.01010101010101</v>
      </c>
      <c r="U169" s="128" t="n">
        <f aca="false">T169*3.28</f>
        <v>3.31313131313131</v>
      </c>
      <c r="V169" s="129"/>
      <c r="W169" s="131"/>
      <c r="X169" s="154" t="n">
        <f aca="false">(W169*F169)/100</f>
        <v>0</v>
      </c>
      <c r="Y169" s="125" t="n">
        <f aca="false">6*M169/1000</f>
        <v>0.6096</v>
      </c>
      <c r="Z169" s="129" t="n">
        <v>3</v>
      </c>
      <c r="AA169" s="156" t="n">
        <f aca="false">(Z169-$L169)/$L169*100</f>
        <v>-25</v>
      </c>
      <c r="AB169" s="129" t="n">
        <f aca="false">ABS((Z169-$L169)/$L169*100)</f>
        <v>25</v>
      </c>
      <c r="AC169" s="129" t="n">
        <v>103</v>
      </c>
      <c r="AD169" s="129" t="n">
        <f aca="false">(AC169-$E169)/$E169*100</f>
        <v>0</v>
      </c>
      <c r="AE169" s="129" t="n">
        <f aca="false">ABS((AC169-$E169)/$E169*100)</f>
        <v>0</v>
      </c>
      <c r="AF169" s="129" t="n">
        <v>34.795</v>
      </c>
      <c r="AG169" s="129" t="e">
        <f aca="false">(AF169-$P169)/$P169*100</f>
        <v>#DIV/0!</v>
      </c>
      <c r="AH169" s="129" t="e">
        <f aca="false">ABS((AF169-$P169)/$P169*100)</f>
        <v>#DIV/0!</v>
      </c>
      <c r="AI169" s="129" t="n">
        <f aca="false">Z169*25.4</f>
        <v>76.2</v>
      </c>
      <c r="AJ169" s="170" t="n">
        <f aca="false">AC169 * 1.69901082</f>
        <v>174.99811446</v>
      </c>
      <c r="AK169" s="129" t="n">
        <v>174.99811446</v>
      </c>
      <c r="AL169" s="170" t="n">
        <f aca="false">E169 * 1.69901082</f>
        <v>174.99811446</v>
      </c>
      <c r="AM169" s="170" t="n">
        <v>174.99811446</v>
      </c>
      <c r="AN169" s="129" t="n">
        <v>105</v>
      </c>
      <c r="AO169" s="129" t="n">
        <v>0.029</v>
      </c>
      <c r="AP169" s="129" t="n">
        <v>174.99811446</v>
      </c>
      <c r="AQ169" s="129" t="n">
        <f aca="false">79/1000</f>
        <v>0.079</v>
      </c>
      <c r="AR169" s="129" t="n">
        <v>34</v>
      </c>
      <c r="AS169" s="129" t="s">
        <v>311</v>
      </c>
      <c r="AT169" s="27" t="s">
        <v>45</v>
      </c>
      <c r="AU169" s="129" t="s">
        <v>724</v>
      </c>
      <c r="AV169" s="129" t="n">
        <f aca="false">L169</f>
        <v>4</v>
      </c>
      <c r="AW169" s="129" t="n">
        <v>3.5</v>
      </c>
      <c r="AX169" s="156" t="n">
        <f aca="false">(AW169-$L169)/$L169*100</f>
        <v>-12.5</v>
      </c>
      <c r="AY169" s="129" t="n">
        <f aca="false">ABS((AW169-$L169)/$L169*100)</f>
        <v>12.5</v>
      </c>
      <c r="AZ169" s="171" t="n">
        <f aca="false">AW169*0.0254/2</f>
        <v>0.04445</v>
      </c>
      <c r="BA169" s="129" t="s">
        <v>311</v>
      </c>
      <c r="BB169" s="27" t="s">
        <v>45</v>
      </c>
      <c r="BC169" s="129" t="s">
        <v>724</v>
      </c>
      <c r="BD169" s="140" t="n">
        <f aca="false">E169</f>
        <v>103</v>
      </c>
      <c r="BE169" s="129" t="n">
        <v>103</v>
      </c>
      <c r="BF169" s="172" t="n">
        <f aca="false">(BE169-$E169)/$E169*100</f>
        <v>0</v>
      </c>
      <c r="BG169" s="172" t="n">
        <f aca="false">ABS((BE169-$E169)/$E169*100)</f>
        <v>0</v>
      </c>
      <c r="BH169" s="112" t="n">
        <v>34.795</v>
      </c>
      <c r="BI169" s="112" t="e">
        <f aca="false">(BH169-$P169)/$P169*100</f>
        <v>#DIV/0!</v>
      </c>
      <c r="BJ169" s="112" t="e">
        <f aca="false">ABS((BH169-$P169)/$P169*100)</f>
        <v>#DIV/0!</v>
      </c>
    </row>
    <row r="170" customFormat="false" ht="15" hidden="false" customHeight="false" outlineLevel="0" collapsed="false">
      <c r="B170" s="129" t="s">
        <v>311</v>
      </c>
      <c r="C170" s="27"/>
      <c r="D170" s="129" t="s">
        <v>725</v>
      </c>
      <c r="E170" s="127" t="n">
        <f aca="false">E168-E169</f>
        <v>401</v>
      </c>
      <c r="F170" s="153" t="n">
        <f aca="false">R170</f>
        <v>10.168</v>
      </c>
      <c r="G170" s="129"/>
      <c r="H170" s="129"/>
      <c r="I170" s="126" t="n">
        <v>1.5</v>
      </c>
      <c r="J170" s="130" t="n">
        <f aca="false">I170+I171</f>
        <v>3</v>
      </c>
      <c r="K170" s="129" t="n">
        <v>1.5</v>
      </c>
      <c r="L170" s="131" t="n">
        <v>8</v>
      </c>
      <c r="M170" s="154" t="n">
        <f aca="false">L170*25.4</f>
        <v>203.2</v>
      </c>
      <c r="N170" s="154" t="n">
        <f aca="false">M170/2 /1000</f>
        <v>0.1016</v>
      </c>
      <c r="O170" s="131" t="n">
        <v>1400</v>
      </c>
      <c r="P170" s="153" t="n">
        <f aca="false">O170/60</f>
        <v>23.3333333333333</v>
      </c>
      <c r="Q170" s="155" t="n">
        <v>3.1</v>
      </c>
      <c r="R170" s="128" t="n">
        <f aca="false">Q170*3.28</f>
        <v>10.168</v>
      </c>
      <c r="S170" s="126" t="n">
        <f aca="false">0.33*12</f>
        <v>3.96</v>
      </c>
      <c r="T170" s="128" t="n">
        <f aca="false">(1*L170)/S170</f>
        <v>2.02020202020202</v>
      </c>
      <c r="U170" s="128" t="n">
        <f aca="false">T170*3.28</f>
        <v>6.62626262626263</v>
      </c>
      <c r="V170" s="129"/>
      <c r="W170" s="131" t="n">
        <v>0.4</v>
      </c>
      <c r="X170" s="154" t="n">
        <f aca="false">(W170*F170)/100</f>
        <v>0.040672</v>
      </c>
      <c r="Y170" s="125" t="n">
        <f aca="false">6*M170/1000</f>
        <v>1.2192</v>
      </c>
      <c r="Z170" s="129" t="n">
        <v>8</v>
      </c>
      <c r="AA170" s="156" t="n">
        <f aca="false">(Z170-$L170)/$L170*100</f>
        <v>0</v>
      </c>
      <c r="AB170" s="129" t="n">
        <f aca="false">ABS((Z170-$L170)/$L170*100)</f>
        <v>0</v>
      </c>
      <c r="AC170" s="129" t="n">
        <v>468</v>
      </c>
      <c r="AD170" s="129" t="n">
        <f aca="false">(AC170-$E170)/$E170*100</f>
        <v>16.7082294264339</v>
      </c>
      <c r="AE170" s="129" t="n">
        <f aca="false">ABS((AC170-$E170)/$E170*100)</f>
        <v>16.7082294264339</v>
      </c>
      <c r="AF170" s="129" t="n">
        <v>34.795</v>
      </c>
      <c r="AG170" s="129" t="n">
        <f aca="false">(AF170-$P170)/$P170*100</f>
        <v>49.1214285714286</v>
      </c>
      <c r="AH170" s="129" t="n">
        <f aca="false">ABS((AF170-$P170)/$P170*100)</f>
        <v>49.1214285714286</v>
      </c>
      <c r="AI170" s="129" t="n">
        <f aca="false">Z170*25.4</f>
        <v>203.2</v>
      </c>
      <c r="AJ170" s="170" t="n">
        <f aca="false">AC170 * 1.69901082</f>
        <v>795.13706376</v>
      </c>
      <c r="AK170" s="129" t="n">
        <v>795.13706376</v>
      </c>
      <c r="AL170" s="170" t="n">
        <f aca="false">E170 * 1.69901082</f>
        <v>681.30333882</v>
      </c>
      <c r="AM170" s="170" t="n">
        <v>681.30333882</v>
      </c>
      <c r="AN170" s="129"/>
      <c r="AO170" s="129"/>
      <c r="AP170" s="129"/>
      <c r="AQ170" s="129"/>
      <c r="AR170" s="129"/>
      <c r="AS170" s="129" t="s">
        <v>311</v>
      </c>
      <c r="AT170" s="27"/>
      <c r="AU170" s="129" t="s">
        <v>726</v>
      </c>
      <c r="AV170" s="129" t="n">
        <f aca="false">L170</f>
        <v>8</v>
      </c>
      <c r="AW170" s="129" t="n">
        <v>8</v>
      </c>
      <c r="AX170" s="156" t="n">
        <f aca="false">(AW170-$L170)/$L170*100</f>
        <v>0</v>
      </c>
      <c r="AY170" s="129" t="n">
        <f aca="false">ABS((AW170-$L170)/$L170*100)</f>
        <v>0</v>
      </c>
      <c r="AZ170" s="171" t="n">
        <f aca="false">AW170*0.0254/2</f>
        <v>0.1016</v>
      </c>
      <c r="BA170" s="129" t="s">
        <v>311</v>
      </c>
      <c r="BB170" s="27"/>
      <c r="BC170" s="129" t="s">
        <v>726</v>
      </c>
      <c r="BD170" s="140" t="n">
        <f aca="false">E170</f>
        <v>401</v>
      </c>
      <c r="BE170" s="129" t="n">
        <v>401</v>
      </c>
      <c r="BF170" s="172" t="n">
        <f aca="false">(BE170-$E170)/$E170*100</f>
        <v>0</v>
      </c>
      <c r="BG170" s="172" t="n">
        <f aca="false">ABS((BE170-$E170)/$E170*100)</f>
        <v>0</v>
      </c>
      <c r="BH170" s="112" t="n">
        <v>34.795</v>
      </c>
      <c r="BI170" s="112" t="n">
        <f aca="false">(BH170-$P170)/$P170*100</f>
        <v>49.1214285714286</v>
      </c>
      <c r="BJ170" s="112" t="n">
        <f aca="false">ABS((BH170-$P170)/$P170*100)</f>
        <v>49.1214285714286</v>
      </c>
    </row>
    <row r="171" customFormat="false" ht="15" hidden="false" customHeight="false" outlineLevel="0" collapsed="false">
      <c r="B171" s="129" t="s">
        <v>311</v>
      </c>
      <c r="C171" s="27" t="s">
        <v>41</v>
      </c>
      <c r="D171" s="129" t="s">
        <v>727</v>
      </c>
      <c r="E171" s="127" t="n">
        <f aca="false">E149</f>
        <v>102</v>
      </c>
      <c r="F171" s="153" t="n">
        <f aca="false">R171</f>
        <v>9.84</v>
      </c>
      <c r="G171" s="129"/>
      <c r="H171" s="129"/>
      <c r="I171" s="126" t="n">
        <v>1.5</v>
      </c>
      <c r="J171" s="130" t="n">
        <f aca="false">I171+I172</f>
        <v>3</v>
      </c>
      <c r="K171" s="129" t="n">
        <v>1.5</v>
      </c>
      <c r="L171" s="131" t="n">
        <v>4</v>
      </c>
      <c r="M171" s="154" t="n">
        <f aca="false">L171*25.4</f>
        <v>101.6</v>
      </c>
      <c r="N171" s="154" t="n">
        <f aca="false">M171/2 /1000</f>
        <v>0.0508</v>
      </c>
      <c r="O171" s="150"/>
      <c r="P171" s="153" t="n">
        <f aca="false">O171/60</f>
        <v>0</v>
      </c>
      <c r="Q171" s="155" t="n">
        <v>3</v>
      </c>
      <c r="R171" s="128" t="n">
        <f aca="false">Q171*3.28</f>
        <v>9.84</v>
      </c>
      <c r="S171" s="126" t="n">
        <f aca="false">0.33*12</f>
        <v>3.96</v>
      </c>
      <c r="T171" s="128" t="n">
        <f aca="false">(1*L171)/S171</f>
        <v>1.01010101010101</v>
      </c>
      <c r="U171" s="128" t="n">
        <f aca="false">T171*3.28</f>
        <v>3.31313131313131</v>
      </c>
      <c r="V171" s="129"/>
      <c r="W171" s="131"/>
      <c r="X171" s="154" t="n">
        <f aca="false">(W171*F171)/100</f>
        <v>0</v>
      </c>
      <c r="Y171" s="125" t="n">
        <f aca="false">6*M171/1000</f>
        <v>0.6096</v>
      </c>
      <c r="Z171" s="129" t="n">
        <v>3</v>
      </c>
      <c r="AA171" s="156" t="n">
        <f aca="false">(Z171-$L171)/$L171*100</f>
        <v>-25</v>
      </c>
      <c r="AB171" s="129" t="n">
        <f aca="false">ABS((Z171-$L171)/$L171*100)</f>
        <v>25</v>
      </c>
      <c r="AC171" s="129" t="n">
        <v>93.75</v>
      </c>
      <c r="AD171" s="129" t="n">
        <f aca="false">(AC171-$E171)/$E171*100</f>
        <v>-8.08823529411765</v>
      </c>
      <c r="AE171" s="129" t="n">
        <f aca="false">ABS((AC171-$E171)/$E171*100)</f>
        <v>8.08823529411765</v>
      </c>
      <c r="AF171" s="129" t="n">
        <v>34.795</v>
      </c>
      <c r="AG171" s="129" t="e">
        <f aca="false">(AF171-$P171)/$P171*100</f>
        <v>#DIV/0!</v>
      </c>
      <c r="AH171" s="129" t="e">
        <f aca="false">ABS((AF171-$P171)/$P171*100)</f>
        <v>#DIV/0!</v>
      </c>
      <c r="AI171" s="129" t="n">
        <f aca="false">Z171*25.4</f>
        <v>76.2</v>
      </c>
      <c r="AJ171" s="170" t="n">
        <f aca="false">AC171 * 1.69901082</f>
        <v>159.282264375</v>
      </c>
      <c r="AK171" s="129" t="n">
        <v>159.282264375</v>
      </c>
      <c r="AL171" s="170" t="n">
        <f aca="false">E171 * 1.69901082</f>
        <v>173.29910364</v>
      </c>
      <c r="AM171" s="170" t="n">
        <v>173.29910364</v>
      </c>
      <c r="AN171" s="129" t="n">
        <v>105</v>
      </c>
      <c r="AO171" s="129" t="n">
        <v>0.029</v>
      </c>
      <c r="AP171" s="129" t="n">
        <v>173.29910364</v>
      </c>
      <c r="AQ171" s="129" t="n">
        <f aca="false">78/1000</f>
        <v>0.078</v>
      </c>
      <c r="AR171" s="129" t="n">
        <v>32</v>
      </c>
      <c r="AS171" s="129" t="s">
        <v>311</v>
      </c>
      <c r="AT171" s="27" t="s">
        <v>41</v>
      </c>
      <c r="AU171" s="129" t="s">
        <v>728</v>
      </c>
      <c r="AV171" s="129" t="n">
        <f aca="false">L171</f>
        <v>4</v>
      </c>
      <c r="AW171" s="129" t="n">
        <v>3.5</v>
      </c>
      <c r="AX171" s="156" t="n">
        <f aca="false">(AW171-$L171)/$L171*100</f>
        <v>-12.5</v>
      </c>
      <c r="AY171" s="129" t="n">
        <f aca="false">ABS((AW171-$L171)/$L171*100)</f>
        <v>12.5</v>
      </c>
      <c r="AZ171" s="171" t="n">
        <f aca="false">AW171*0.0254/2</f>
        <v>0.04445</v>
      </c>
      <c r="BA171" s="129" t="s">
        <v>311</v>
      </c>
      <c r="BB171" s="27" t="s">
        <v>41</v>
      </c>
      <c r="BC171" s="129" t="s">
        <v>728</v>
      </c>
      <c r="BD171" s="140" t="n">
        <f aca="false">E171</f>
        <v>102</v>
      </c>
      <c r="BE171" s="129" t="n">
        <v>95.78</v>
      </c>
      <c r="BF171" s="172" t="n">
        <f aca="false">(BE171-$E171)/$E171*100</f>
        <v>-6.09803921568627</v>
      </c>
      <c r="BG171" s="172" t="n">
        <f aca="false">ABS((BE171-$E171)/$E171*100)</f>
        <v>6.09803921568627</v>
      </c>
      <c r="BH171" s="112" t="n">
        <v>34.795</v>
      </c>
      <c r="BI171" s="112" t="e">
        <f aca="false">(BH171-$P171)/$P171*100</f>
        <v>#DIV/0!</v>
      </c>
      <c r="BJ171" s="112" t="e">
        <f aca="false">ABS((BH171-$P171)/$P171*100)</f>
        <v>#DIV/0!</v>
      </c>
    </row>
    <row r="172" customFormat="false" ht="15" hidden="false" customHeight="false" outlineLevel="0" collapsed="false">
      <c r="B172" s="129" t="s">
        <v>311</v>
      </c>
      <c r="C172" s="27"/>
      <c r="D172" s="129" t="s">
        <v>729</v>
      </c>
      <c r="E172" s="127" t="n">
        <f aca="false">E170-E171</f>
        <v>299</v>
      </c>
      <c r="F172" s="153" t="n">
        <f aca="false">R172</f>
        <v>6.888</v>
      </c>
      <c r="G172" s="129"/>
      <c r="H172" s="129"/>
      <c r="I172" s="126" t="n">
        <v>1.5</v>
      </c>
      <c r="J172" s="130" t="n">
        <f aca="false">I172+I173</f>
        <v>3</v>
      </c>
      <c r="K172" s="129" t="n">
        <v>1.5</v>
      </c>
      <c r="L172" s="131" t="n">
        <v>8</v>
      </c>
      <c r="M172" s="154" t="n">
        <f aca="false">L172*25.4</f>
        <v>203.2</v>
      </c>
      <c r="N172" s="154" t="n">
        <f aca="false">M172/2 /1000</f>
        <v>0.1016</v>
      </c>
      <c r="O172" s="125" t="n">
        <v>1000</v>
      </c>
      <c r="P172" s="153" t="n">
        <f aca="false">O172/60</f>
        <v>16.6666666666667</v>
      </c>
      <c r="Q172" s="155" t="n">
        <v>2.1</v>
      </c>
      <c r="R172" s="128" t="n">
        <f aca="false">Q172*3.28</f>
        <v>6.888</v>
      </c>
      <c r="S172" s="126" t="n">
        <f aca="false">0.33*12</f>
        <v>3.96</v>
      </c>
      <c r="T172" s="128" t="n">
        <f aca="false">(1*L172)/S172</f>
        <v>2.02020202020202</v>
      </c>
      <c r="U172" s="128" t="n">
        <f aca="false">T172*3.28</f>
        <v>6.62626262626263</v>
      </c>
      <c r="V172" s="129"/>
      <c r="W172" s="131"/>
      <c r="X172" s="154" t="n">
        <f aca="false">(W172*F172)/100</f>
        <v>0</v>
      </c>
      <c r="Y172" s="125" t="n">
        <f aca="false">6*M172/1000</f>
        <v>1.2192</v>
      </c>
      <c r="Z172" s="129" t="n">
        <v>8</v>
      </c>
      <c r="AA172" s="156" t="n">
        <f aca="false">(Z172-$L172)/$L172*100</f>
        <v>0</v>
      </c>
      <c r="AB172" s="129" t="n">
        <f aca="false">ABS((Z172-$L172)/$L172*100)</f>
        <v>0</v>
      </c>
      <c r="AC172" s="129" t="n">
        <v>374</v>
      </c>
      <c r="AD172" s="129" t="n">
        <f aca="false">(AC172-$E172)/$E172*100</f>
        <v>25.0836120401338</v>
      </c>
      <c r="AE172" s="129" t="n">
        <f aca="false">ABS((AC172-$E172)/$E172*100)</f>
        <v>25.0836120401338</v>
      </c>
      <c r="AF172" s="129" t="n">
        <v>34.795</v>
      </c>
      <c r="AG172" s="129" t="n">
        <f aca="false">(AF172-$P172)/$P172*100</f>
        <v>108.77</v>
      </c>
      <c r="AH172" s="129" t="n">
        <f aca="false">ABS((AF172-$P172)/$P172*100)</f>
        <v>108.77</v>
      </c>
      <c r="AI172" s="129" t="n">
        <f aca="false">Z172*25.4</f>
        <v>203.2</v>
      </c>
      <c r="AJ172" s="170" t="n">
        <f aca="false">AC172 * 1.69901082</f>
        <v>635.43004668</v>
      </c>
      <c r="AK172" s="129" t="n">
        <v>635.43004668</v>
      </c>
      <c r="AL172" s="170" t="n">
        <f aca="false">E172 * 1.69901082</f>
        <v>508.00423518</v>
      </c>
      <c r="AM172" s="170" t="n">
        <v>508.00423518</v>
      </c>
      <c r="AN172" s="129"/>
      <c r="AO172" s="129"/>
      <c r="AP172" s="129"/>
      <c r="AQ172" s="129"/>
      <c r="AR172" s="129"/>
      <c r="AS172" s="129" t="s">
        <v>311</v>
      </c>
      <c r="AT172" s="27"/>
      <c r="AU172" s="129" t="s">
        <v>730</v>
      </c>
      <c r="AV172" s="129" t="n">
        <f aca="false">L172</f>
        <v>8</v>
      </c>
      <c r="AW172" s="129" t="n">
        <v>8</v>
      </c>
      <c r="AX172" s="156" t="n">
        <f aca="false">(AW172-$L172)/$L172*100</f>
        <v>0</v>
      </c>
      <c r="AY172" s="129" t="n">
        <f aca="false">ABS((AW172-$L172)/$L172*100)</f>
        <v>0</v>
      </c>
      <c r="AZ172" s="171" t="n">
        <f aca="false">AW172*0.0254/2</f>
        <v>0.1016</v>
      </c>
      <c r="BA172" s="129" t="s">
        <v>311</v>
      </c>
      <c r="BB172" s="27"/>
      <c r="BC172" s="129" t="s">
        <v>730</v>
      </c>
      <c r="BD172" s="140" t="n">
        <f aca="false">E172</f>
        <v>299</v>
      </c>
      <c r="BE172" s="129" t="n">
        <v>305</v>
      </c>
      <c r="BF172" s="172" t="n">
        <f aca="false">(BE172-$E172)/$E172*100</f>
        <v>2.0066889632107</v>
      </c>
      <c r="BG172" s="172" t="n">
        <f aca="false">ABS((BE172-$E172)/$E172*100)</f>
        <v>2.0066889632107</v>
      </c>
      <c r="BH172" s="112" t="n">
        <v>34.795</v>
      </c>
      <c r="BI172" s="112" t="n">
        <f aca="false">(BH172-$P172)/$P172*100</f>
        <v>108.77</v>
      </c>
      <c r="BJ172" s="112" t="n">
        <f aca="false">ABS((BH172-$P172)/$P172*100)</f>
        <v>108.77</v>
      </c>
    </row>
    <row r="173" customFormat="false" ht="15" hidden="false" customHeight="false" outlineLevel="0" collapsed="false">
      <c r="B173" s="129" t="s">
        <v>311</v>
      </c>
      <c r="C173" s="27" t="s">
        <v>40</v>
      </c>
      <c r="D173" s="129" t="s">
        <v>731</v>
      </c>
      <c r="E173" s="127" t="n">
        <f aca="false">E148</f>
        <v>109</v>
      </c>
      <c r="F173" s="153" t="n">
        <f aca="false">R173</f>
        <v>13.448</v>
      </c>
      <c r="G173" s="129"/>
      <c r="H173" s="129"/>
      <c r="I173" s="126" t="n">
        <v>1.5</v>
      </c>
      <c r="J173" s="130" t="n">
        <f aca="false">I173+I174</f>
        <v>3</v>
      </c>
      <c r="K173" s="129" t="n">
        <v>1.5</v>
      </c>
      <c r="L173" s="131" t="n">
        <v>4</v>
      </c>
      <c r="M173" s="154" t="n">
        <f aca="false">L173*25.4</f>
        <v>101.6</v>
      </c>
      <c r="N173" s="154" t="n">
        <f aca="false">M173/2 /1000</f>
        <v>0.0508</v>
      </c>
      <c r="O173" s="150"/>
      <c r="P173" s="153" t="n">
        <f aca="false">O173/60</f>
        <v>0</v>
      </c>
      <c r="Q173" s="155" t="n">
        <f aca="false">3+1.1</f>
        <v>4.1</v>
      </c>
      <c r="R173" s="128" t="n">
        <f aca="false">Q173*3.28</f>
        <v>13.448</v>
      </c>
      <c r="S173" s="126" t="n">
        <f aca="false">0.33*12</f>
        <v>3.96</v>
      </c>
      <c r="T173" s="128" t="n">
        <f aca="false">(1*L173)/S173</f>
        <v>1.01010101010101</v>
      </c>
      <c r="U173" s="128" t="n">
        <f aca="false">T173*3.28</f>
        <v>3.31313131313131</v>
      </c>
      <c r="V173" s="129"/>
      <c r="W173" s="131"/>
      <c r="X173" s="154" t="n">
        <f aca="false">(W173*F173)/100</f>
        <v>0</v>
      </c>
      <c r="Y173" s="125" t="n">
        <f aca="false">6*M173/1000</f>
        <v>0.6096</v>
      </c>
      <c r="Z173" s="129" t="n">
        <v>3.5</v>
      </c>
      <c r="AA173" s="156" t="n">
        <f aca="false">(Z173-$L173)/$L173*100</f>
        <v>-12.5</v>
      </c>
      <c r="AB173" s="129" t="n">
        <f aca="false">ABS((Z173-$L173)/$L173*100)</f>
        <v>12.5</v>
      </c>
      <c r="AC173" s="129" t="n">
        <v>117</v>
      </c>
      <c r="AD173" s="129" t="n">
        <f aca="false">(AC173-$E173)/$E173*100</f>
        <v>7.3394495412844</v>
      </c>
      <c r="AE173" s="129" t="n">
        <f aca="false">ABS((AC173-$E173)/$E173*100)</f>
        <v>7.3394495412844</v>
      </c>
      <c r="AF173" s="129" t="n">
        <v>34.795</v>
      </c>
      <c r="AG173" s="129" t="e">
        <f aca="false">(AF173-$P173)/$P173*100</f>
        <v>#DIV/0!</v>
      </c>
      <c r="AH173" s="129" t="e">
        <f aca="false">ABS((AF173-$P173)/$P173*100)</f>
        <v>#DIV/0!</v>
      </c>
      <c r="AI173" s="129" t="n">
        <f aca="false">Z173*25.4</f>
        <v>88.9</v>
      </c>
      <c r="AJ173" s="170" t="n">
        <f aca="false">AC173 * 1.69901082</f>
        <v>198.78426594</v>
      </c>
      <c r="AK173" s="129" t="n">
        <v>198.78426594</v>
      </c>
      <c r="AL173" s="170" t="n">
        <f aca="false">E173 * 1.69901082</f>
        <v>185.19217938</v>
      </c>
      <c r="AM173" s="170" t="n">
        <v>185.19217938</v>
      </c>
      <c r="AN173" s="129" t="n">
        <v>105</v>
      </c>
      <c r="AO173" s="129" t="n">
        <v>0.029</v>
      </c>
      <c r="AP173" s="129" t="n">
        <v>185.19217938</v>
      </c>
      <c r="AQ173" s="129" t="n">
        <f aca="false">89/1000</f>
        <v>0.089</v>
      </c>
      <c r="AR173" s="129" t="n">
        <v>36</v>
      </c>
      <c r="AS173" s="129" t="s">
        <v>311</v>
      </c>
      <c r="AT173" s="27" t="s">
        <v>40</v>
      </c>
      <c r="AU173" s="129" t="s">
        <v>732</v>
      </c>
      <c r="AV173" s="129" t="n">
        <f aca="false">L173</f>
        <v>4</v>
      </c>
      <c r="AW173" s="129" t="n">
        <v>4</v>
      </c>
      <c r="AX173" s="156" t="n">
        <f aca="false">(AW173-$L173)/$L173*100</f>
        <v>0</v>
      </c>
      <c r="AY173" s="129" t="n">
        <f aca="false">ABS((AW173-$L173)/$L173*100)</f>
        <v>0</v>
      </c>
      <c r="AZ173" s="171" t="n">
        <f aca="false">AW173*0.0254/2</f>
        <v>0.0508</v>
      </c>
      <c r="BA173" s="129" t="s">
        <v>311</v>
      </c>
      <c r="BB173" s="27" t="s">
        <v>40</v>
      </c>
      <c r="BC173" s="129" t="s">
        <v>732</v>
      </c>
      <c r="BD173" s="140" t="n">
        <f aca="false">E173</f>
        <v>109</v>
      </c>
      <c r="BE173" s="129" t="n">
        <v>103</v>
      </c>
      <c r="BF173" s="172" t="n">
        <f aca="false">(BE173-$E173)/$E173*100</f>
        <v>-5.5045871559633</v>
      </c>
      <c r="BG173" s="172" t="n">
        <f aca="false">ABS((BE173-$E173)/$E173*100)</f>
        <v>5.5045871559633</v>
      </c>
      <c r="BH173" s="112" t="n">
        <v>34.795</v>
      </c>
      <c r="BI173" s="112" t="e">
        <f aca="false">(BH173-$P173)/$P173*100</f>
        <v>#DIV/0!</v>
      </c>
      <c r="BJ173" s="112" t="e">
        <f aca="false">ABS((BH173-$P173)/$P173*100)</f>
        <v>#DIV/0!</v>
      </c>
    </row>
    <row r="174" customFormat="false" ht="15" hidden="false" customHeight="false" outlineLevel="0" collapsed="false">
      <c r="B174" s="129" t="s">
        <v>311</v>
      </c>
      <c r="C174" s="27"/>
      <c r="D174" s="129" t="s">
        <v>733</v>
      </c>
      <c r="E174" s="127" t="n">
        <f aca="false">E172-E173</f>
        <v>190</v>
      </c>
      <c r="F174" s="153" t="n">
        <f aca="false">R174</f>
        <v>9.184</v>
      </c>
      <c r="G174" s="129"/>
      <c r="H174" s="129"/>
      <c r="I174" s="126" t="n">
        <v>1.5</v>
      </c>
      <c r="J174" s="130" t="n">
        <f aca="false">I174+I175</f>
        <v>3</v>
      </c>
      <c r="K174" s="129" t="n">
        <v>1.5</v>
      </c>
      <c r="L174" s="131" t="n">
        <v>8</v>
      </c>
      <c r="M174" s="154" t="n">
        <f aca="false">L174*25.4</f>
        <v>203.2</v>
      </c>
      <c r="N174" s="154" t="n">
        <f aca="false">M174/2 /1000</f>
        <v>0.1016</v>
      </c>
      <c r="O174" s="125" t="n">
        <v>1000</v>
      </c>
      <c r="P174" s="153" t="n">
        <f aca="false">O174/60</f>
        <v>16.6666666666667</v>
      </c>
      <c r="Q174" s="155" t="n">
        <v>2.8</v>
      </c>
      <c r="R174" s="128" t="n">
        <f aca="false">Q174*3.28</f>
        <v>9.184</v>
      </c>
      <c r="S174" s="126" t="n">
        <f aca="false">0.33*12</f>
        <v>3.96</v>
      </c>
      <c r="T174" s="128" t="n">
        <f aca="false">(1*L174)/S174</f>
        <v>2.02020202020202</v>
      </c>
      <c r="U174" s="128" t="n">
        <f aca="false">T174*3.28</f>
        <v>6.62626262626263</v>
      </c>
      <c r="V174" s="129"/>
      <c r="W174" s="131"/>
      <c r="X174" s="154" t="n">
        <f aca="false">(W174*F174)/100</f>
        <v>0</v>
      </c>
      <c r="Y174" s="125" t="n">
        <f aca="false">6*M174/1000</f>
        <v>1.2192</v>
      </c>
      <c r="Z174" s="129" t="n">
        <v>8</v>
      </c>
      <c r="AA174" s="156" t="n">
        <f aca="false">(Z174-$L174)/$L174*100</f>
        <v>0</v>
      </c>
      <c r="AB174" s="129" t="n">
        <f aca="false">ABS((Z174-$L174)/$L174*100)</f>
        <v>0</v>
      </c>
      <c r="AC174" s="129" t="n">
        <v>257</v>
      </c>
      <c r="AD174" s="129" t="n">
        <f aca="false">(AC174-$E174)/$E174*100</f>
        <v>35.2631578947368</v>
      </c>
      <c r="AE174" s="129" t="n">
        <f aca="false">ABS((AC174-$E174)/$E174*100)</f>
        <v>35.2631578947368</v>
      </c>
      <c r="AF174" s="129" t="n">
        <v>34.795</v>
      </c>
      <c r="AG174" s="129" t="n">
        <f aca="false">(AF174-$P174)/$P174*100</f>
        <v>108.77</v>
      </c>
      <c r="AH174" s="129" t="n">
        <f aca="false">ABS((AF174-$P174)/$P174*100)</f>
        <v>108.77</v>
      </c>
      <c r="AI174" s="129" t="n">
        <f aca="false">Z174*25.4</f>
        <v>203.2</v>
      </c>
      <c r="AJ174" s="170" t="n">
        <f aca="false">AC174 * 1.69901082</f>
        <v>436.64578074</v>
      </c>
      <c r="AK174" s="129" t="n">
        <v>436.64578074</v>
      </c>
      <c r="AL174" s="170" t="n">
        <f aca="false">E174 * 1.69901082</f>
        <v>322.8120558</v>
      </c>
      <c r="AM174" s="170" t="n">
        <v>322.8120558</v>
      </c>
      <c r="AN174" s="129"/>
      <c r="AO174" s="129"/>
      <c r="AP174" s="129"/>
      <c r="AQ174" s="129"/>
      <c r="AR174" s="129"/>
      <c r="AS174" s="129" t="s">
        <v>311</v>
      </c>
      <c r="AT174" s="27"/>
      <c r="AU174" s="129" t="s">
        <v>734</v>
      </c>
      <c r="AV174" s="129" t="n">
        <f aca="false">L174</f>
        <v>8</v>
      </c>
      <c r="AW174" s="129" t="n">
        <v>8</v>
      </c>
      <c r="AX174" s="156" t="n">
        <f aca="false">(AW174-$L174)/$L174*100</f>
        <v>0</v>
      </c>
      <c r="AY174" s="129" t="n">
        <f aca="false">ABS((AW174-$L174)/$L174*100)</f>
        <v>0</v>
      </c>
      <c r="AZ174" s="171" t="n">
        <f aca="false">AW174*0.0254/2</f>
        <v>0.1016</v>
      </c>
      <c r="BA174" s="129" t="s">
        <v>311</v>
      </c>
      <c r="BB174" s="27"/>
      <c r="BC174" s="129" t="s">
        <v>734</v>
      </c>
      <c r="BD174" s="140" t="n">
        <f aca="false">E174</f>
        <v>190</v>
      </c>
      <c r="BE174" s="129" t="n">
        <v>202</v>
      </c>
      <c r="BF174" s="172" t="n">
        <f aca="false">(BE174-$E174)/$E174*100</f>
        <v>6.31578947368421</v>
      </c>
      <c r="BG174" s="172" t="n">
        <f aca="false">ABS((BE174-$E174)/$E174*100)</f>
        <v>6.31578947368421</v>
      </c>
      <c r="BH174" s="112" t="n">
        <v>34.795</v>
      </c>
      <c r="BI174" s="112" t="n">
        <f aca="false">(BH174-$P174)/$P174*100</f>
        <v>108.77</v>
      </c>
      <c r="BJ174" s="112" t="n">
        <f aca="false">ABS((BH174-$P174)/$P174*100)</f>
        <v>108.77</v>
      </c>
    </row>
    <row r="175" customFormat="false" ht="15" hidden="false" customHeight="false" outlineLevel="0" collapsed="false">
      <c r="B175" s="129" t="s">
        <v>311</v>
      </c>
      <c r="C175" s="27" t="s">
        <v>42</v>
      </c>
      <c r="D175" s="129" t="s">
        <v>735</v>
      </c>
      <c r="E175" s="127" t="n">
        <f aca="false">E150</f>
        <v>72</v>
      </c>
      <c r="F175" s="153" t="n">
        <f aca="false">R175</f>
        <v>3.936</v>
      </c>
      <c r="G175" s="129"/>
      <c r="H175" s="129"/>
      <c r="I175" s="126" t="n">
        <v>1.5</v>
      </c>
      <c r="J175" s="130" t="n">
        <f aca="false">I175+I176</f>
        <v>3</v>
      </c>
      <c r="K175" s="129" t="n">
        <v>1.5</v>
      </c>
      <c r="L175" s="131" t="n">
        <v>3</v>
      </c>
      <c r="M175" s="154" t="n">
        <f aca="false">L175*25.4</f>
        <v>76.2</v>
      </c>
      <c r="N175" s="154" t="n">
        <f aca="false">M175/2 /1000</f>
        <v>0.0381</v>
      </c>
      <c r="O175" s="150"/>
      <c r="P175" s="153" t="n">
        <f aca="false">O175/60</f>
        <v>0</v>
      </c>
      <c r="Q175" s="155" t="n">
        <v>1.2</v>
      </c>
      <c r="R175" s="128" t="n">
        <f aca="false">Q175*3.28</f>
        <v>3.936</v>
      </c>
      <c r="S175" s="126" t="n">
        <f aca="false">0.33*12</f>
        <v>3.96</v>
      </c>
      <c r="T175" s="128" t="n">
        <f aca="false">(1*L175)/S175</f>
        <v>0.757575757575758</v>
      </c>
      <c r="U175" s="128" t="n">
        <f aca="false">T175*3.28</f>
        <v>2.48484848484849</v>
      </c>
      <c r="V175" s="129"/>
      <c r="W175" s="131"/>
      <c r="X175" s="154" t="n">
        <f aca="false">(W175*F175)/100</f>
        <v>0</v>
      </c>
      <c r="Y175" s="125" t="n">
        <f aca="false">6*M175/1000</f>
        <v>0.4572</v>
      </c>
      <c r="Z175" s="129" t="n">
        <v>3</v>
      </c>
      <c r="AA175" s="156" t="n">
        <f aca="false">(Z175-$L175)/$L175*100</f>
        <v>0</v>
      </c>
      <c r="AB175" s="129" t="n">
        <f aca="false">ABS((Z175-$L175)/$L175*100)</f>
        <v>0</v>
      </c>
      <c r="AC175" s="129" t="n">
        <v>83.62</v>
      </c>
      <c r="AD175" s="129" t="n">
        <f aca="false">(AC175-$E175)/$E175*100</f>
        <v>16.1388888888889</v>
      </c>
      <c r="AE175" s="129" t="n">
        <f aca="false">ABS((AC175-$E175)/$E175*100)</f>
        <v>16.1388888888889</v>
      </c>
      <c r="AF175" s="129" t="n">
        <v>34.795</v>
      </c>
      <c r="AG175" s="129" t="e">
        <f aca="false">(AF175-$P175)/$P175*100</f>
        <v>#DIV/0!</v>
      </c>
      <c r="AH175" s="129" t="e">
        <f aca="false">ABS((AF175-$P175)/$P175*100)</f>
        <v>#DIV/0!</v>
      </c>
      <c r="AI175" s="129" t="n">
        <f aca="false">Z175*25.4</f>
        <v>76.2</v>
      </c>
      <c r="AJ175" s="170" t="n">
        <f aca="false">AC175 * 1.69901082</f>
        <v>142.0712847684</v>
      </c>
      <c r="AK175" s="129" t="n">
        <v>142.0712847684</v>
      </c>
      <c r="AL175" s="170" t="n">
        <f aca="false">E175 * 1.69901082</f>
        <v>122.32877904</v>
      </c>
      <c r="AM175" s="170" t="n">
        <v>122.32877904</v>
      </c>
      <c r="AN175" s="129" t="n">
        <v>105</v>
      </c>
      <c r="AO175" s="129" t="n">
        <v>0.029</v>
      </c>
      <c r="AP175" s="129" t="n">
        <v>122.32877904</v>
      </c>
      <c r="AQ175" s="129" t="n">
        <f aca="false">39/1000</f>
        <v>0.039</v>
      </c>
      <c r="AR175" s="129" t="n">
        <v>24</v>
      </c>
      <c r="AS175" s="129" t="s">
        <v>311</v>
      </c>
      <c r="AT175" s="27" t="s">
        <v>42</v>
      </c>
      <c r="AU175" s="129" t="s">
        <v>736</v>
      </c>
      <c r="AV175" s="129" t="n">
        <f aca="false">L175</f>
        <v>3</v>
      </c>
      <c r="AW175" s="129" t="n">
        <v>2.5</v>
      </c>
      <c r="AX175" s="156" t="n">
        <f aca="false">(AW175-$L175)/$L175*100</f>
        <v>-16.6666666666667</v>
      </c>
      <c r="AY175" s="129" t="n">
        <f aca="false">ABS((AW175-$L175)/$L175*100)</f>
        <v>16.6666666666667</v>
      </c>
      <c r="AZ175" s="171" t="n">
        <f aca="false">AW175*0.0254/2</f>
        <v>0.03175</v>
      </c>
      <c r="BA175" s="129" t="s">
        <v>311</v>
      </c>
      <c r="BB175" s="27" t="s">
        <v>42</v>
      </c>
      <c r="BC175" s="129" t="s">
        <v>737</v>
      </c>
      <c r="BD175" s="140" t="n">
        <f aca="false">E175</f>
        <v>72</v>
      </c>
      <c r="BE175" s="129" t="n">
        <v>95.15</v>
      </c>
      <c r="BF175" s="172" t="n">
        <f aca="false">(BE175-$E175)/$E175*100</f>
        <v>32.1527777777778</v>
      </c>
      <c r="BG175" s="172" t="n">
        <f aca="false">ABS((BE175-$E175)/$E175*100)</f>
        <v>32.1527777777778</v>
      </c>
      <c r="BH175" s="112" t="n">
        <v>34.795</v>
      </c>
      <c r="BI175" s="112" t="e">
        <f aca="false">(BH175-$P175)/$P175*100</f>
        <v>#DIV/0!</v>
      </c>
      <c r="BJ175" s="112" t="e">
        <f aca="false">ABS((BH175-$P175)/$P175*100)</f>
        <v>#DIV/0!</v>
      </c>
    </row>
    <row r="176" customFormat="false" ht="15" hidden="false" customHeight="false" outlineLevel="0" collapsed="false">
      <c r="B176" s="129" t="s">
        <v>311</v>
      </c>
      <c r="C176" s="27" t="s">
        <v>44</v>
      </c>
      <c r="D176" s="129" t="s">
        <v>738</v>
      </c>
      <c r="E176" s="127" t="n">
        <f aca="false">E174-E175</f>
        <v>118</v>
      </c>
      <c r="F176" s="153" t="n">
        <f aca="false">R176</f>
        <v>10.496</v>
      </c>
      <c r="G176" s="129"/>
      <c r="H176" s="129"/>
      <c r="I176" s="126" t="n">
        <v>1.5</v>
      </c>
      <c r="J176" s="130" t="n">
        <f aca="false">I176+I177</f>
        <v>1.5</v>
      </c>
      <c r="K176" s="129" t="n">
        <v>1.5</v>
      </c>
      <c r="L176" s="131" t="n">
        <v>4</v>
      </c>
      <c r="M176" s="154" t="n">
        <f aca="false">L176*25.4</f>
        <v>101.6</v>
      </c>
      <c r="N176" s="154" t="n">
        <f aca="false">M176/2 /1000</f>
        <v>0.0508</v>
      </c>
      <c r="O176" s="150"/>
      <c r="P176" s="153" t="n">
        <f aca="false">O176/60</f>
        <v>0</v>
      </c>
      <c r="Q176" s="155" t="n">
        <v>3.2</v>
      </c>
      <c r="R176" s="128" t="n">
        <f aca="false">Q176*3.28</f>
        <v>10.496</v>
      </c>
      <c r="S176" s="126" t="n">
        <f aca="false">0.33*12</f>
        <v>3.96</v>
      </c>
      <c r="T176" s="128" t="n">
        <f aca="false">(1*L176)/S176</f>
        <v>1.01010101010101</v>
      </c>
      <c r="U176" s="128" t="n">
        <f aca="false">T176*3.28</f>
        <v>3.31313131313131</v>
      </c>
      <c r="V176" s="129"/>
      <c r="W176" s="131"/>
      <c r="X176" s="154" t="n">
        <f aca="false">(W176*F176)/100</f>
        <v>0</v>
      </c>
      <c r="Y176" s="125" t="n">
        <f aca="false">6*M176/1000</f>
        <v>0.6096</v>
      </c>
      <c r="Z176" s="129" t="n">
        <v>4</v>
      </c>
      <c r="AA176" s="156" t="n">
        <f aca="false">(Z176-$L176)/$L176*100</f>
        <v>0</v>
      </c>
      <c r="AB176" s="129" t="n">
        <f aca="false">ABS((Z176-$L176)/$L176*100)</f>
        <v>0</v>
      </c>
      <c r="AC176" s="129" t="n">
        <v>173</v>
      </c>
      <c r="AD176" s="129" t="n">
        <f aca="false">(AC176-$E176)/$E176*100</f>
        <v>46.6101694915254</v>
      </c>
      <c r="AE176" s="129" t="n">
        <f aca="false">ABS((AC176-$E176)/$E176*100)</f>
        <v>46.6101694915254</v>
      </c>
      <c r="AF176" s="129" t="n">
        <v>34.795</v>
      </c>
      <c r="AG176" s="129" t="e">
        <f aca="false">(AF176-$P176)/$P176*100</f>
        <v>#DIV/0!</v>
      </c>
      <c r="AH176" s="129" t="e">
        <f aca="false">ABS((AF176-$P176)/$P176*100)</f>
        <v>#DIV/0!</v>
      </c>
      <c r="AI176" s="129" t="n">
        <f aca="false">Z176*25.4</f>
        <v>101.6</v>
      </c>
      <c r="AJ176" s="170" t="n">
        <f aca="false">AC176 * 1.69901082</f>
        <v>293.92887186</v>
      </c>
      <c r="AK176" s="129" t="n">
        <v>293.92887186</v>
      </c>
      <c r="AL176" s="170" t="n">
        <f aca="false">E176 * 1.69901082</f>
        <v>200.48327676</v>
      </c>
      <c r="AM176" s="170" t="n">
        <v>200.48327676</v>
      </c>
      <c r="AN176" s="129" t="n">
        <v>105</v>
      </c>
      <c r="AO176" s="129" t="n">
        <v>0.029</v>
      </c>
      <c r="AP176" s="129" t="n">
        <v>200.48327676</v>
      </c>
      <c r="AQ176" s="129" t="n">
        <f aca="false">104/1000</f>
        <v>0.104</v>
      </c>
      <c r="AR176" s="129" t="n">
        <v>38</v>
      </c>
      <c r="AS176" s="129" t="s">
        <v>311</v>
      </c>
      <c r="AT176" s="27" t="s">
        <v>44</v>
      </c>
      <c r="AU176" s="129" t="s">
        <v>739</v>
      </c>
      <c r="AV176" s="129" t="n">
        <f aca="false">L176</f>
        <v>4</v>
      </c>
      <c r="AW176" s="129" t="n">
        <v>4</v>
      </c>
      <c r="AX176" s="156" t="n">
        <f aca="false">(AW176-$L176)/$L176*100</f>
        <v>0</v>
      </c>
      <c r="AY176" s="129" t="n">
        <f aca="false">ABS((AW176-$L176)/$L176*100)</f>
        <v>0</v>
      </c>
      <c r="AZ176" s="171" t="n">
        <f aca="false">AW176*0.0254/2</f>
        <v>0.0508</v>
      </c>
      <c r="BA176" s="129" t="s">
        <v>311</v>
      </c>
      <c r="BB176" s="27" t="s">
        <v>44</v>
      </c>
      <c r="BC176" s="129" t="s">
        <v>739</v>
      </c>
      <c r="BD176" s="140" t="n">
        <f aca="false">E176</f>
        <v>118</v>
      </c>
      <c r="BE176" s="129" t="n">
        <v>107</v>
      </c>
      <c r="BF176" s="172" t="n">
        <f aca="false">(BE176-$E176)/$E176*100</f>
        <v>-9.32203389830509</v>
      </c>
      <c r="BG176" s="172" t="n">
        <f aca="false">ABS((BE176-$E176)/$E176*100)</f>
        <v>9.32203389830509</v>
      </c>
      <c r="BH176" s="112" t="n">
        <v>34.795</v>
      </c>
      <c r="BI176" s="112" t="e">
        <f aca="false">(BH176-$P176)/$P176*100</f>
        <v>#DIV/0!</v>
      </c>
      <c r="BJ176" s="112" t="e">
        <f aca="false">ABS((BH176-$P176)/$P176*100)</f>
        <v>#DIV/0!</v>
      </c>
    </row>
    <row r="177" customFormat="false" ht="14.25" hidden="false" customHeight="false" outlineLevel="0" collapsed="false">
      <c r="AE177" s="112" t="n">
        <f aca="false">AVERAGE(AE162:AE176)</f>
        <v>14.3311207320506</v>
      </c>
      <c r="AJ177" s="170"/>
      <c r="AV177" s="173"/>
      <c r="AZ177" s="129"/>
      <c r="BA177" s="174" t="s">
        <v>740</v>
      </c>
      <c r="BB177" s="174"/>
      <c r="BC177" s="174"/>
      <c r="BD177" s="174"/>
      <c r="BE177" s="174"/>
      <c r="BF177" s="174"/>
      <c r="BG177" s="172" t="n">
        <f aca="false">AVERAGE(BG163,BG165,BG167,BG169,BG171,BG173,BG175,BG176)</f>
        <v>7.96292464408771</v>
      </c>
    </row>
    <row r="178" customFormat="false" ht="14.25" hidden="false" customHeight="false" outlineLevel="0" collapsed="false">
      <c r="AC178" s="112" t="n">
        <v>100</v>
      </c>
      <c r="AJ178" s="170" t="n">
        <f aca="false">AC178 * 1.69901082</f>
        <v>169.901082</v>
      </c>
      <c r="AK178" s="112" t="n">
        <v>169.901082</v>
      </c>
    </row>
  </sheetData>
  <mergeCells count="103">
    <mergeCell ref="B19:B20"/>
    <mergeCell ref="C19:C20"/>
    <mergeCell ref="D19:D20"/>
    <mergeCell ref="E19:E20"/>
    <mergeCell ref="F19:F20"/>
    <mergeCell ref="G19:H19"/>
    <mergeCell ref="I19:I20"/>
    <mergeCell ref="J19:J20"/>
    <mergeCell ref="K19:K20"/>
    <mergeCell ref="L19:L20"/>
    <mergeCell ref="M19:M20"/>
    <mergeCell ref="O19:O20"/>
    <mergeCell ref="P19:P20"/>
    <mergeCell ref="Q19:Q20"/>
    <mergeCell ref="R19:R20"/>
    <mergeCell ref="S19:S20"/>
    <mergeCell ref="T19:T20"/>
    <mergeCell ref="U19:U20"/>
    <mergeCell ref="V19:V20"/>
    <mergeCell ref="W19:W20"/>
    <mergeCell ref="X19:X20"/>
    <mergeCell ref="Y19:Y20"/>
    <mergeCell ref="B78:B79"/>
    <mergeCell ref="C78:C79"/>
    <mergeCell ref="D78:D79"/>
    <mergeCell ref="E78:E79"/>
    <mergeCell ref="F78:F79"/>
    <mergeCell ref="G78:H78"/>
    <mergeCell ref="I78:I79"/>
    <mergeCell ref="J78:J79"/>
    <mergeCell ref="K78:K79"/>
    <mergeCell ref="L78:L79"/>
    <mergeCell ref="M78:M79"/>
    <mergeCell ref="O78:O79"/>
    <mergeCell ref="P78:P79"/>
    <mergeCell ref="Q78:Q79"/>
    <mergeCell ref="R78:R79"/>
    <mergeCell ref="S78:S79"/>
    <mergeCell ref="T78:T79"/>
    <mergeCell ref="U78:U79"/>
    <mergeCell ref="V78:V79"/>
    <mergeCell ref="W78:W79"/>
    <mergeCell ref="X78:X79"/>
    <mergeCell ref="Y78:Y79"/>
    <mergeCell ref="B119:B120"/>
    <mergeCell ref="C119:C120"/>
    <mergeCell ref="D119:D120"/>
    <mergeCell ref="E119:E120"/>
    <mergeCell ref="F119:F120"/>
    <mergeCell ref="G119:H119"/>
    <mergeCell ref="I119:I120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S119:S120"/>
    <mergeCell ref="T119:T120"/>
    <mergeCell ref="U119:U120"/>
    <mergeCell ref="V119:V120"/>
    <mergeCell ref="W119:W120"/>
    <mergeCell ref="X119:X120"/>
    <mergeCell ref="Y119:Y120"/>
    <mergeCell ref="Z119:AH119"/>
    <mergeCell ref="D146:E146"/>
    <mergeCell ref="B160:B161"/>
    <mergeCell ref="C160:C161"/>
    <mergeCell ref="D160:D161"/>
    <mergeCell ref="E160:E161"/>
    <mergeCell ref="F160:F161"/>
    <mergeCell ref="G160:H160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Q160:Q161"/>
    <mergeCell ref="R160:R161"/>
    <mergeCell ref="S160:S161"/>
    <mergeCell ref="T160:T161"/>
    <mergeCell ref="U160:U161"/>
    <mergeCell ref="V160:V161"/>
    <mergeCell ref="W160:W161"/>
    <mergeCell ref="X160:X161"/>
    <mergeCell ref="Y160:Y161"/>
    <mergeCell ref="Z160:AH160"/>
    <mergeCell ref="AN160:AR160"/>
    <mergeCell ref="AS160:AS161"/>
    <mergeCell ref="AT160:AT161"/>
    <mergeCell ref="AU160:AU161"/>
    <mergeCell ref="AW160:AY160"/>
    <mergeCell ref="BA160:BA161"/>
    <mergeCell ref="BB160:BB161"/>
    <mergeCell ref="BC160:BC161"/>
    <mergeCell ref="BE160:BG160"/>
    <mergeCell ref="BA177:BF17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2025-09-01T07:43:14Z</dcterms:created>
  <dc:creator>george kusuma</dc:creator>
  <dc:description/>
  <dc:language>en-US</dc:language>
  <cp:lastModifiedBy/>
  <cp:lastPrinted>2025-09-02T22:24:11Z</cp:lastPrinted>
  <dcterms:modified xsi:type="dcterms:W3CDTF">2026-08-03T11:39:52Z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