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eri\OneDrive\Dokumen\TR HVAC\"/>
    </mc:Choice>
  </mc:AlternateContent>
  <xr:revisionPtr revIDLastSave="0" documentId="13_ncr:1_{19586643-FA39-4748-8F29-1FC332E8B78D}" xr6:coauthVersionLast="47" xr6:coauthVersionMax="47" xr10:uidLastSave="{00000000-0000-0000-0000-000000000000}"/>
  <bookViews>
    <workbookView xWindow="-108" yWindow="-108" windowWidth="23256" windowHeight="12456" firstSheet="8" activeTab="10" xr2:uid="{9235B547-6014-48AE-A58A-8E0458C1C135}"/>
  </bookViews>
  <sheets>
    <sheet name="List of Room" sheetId="13" r:id="rId1"/>
    <sheet name="Summary" sheetId="24" r:id="rId2"/>
    <sheet name="Main Deck" sheetId="25" r:id="rId3"/>
    <sheet name="Poop Deck " sheetId="26" r:id="rId4"/>
    <sheet name="Boat Deck " sheetId="27" r:id="rId5"/>
    <sheet name="Bridge Deck" sheetId="29" r:id="rId6"/>
    <sheet name="Nav Deck" sheetId="30" r:id="rId7"/>
    <sheet name="Main Header 12 Jam" sheetId="31" r:id="rId8"/>
    <sheet name="Main Header 24 Jam" sheetId="33" r:id="rId9"/>
    <sheet name="Main Header 24 Jam Type 2" sheetId="34" r:id="rId10"/>
    <sheet name="Ducting &amp; Insulation" sheetId="35" r:id="rId11"/>
  </sheets>
  <externalReferences>
    <externalReference r:id="rId12"/>
    <externalReference r:id="rId13"/>
    <externalReference r:id="rId14"/>
    <externalReference r:id="rId15"/>
    <externalReference r:id="rId16"/>
  </externalReferences>
  <definedNames>
    <definedName name="_xlnm.Print_Area" localSheetId="10">'Ducting &amp; Insulation'!$A$77:$L$230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0" i="35" l="1"/>
  <c r="J156" i="35"/>
  <c r="C9" i="35"/>
  <c r="C84" i="35" s="1"/>
  <c r="T18" i="27"/>
  <c r="T19" i="27"/>
  <c r="T20" i="27"/>
  <c r="T17" i="27"/>
  <c r="T24" i="26"/>
  <c r="T23" i="26"/>
  <c r="T22" i="26"/>
  <c r="T21" i="26"/>
  <c r="T20" i="26"/>
  <c r="T19" i="26"/>
  <c r="T18" i="26"/>
  <c r="M38" i="25"/>
  <c r="M39" i="25"/>
  <c r="M40" i="25"/>
  <c r="M41" i="25"/>
  <c r="M42" i="25"/>
  <c r="M43" i="25"/>
  <c r="M44" i="25"/>
  <c r="M37" i="25"/>
  <c r="J218" i="35"/>
  <c r="J202" i="35"/>
  <c r="J186" i="35"/>
  <c r="J171" i="35"/>
  <c r="R59" i="35"/>
  <c r="R60" i="35"/>
  <c r="S60" i="35"/>
  <c r="T60" i="35"/>
  <c r="R61" i="35"/>
  <c r="R62" i="35"/>
  <c r="R63" i="35"/>
  <c r="S64" i="35"/>
  <c r="R51" i="35"/>
  <c r="R52" i="35"/>
  <c r="S52" i="35"/>
  <c r="T52" i="35"/>
  <c r="R53" i="35"/>
  <c r="R54" i="35"/>
  <c r="R55" i="35"/>
  <c r="R56" i="35"/>
  <c r="S57" i="35"/>
  <c r="N51" i="35"/>
  <c r="N52" i="35"/>
  <c r="O52" i="35"/>
  <c r="P52" i="35"/>
  <c r="N53" i="35"/>
  <c r="N54" i="35"/>
  <c r="N55" i="35"/>
  <c r="N56" i="35"/>
  <c r="N57" i="35"/>
  <c r="N58" i="35"/>
  <c r="N59" i="35"/>
  <c r="N60" i="35"/>
  <c r="O61" i="35"/>
  <c r="AK5" i="35"/>
  <c r="T61" i="35" s="1"/>
  <c r="J155" i="35"/>
  <c r="J139" i="35"/>
  <c r="J122" i="35"/>
  <c r="J94" i="35"/>
  <c r="AH137" i="35"/>
  <c r="AO38" i="35"/>
  <c r="AJ7" i="35"/>
  <c r="S63" i="35" s="1"/>
  <c r="AJ6" i="35"/>
  <c r="AO28" i="35" s="1"/>
  <c r="AK6" i="35" s="1"/>
  <c r="T62" i="35" s="1"/>
  <c r="AJ5" i="35"/>
  <c r="AO17" i="35" s="1"/>
  <c r="Y8" i="35"/>
  <c r="AE48" i="35" s="1"/>
  <c r="Z8" i="35" s="1"/>
  <c r="T56" i="35" s="1"/>
  <c r="Y7" i="35"/>
  <c r="S55" i="35" s="1"/>
  <c r="Y6" i="35"/>
  <c r="S54" i="35" s="1"/>
  <c r="Y5" i="35"/>
  <c r="AE14" i="35" s="1"/>
  <c r="Z5" i="35" s="1"/>
  <c r="T53" i="35" s="1"/>
  <c r="Q29" i="34"/>
  <c r="Q27" i="34"/>
  <c r="Q25" i="34"/>
  <c r="Q23" i="34"/>
  <c r="C22" i="34"/>
  <c r="S40" i="35"/>
  <c r="S28" i="35"/>
  <c r="S17" i="35"/>
  <c r="S6" i="35"/>
  <c r="I51" i="35"/>
  <c r="I39" i="35"/>
  <c r="I28" i="35"/>
  <c r="I17" i="35"/>
  <c r="C12" i="35"/>
  <c r="C87" i="35" s="1"/>
  <c r="J219" i="35" s="1"/>
  <c r="D87" i="35" s="1"/>
  <c r="C11" i="35"/>
  <c r="C86" i="35" s="1"/>
  <c r="C10" i="35"/>
  <c r="C85" i="35" s="1"/>
  <c r="C8" i="35"/>
  <c r="C83" i="35" s="1"/>
  <c r="C6" i="35"/>
  <c r="O54" i="35" s="1"/>
  <c r="C7" i="35"/>
  <c r="C82" i="35" s="1"/>
  <c r="C5" i="35"/>
  <c r="C80" i="35" s="1"/>
  <c r="O25" i="30"/>
  <c r="D24" i="30"/>
  <c r="D26" i="30"/>
  <c r="D22" i="30"/>
  <c r="P25" i="30"/>
  <c r="P24" i="30"/>
  <c r="O24" i="30"/>
  <c r="O27" i="29"/>
  <c r="P27" i="29"/>
  <c r="O29" i="29"/>
  <c r="O28" i="29"/>
  <c r="O26" i="29"/>
  <c r="O25" i="29"/>
  <c r="P26" i="29"/>
  <c r="G25" i="29"/>
  <c r="G23" i="29"/>
  <c r="P29" i="29"/>
  <c r="P28" i="29"/>
  <c r="P25" i="29"/>
  <c r="G25" i="27"/>
  <c r="G23" i="27"/>
  <c r="O26" i="27" s="1"/>
  <c r="P26" i="27" s="1"/>
  <c r="G26" i="26"/>
  <c r="G24" i="26"/>
  <c r="O34" i="26" s="1"/>
  <c r="P34" i="26" s="1"/>
  <c r="V26" i="25"/>
  <c r="J53" i="25"/>
  <c r="K53" i="25" s="1"/>
  <c r="D28" i="25"/>
  <c r="J52" i="25" s="1"/>
  <c r="K52" i="25" s="1"/>
  <c r="T26" i="25"/>
  <c r="D30" i="25"/>
  <c r="U17" i="30"/>
  <c r="R17" i="30"/>
  <c r="R19" i="29"/>
  <c r="R20" i="29"/>
  <c r="R21" i="29"/>
  <c r="R18" i="29"/>
  <c r="R17" i="29"/>
  <c r="R19" i="27"/>
  <c r="R20" i="27"/>
  <c r="R18" i="27"/>
  <c r="R17" i="27"/>
  <c r="R21" i="26"/>
  <c r="R22" i="26"/>
  <c r="R23" i="26"/>
  <c r="R24" i="26"/>
  <c r="R20" i="26"/>
  <c r="R19" i="26"/>
  <c r="R18" i="26"/>
  <c r="K41" i="25"/>
  <c r="K42" i="25"/>
  <c r="K43" i="25"/>
  <c r="K44" i="25"/>
  <c r="K40" i="25"/>
  <c r="K38" i="25"/>
  <c r="K39" i="25"/>
  <c r="K37" i="25"/>
  <c r="J187" i="35" l="1"/>
  <c r="D85" i="35" s="1"/>
  <c r="J203" i="35"/>
  <c r="D86" i="35" s="1"/>
  <c r="O25" i="27"/>
  <c r="P25" i="27" s="1"/>
  <c r="O33" i="26"/>
  <c r="P33" i="26" s="1"/>
  <c r="O35" i="26"/>
  <c r="P35" i="26" s="1"/>
  <c r="O32" i="26"/>
  <c r="P32" i="26" s="1"/>
  <c r="J51" i="25"/>
  <c r="K51" i="25" s="1"/>
  <c r="S29" i="35"/>
  <c r="D12" i="35" s="1"/>
  <c r="P60" i="35" s="1"/>
  <c r="J172" i="35"/>
  <c r="D84" i="35" s="1"/>
  <c r="S61" i="35"/>
  <c r="O55" i="35"/>
  <c r="O58" i="35"/>
  <c r="AH138" i="35"/>
  <c r="O57" i="35"/>
  <c r="S62" i="35"/>
  <c r="O59" i="35"/>
  <c r="S53" i="35"/>
  <c r="J95" i="35"/>
  <c r="AE36" i="35"/>
  <c r="Z7" i="35" s="1"/>
  <c r="T55" i="35" s="1"/>
  <c r="O53" i="35"/>
  <c r="J140" i="35"/>
  <c r="D82" i="35" s="1"/>
  <c r="S56" i="35"/>
  <c r="AE25" i="35"/>
  <c r="Z6" i="35" s="1"/>
  <c r="T54" i="35" s="1"/>
  <c r="D83" i="35"/>
  <c r="O60" i="35"/>
  <c r="O56" i="35"/>
  <c r="AO39" i="35"/>
  <c r="AK7" i="35" s="1"/>
  <c r="S7" i="35"/>
  <c r="D9" i="35" s="1"/>
  <c r="P57" i="35" s="1"/>
  <c r="I52" i="35"/>
  <c r="D8" i="35" s="1"/>
  <c r="P56" i="35" s="1"/>
  <c r="S18" i="35"/>
  <c r="I18" i="35"/>
  <c r="D5" i="35" s="1"/>
  <c r="P53" i="35" s="1"/>
  <c r="I40" i="35"/>
  <c r="D7" i="35" s="1"/>
  <c r="P55" i="35" s="1"/>
  <c r="I29" i="35"/>
  <c r="D6" i="35" s="1"/>
  <c r="P54" i="35" s="1"/>
  <c r="C81" i="35"/>
  <c r="J123" i="35" s="1"/>
  <c r="D81" i="35" s="1"/>
  <c r="S41" i="35"/>
  <c r="O8" i="30"/>
  <c r="K8" i="30"/>
  <c r="G9" i="30"/>
  <c r="D8" i="30"/>
  <c r="B8" i="30"/>
  <c r="H8" i="30"/>
  <c r="Q28" i="34"/>
  <c r="Q26" i="34"/>
  <c r="Q24" i="34"/>
  <c r="Q22" i="34"/>
  <c r="C21" i="34"/>
  <c r="C19" i="31"/>
  <c r="C19" i="33"/>
  <c r="D88" i="35" l="1"/>
  <c r="Z9" i="35"/>
  <c r="T57" i="35" s="1"/>
  <c r="AK8" i="35"/>
  <c r="T64" i="35" s="1"/>
  <c r="T63" i="35"/>
  <c r="D11" i="35"/>
  <c r="P59" i="35" s="1"/>
  <c r="D10" i="35"/>
  <c r="C28" i="26"/>
  <c r="F20" i="33"/>
  <c r="F19" i="33"/>
  <c r="F20" i="31"/>
  <c r="F19" i="31"/>
  <c r="C20" i="33"/>
  <c r="C22" i="33"/>
  <c r="D7" i="33" s="1"/>
  <c r="R10" i="34"/>
  <c r="AB10" i="34" s="1"/>
  <c r="R9" i="34"/>
  <c r="AB9" i="34" s="1"/>
  <c r="R7" i="34"/>
  <c r="D7" i="34"/>
  <c r="R8" i="34"/>
  <c r="AB8" i="34" s="1"/>
  <c r="Y10" i="34"/>
  <c r="W10" i="34"/>
  <c r="P10" i="34"/>
  <c r="U19" i="34" s="1"/>
  <c r="Y9" i="34"/>
  <c r="P9" i="34"/>
  <c r="U18" i="34" s="1"/>
  <c r="Y8" i="34"/>
  <c r="P8" i="34"/>
  <c r="U17" i="34" s="1"/>
  <c r="Y7" i="34"/>
  <c r="P7" i="34"/>
  <c r="U16" i="34" s="1"/>
  <c r="K7" i="34"/>
  <c r="B7" i="34"/>
  <c r="J15" i="34" s="1"/>
  <c r="U26" i="25"/>
  <c r="S9" i="29"/>
  <c r="O7" i="29" s="1"/>
  <c r="K7" i="29"/>
  <c r="K8" i="29"/>
  <c r="K9" i="29"/>
  <c r="K10" i="29"/>
  <c r="K5" i="29"/>
  <c r="O5" i="30"/>
  <c r="R9" i="30"/>
  <c r="S9" i="27"/>
  <c r="O7" i="27" s="1"/>
  <c r="K7" i="27"/>
  <c r="K8" i="27"/>
  <c r="K9" i="27"/>
  <c r="K5" i="27"/>
  <c r="K5" i="30"/>
  <c r="C23" i="29"/>
  <c r="O7" i="26"/>
  <c r="O8" i="26"/>
  <c r="O9" i="26"/>
  <c r="S9" i="26"/>
  <c r="O11" i="26" s="1"/>
  <c r="K7" i="26"/>
  <c r="K8" i="26"/>
  <c r="K9" i="26"/>
  <c r="K10" i="26"/>
  <c r="K11" i="26"/>
  <c r="K12" i="26"/>
  <c r="K5" i="26"/>
  <c r="Z7" i="25"/>
  <c r="Z8" i="25"/>
  <c r="Z9" i="25"/>
  <c r="Z10" i="25"/>
  <c r="Z11" i="25"/>
  <c r="Z5" i="25"/>
  <c r="Y7" i="33"/>
  <c r="Y8" i="33"/>
  <c r="Y9" i="33"/>
  <c r="Y10" i="33"/>
  <c r="K7" i="33"/>
  <c r="K5" i="33"/>
  <c r="K7" i="25"/>
  <c r="K8" i="25"/>
  <c r="K9" i="25"/>
  <c r="K5" i="25"/>
  <c r="AH9" i="25"/>
  <c r="O9" i="25" s="1"/>
  <c r="C36" i="33"/>
  <c r="C37" i="33" s="1"/>
  <c r="Q29" i="33"/>
  <c r="R10" i="33" s="1"/>
  <c r="Q27" i="33"/>
  <c r="R9" i="33" s="1"/>
  <c r="C27" i="33"/>
  <c r="C31" i="33" s="1"/>
  <c r="C32" i="33" s="1"/>
  <c r="C39" i="33" s="1"/>
  <c r="Q25" i="33"/>
  <c r="R8" i="33" s="1"/>
  <c r="Q23" i="33"/>
  <c r="S25" i="33" s="1"/>
  <c r="S27" i="33" s="1"/>
  <c r="U10" i="33"/>
  <c r="P10" i="33"/>
  <c r="U19" i="33" s="1"/>
  <c r="U9" i="33"/>
  <c r="P9" i="33"/>
  <c r="U18" i="33" s="1"/>
  <c r="U8" i="33"/>
  <c r="P8" i="33"/>
  <c r="U17" i="33" s="1"/>
  <c r="U7" i="33"/>
  <c r="P7" i="33"/>
  <c r="U16" i="33" s="1"/>
  <c r="G7" i="33"/>
  <c r="B7" i="33"/>
  <c r="J15" i="33" s="1"/>
  <c r="Z5" i="33"/>
  <c r="X5" i="33"/>
  <c r="Y5" i="33" s="1"/>
  <c r="B5" i="33"/>
  <c r="P5" i="33" s="1"/>
  <c r="U15" i="33" s="1"/>
  <c r="O10" i="26" l="1"/>
  <c r="AD10" i="25"/>
  <c r="AD9" i="25"/>
  <c r="AD8" i="25"/>
  <c r="D13" i="35"/>
  <c r="P61" i="35" s="1"/>
  <c r="P63" i="35" s="1"/>
  <c r="P58" i="35"/>
  <c r="AB7" i="34"/>
  <c r="Q52" i="34"/>
  <c r="R52" i="34" s="1"/>
  <c r="N7" i="34"/>
  <c r="Q51" i="34"/>
  <c r="R51" i="34" s="1"/>
  <c r="AD7" i="25"/>
  <c r="AD11" i="25"/>
  <c r="O9" i="27"/>
  <c r="O5" i="27"/>
  <c r="O8" i="27"/>
  <c r="O5" i="29"/>
  <c r="O10" i="29"/>
  <c r="O9" i="29"/>
  <c r="O8" i="29"/>
  <c r="O5" i="26"/>
  <c r="O12" i="26"/>
  <c r="S29" i="33"/>
  <c r="R7" i="33"/>
  <c r="O7" i="25"/>
  <c r="O8" i="25"/>
  <c r="D5" i="33"/>
  <c r="AI7" i="33" s="1"/>
  <c r="H5" i="33" s="1"/>
  <c r="J14" i="33"/>
  <c r="C37" i="31"/>
  <c r="C36" i="31"/>
  <c r="C42" i="25"/>
  <c r="C43" i="25" s="1"/>
  <c r="X5" i="31"/>
  <c r="W5" i="31"/>
  <c r="C46" i="25"/>
  <c r="C34" i="25"/>
  <c r="Q10" i="31"/>
  <c r="Q9" i="31"/>
  <c r="Q8" i="31"/>
  <c r="O10" i="31"/>
  <c r="O9" i="31"/>
  <c r="O8" i="31"/>
  <c r="O7" i="31"/>
  <c r="P29" i="31"/>
  <c r="P27" i="31"/>
  <c r="R5" i="33" l="1"/>
  <c r="H7" i="33"/>
  <c r="V5" i="33"/>
  <c r="V7" i="33" s="1"/>
  <c r="V8" i="33" s="1"/>
  <c r="V9" i="33" s="1"/>
  <c r="C31" i="31"/>
  <c r="C32" i="31" s="1"/>
  <c r="C39" i="31" s="1"/>
  <c r="C27" i="31"/>
  <c r="P25" i="31"/>
  <c r="P23" i="31"/>
  <c r="Q7" i="31" s="1"/>
  <c r="C22" i="31"/>
  <c r="D7" i="31" s="1"/>
  <c r="C20" i="31"/>
  <c r="T19" i="31"/>
  <c r="T10" i="31"/>
  <c r="AD9" i="31"/>
  <c r="T9" i="31"/>
  <c r="T18" i="31"/>
  <c r="T8" i="31"/>
  <c r="T17" i="31"/>
  <c r="T7" i="31"/>
  <c r="T16" i="31"/>
  <c r="G7" i="31"/>
  <c r="B7" i="31"/>
  <c r="B5" i="31"/>
  <c r="O5" i="31" s="1"/>
  <c r="T15" i="31" s="1"/>
  <c r="L13" i="30"/>
  <c r="I13" i="30"/>
  <c r="L13" i="29"/>
  <c r="I13" i="29"/>
  <c r="L13" i="27"/>
  <c r="I13" i="27"/>
  <c r="L13" i="26"/>
  <c r="I13" i="26"/>
  <c r="AA12" i="25"/>
  <c r="X12" i="25"/>
  <c r="U12" i="34" l="1"/>
  <c r="AC10" i="34"/>
  <c r="U12" i="33"/>
  <c r="V10" i="33"/>
  <c r="D5" i="31"/>
  <c r="AG7" i="31" s="1"/>
  <c r="H5" i="31" s="1"/>
  <c r="U5" i="31" s="1"/>
  <c r="J15" i="31"/>
  <c r="Q5" i="31"/>
  <c r="J14" i="31"/>
  <c r="U7" i="31" l="1"/>
  <c r="U8" i="31" s="1"/>
  <c r="U9" i="31" s="1"/>
  <c r="H7" i="31"/>
  <c r="T12" i="31" l="1"/>
  <c r="U10" i="31"/>
  <c r="B15" i="30" l="1"/>
  <c r="C19" i="30"/>
  <c r="B5" i="30"/>
  <c r="J16" i="30" s="1"/>
  <c r="C29" i="29"/>
  <c r="C30" i="29" s="1"/>
  <c r="D9" i="29" s="1"/>
  <c r="C25" i="29"/>
  <c r="C26" i="29" s="1"/>
  <c r="D7" i="29" s="1"/>
  <c r="C24" i="29"/>
  <c r="D5" i="29" s="1"/>
  <c r="B19" i="29"/>
  <c r="B18" i="29"/>
  <c r="B17" i="29"/>
  <c r="B16" i="29"/>
  <c r="B15" i="29"/>
  <c r="C32" i="29"/>
  <c r="D10" i="29" s="1"/>
  <c r="C28" i="29"/>
  <c r="D8" i="29" s="1"/>
  <c r="G10" i="29"/>
  <c r="B10" i="29"/>
  <c r="J20" i="29" s="1"/>
  <c r="G9" i="29"/>
  <c r="B9" i="29"/>
  <c r="J19" i="29" s="1"/>
  <c r="G8" i="29"/>
  <c r="B8" i="29"/>
  <c r="G7" i="29"/>
  <c r="B7" i="29"/>
  <c r="J18" i="29" s="1"/>
  <c r="B5" i="29"/>
  <c r="J16" i="29" s="1"/>
  <c r="C25" i="27"/>
  <c r="C26" i="27" s="1"/>
  <c r="D7" i="27" s="1"/>
  <c r="Q11" i="25"/>
  <c r="Q10" i="25"/>
  <c r="Q9" i="25"/>
  <c r="Q8" i="25"/>
  <c r="Q7" i="25"/>
  <c r="B9" i="25"/>
  <c r="B8" i="25"/>
  <c r="B7" i="25"/>
  <c r="B5" i="25"/>
  <c r="B18" i="27"/>
  <c r="B17" i="27"/>
  <c r="B16" i="27"/>
  <c r="B15" i="27"/>
  <c r="C30" i="27"/>
  <c r="D9" i="27" s="1"/>
  <c r="C28" i="27"/>
  <c r="D8" i="27" s="1"/>
  <c r="C24" i="27"/>
  <c r="D5" i="27" s="1"/>
  <c r="G9" i="27"/>
  <c r="B9" i="27"/>
  <c r="J19" i="27" s="1"/>
  <c r="G8" i="27"/>
  <c r="B8" i="27"/>
  <c r="G7" i="27"/>
  <c r="B7" i="27"/>
  <c r="J18" i="27" s="1"/>
  <c r="B5" i="27"/>
  <c r="J16" i="27" s="1"/>
  <c r="R26" i="25"/>
  <c r="G10" i="26"/>
  <c r="G11" i="26"/>
  <c r="G12" i="26"/>
  <c r="G8" i="26"/>
  <c r="C37" i="26"/>
  <c r="D12" i="26" s="1"/>
  <c r="O31" i="26" s="1"/>
  <c r="P31" i="26" s="1"/>
  <c r="C34" i="26"/>
  <c r="C35" i="26" s="1"/>
  <c r="D11" i="26" s="1"/>
  <c r="O29" i="26" s="1"/>
  <c r="P29" i="26" s="1"/>
  <c r="C33" i="26"/>
  <c r="D10" i="26" s="1"/>
  <c r="C26" i="26"/>
  <c r="B12" i="26"/>
  <c r="J22" i="26" s="1"/>
  <c r="B11" i="26"/>
  <c r="J21" i="26" s="1"/>
  <c r="B10" i="26"/>
  <c r="J20" i="26" s="1"/>
  <c r="B9" i="26"/>
  <c r="B8" i="26"/>
  <c r="B7" i="26"/>
  <c r="B5" i="26"/>
  <c r="V7" i="27" l="1"/>
  <c r="G6" i="27" s="1"/>
  <c r="H5" i="27" s="1"/>
  <c r="H7" i="27" s="1"/>
  <c r="O24" i="27"/>
  <c r="P24" i="27" s="1"/>
  <c r="J17" i="27"/>
  <c r="D5" i="30"/>
  <c r="U7" i="30" s="1"/>
  <c r="G6" i="30" s="1"/>
  <c r="H5" i="30" s="1"/>
  <c r="G13" i="30" s="1"/>
  <c r="N13" i="30" s="1"/>
  <c r="V7" i="29"/>
  <c r="G6" i="29" s="1"/>
  <c r="H5" i="29" s="1"/>
  <c r="H7" i="29" s="1"/>
  <c r="H8" i="29" s="1"/>
  <c r="J17" i="29"/>
  <c r="Y20" i="25"/>
  <c r="Y19" i="25"/>
  <c r="Y18" i="25"/>
  <c r="Y17" i="25"/>
  <c r="Y16" i="25"/>
  <c r="B21" i="26"/>
  <c r="B20" i="26"/>
  <c r="B19" i="26"/>
  <c r="B18" i="26"/>
  <c r="B17" i="26"/>
  <c r="B16" i="26"/>
  <c r="B15" i="26"/>
  <c r="C31" i="26"/>
  <c r="D9" i="26" s="1"/>
  <c r="C29" i="26"/>
  <c r="D8" i="26" s="1"/>
  <c r="C27" i="26"/>
  <c r="D7" i="26" s="1"/>
  <c r="C25" i="26"/>
  <c r="D5" i="26" s="1"/>
  <c r="O30" i="26" s="1"/>
  <c r="P30" i="26" s="1"/>
  <c r="J19" i="26"/>
  <c r="J18" i="26"/>
  <c r="J17" i="26"/>
  <c r="J16" i="26"/>
  <c r="G9" i="26"/>
  <c r="G7" i="26"/>
  <c r="V11" i="25"/>
  <c r="V10" i="25"/>
  <c r="V9" i="25"/>
  <c r="V8" i="25"/>
  <c r="V7" i="25"/>
  <c r="G9" i="25"/>
  <c r="G8" i="25"/>
  <c r="G7" i="25"/>
  <c r="R31" i="25"/>
  <c r="S11" i="25" s="1"/>
  <c r="R29" i="25"/>
  <c r="S10" i="25" s="1"/>
  <c r="R27" i="25"/>
  <c r="S9" i="25" s="1"/>
  <c r="R25" i="25"/>
  <c r="S8" i="25" s="1"/>
  <c r="R23" i="25"/>
  <c r="S7" i="25" s="1"/>
  <c r="V5" i="25"/>
  <c r="Q5" i="25"/>
  <c r="Y15" i="25" s="1"/>
  <c r="G16" i="25"/>
  <c r="G17" i="25"/>
  <c r="C26" i="25"/>
  <c r="D9" i="25" s="1"/>
  <c r="J50" i="25" s="1"/>
  <c r="K50" i="25" s="1"/>
  <c r="C37" i="25"/>
  <c r="C38" i="25" s="1"/>
  <c r="C45" i="25" s="1"/>
  <c r="G15" i="25"/>
  <c r="G14" i="25"/>
  <c r="C20" i="25"/>
  <c r="C24" i="25"/>
  <c r="D8" i="25" s="1"/>
  <c r="C22" i="25"/>
  <c r="D7" i="25" s="1"/>
  <c r="V10" i="31" l="1"/>
  <c r="AA10" i="31" s="1"/>
  <c r="W10" i="33"/>
  <c r="AC10" i="33" s="1"/>
  <c r="H9" i="29"/>
  <c r="H10" i="29" s="1"/>
  <c r="G13" i="29"/>
  <c r="N13" i="29" s="1"/>
  <c r="W9" i="34" s="1"/>
  <c r="H8" i="27"/>
  <c r="P7" i="27"/>
  <c r="D5" i="25"/>
  <c r="J49" i="25" s="1"/>
  <c r="K49" i="25" s="1"/>
  <c r="G10" i="24"/>
  <c r="W12" i="34" l="1"/>
  <c r="Z12" i="34" s="1"/>
  <c r="AC9" i="34"/>
  <c r="W9" i="33"/>
  <c r="V9" i="31"/>
  <c r="H9" i="27"/>
  <c r="G13" i="27"/>
  <c r="N13" i="27" s="1"/>
  <c r="W8" i="34" s="1"/>
  <c r="P8" i="27"/>
  <c r="V7" i="26"/>
  <c r="AK7" i="25"/>
  <c r="G6" i="25" s="1"/>
  <c r="S5" i="25"/>
  <c r="P35" i="24"/>
  <c r="O35" i="24"/>
  <c r="N35" i="24"/>
  <c r="M35" i="24"/>
  <c r="L35" i="24"/>
  <c r="J35" i="24"/>
  <c r="I35" i="24"/>
  <c r="H35" i="24"/>
  <c r="G35" i="24"/>
  <c r="F35" i="24"/>
  <c r="P34" i="24"/>
  <c r="O34" i="24"/>
  <c r="N34" i="24"/>
  <c r="M34" i="24"/>
  <c r="L34" i="24"/>
  <c r="J34" i="24"/>
  <c r="I34" i="24"/>
  <c r="H34" i="24"/>
  <c r="G34" i="24"/>
  <c r="F34" i="24"/>
  <c r="P33" i="24"/>
  <c r="O33" i="24"/>
  <c r="N33" i="24"/>
  <c r="M33" i="24"/>
  <c r="L33" i="24"/>
  <c r="J33" i="24"/>
  <c r="I33" i="24"/>
  <c r="H33" i="24"/>
  <c r="G33" i="24"/>
  <c r="F33" i="24"/>
  <c r="P32" i="24"/>
  <c r="O32" i="24"/>
  <c r="N32" i="24"/>
  <c r="M32" i="24"/>
  <c r="L32" i="24"/>
  <c r="J32" i="24"/>
  <c r="I32" i="24"/>
  <c r="K32" i="24" s="1"/>
  <c r="H32" i="24"/>
  <c r="G32" i="24"/>
  <c r="F32" i="24"/>
  <c r="P31" i="24"/>
  <c r="O31" i="24"/>
  <c r="N31" i="24"/>
  <c r="M31" i="24"/>
  <c r="Q31" i="24" s="1"/>
  <c r="L31" i="24"/>
  <c r="J31" i="24"/>
  <c r="I31" i="24"/>
  <c r="H31" i="24"/>
  <c r="G31" i="24"/>
  <c r="F31" i="24"/>
  <c r="P30" i="24"/>
  <c r="O30" i="24"/>
  <c r="N30" i="24"/>
  <c r="M30" i="24"/>
  <c r="Q30" i="24" s="1"/>
  <c r="L30" i="24"/>
  <c r="J30" i="24"/>
  <c r="I30" i="24"/>
  <c r="H30" i="24"/>
  <c r="G30" i="24"/>
  <c r="F30" i="24"/>
  <c r="P29" i="24"/>
  <c r="E43" i="24" s="1"/>
  <c r="O29" i="24"/>
  <c r="N29" i="24"/>
  <c r="M29" i="24"/>
  <c r="L29" i="24"/>
  <c r="J29" i="24"/>
  <c r="I29" i="24"/>
  <c r="H29" i="24"/>
  <c r="G29" i="24"/>
  <c r="F29" i="24"/>
  <c r="P28" i="24"/>
  <c r="O28" i="24"/>
  <c r="N28" i="24"/>
  <c r="M28" i="24"/>
  <c r="L28" i="24"/>
  <c r="J28" i="24"/>
  <c r="I28" i="24"/>
  <c r="H28" i="24"/>
  <c r="G28" i="24"/>
  <c r="F28" i="24"/>
  <c r="P27" i="24"/>
  <c r="O27" i="24"/>
  <c r="N27" i="24"/>
  <c r="M27" i="24"/>
  <c r="L27" i="24"/>
  <c r="J27" i="24"/>
  <c r="I27" i="24"/>
  <c r="H27" i="24"/>
  <c r="G27" i="24"/>
  <c r="F27" i="24"/>
  <c r="P26" i="24"/>
  <c r="O26" i="24"/>
  <c r="N26" i="24"/>
  <c r="M26" i="24"/>
  <c r="L26" i="24"/>
  <c r="J26" i="24"/>
  <c r="I26" i="24"/>
  <c r="H26" i="24"/>
  <c r="G26" i="24"/>
  <c r="F26" i="24"/>
  <c r="P25" i="24"/>
  <c r="O25" i="24"/>
  <c r="N25" i="24"/>
  <c r="M25" i="24"/>
  <c r="L25" i="24"/>
  <c r="J25" i="24"/>
  <c r="I25" i="24"/>
  <c r="H25" i="24"/>
  <c r="G25" i="24"/>
  <c r="F25" i="24"/>
  <c r="P24" i="24"/>
  <c r="O24" i="24"/>
  <c r="N24" i="24"/>
  <c r="M24" i="24"/>
  <c r="L24" i="24"/>
  <c r="J24" i="24"/>
  <c r="I24" i="24"/>
  <c r="H24" i="24"/>
  <c r="G24" i="24"/>
  <c r="F24" i="24"/>
  <c r="P23" i="24"/>
  <c r="O23" i="24"/>
  <c r="N23" i="24"/>
  <c r="M23" i="24"/>
  <c r="L23" i="24"/>
  <c r="J23" i="24"/>
  <c r="I23" i="24"/>
  <c r="H23" i="24"/>
  <c r="G23" i="24"/>
  <c r="F23" i="24"/>
  <c r="P22" i="24"/>
  <c r="O22" i="24"/>
  <c r="N22" i="24"/>
  <c r="M22" i="24"/>
  <c r="L22" i="24"/>
  <c r="J22" i="24"/>
  <c r="I22" i="24"/>
  <c r="H22" i="24"/>
  <c r="G22" i="24"/>
  <c r="F22" i="24"/>
  <c r="P21" i="24"/>
  <c r="O21" i="24"/>
  <c r="N21" i="24"/>
  <c r="M21" i="24"/>
  <c r="L21" i="24"/>
  <c r="J21" i="24"/>
  <c r="I21" i="24"/>
  <c r="H21" i="24"/>
  <c r="G21" i="24"/>
  <c r="F21" i="24"/>
  <c r="F20" i="24"/>
  <c r="P19" i="24"/>
  <c r="O19" i="24"/>
  <c r="N19" i="24"/>
  <c r="M19" i="24"/>
  <c r="L19" i="24"/>
  <c r="J19" i="24"/>
  <c r="I19" i="24"/>
  <c r="H19" i="24"/>
  <c r="G19" i="24"/>
  <c r="F19" i="24"/>
  <c r="P18" i="24"/>
  <c r="O18" i="24"/>
  <c r="N18" i="24"/>
  <c r="M18" i="24"/>
  <c r="Q18" i="24" s="1"/>
  <c r="L18" i="24"/>
  <c r="J18" i="24"/>
  <c r="I18" i="24"/>
  <c r="H18" i="24"/>
  <c r="G18" i="24"/>
  <c r="F18" i="24"/>
  <c r="P17" i="24"/>
  <c r="O17" i="24"/>
  <c r="N17" i="24"/>
  <c r="M17" i="24"/>
  <c r="L17" i="24"/>
  <c r="J17" i="24"/>
  <c r="I17" i="24"/>
  <c r="H17" i="24"/>
  <c r="G17" i="24"/>
  <c r="F17" i="24"/>
  <c r="P16" i="24"/>
  <c r="O16" i="24"/>
  <c r="N16" i="24"/>
  <c r="M16" i="24"/>
  <c r="L16" i="24"/>
  <c r="J16" i="24"/>
  <c r="I16" i="24"/>
  <c r="H16" i="24"/>
  <c r="G16" i="24"/>
  <c r="F16" i="24"/>
  <c r="P15" i="24"/>
  <c r="O15" i="24"/>
  <c r="N15" i="24"/>
  <c r="M15" i="24"/>
  <c r="L15" i="24"/>
  <c r="J15" i="24"/>
  <c r="I15" i="24"/>
  <c r="K15" i="24" s="1"/>
  <c r="H15" i="24"/>
  <c r="G15" i="24"/>
  <c r="F15" i="24"/>
  <c r="P14" i="24"/>
  <c r="O14" i="24"/>
  <c r="N14" i="24"/>
  <c r="M14" i="24"/>
  <c r="Q14" i="24" s="1"/>
  <c r="L14" i="24"/>
  <c r="J14" i="24"/>
  <c r="I14" i="24"/>
  <c r="H14" i="24"/>
  <c r="G14" i="24"/>
  <c r="F14" i="24"/>
  <c r="P13" i="24"/>
  <c r="O13" i="24"/>
  <c r="N13" i="24"/>
  <c r="M13" i="24"/>
  <c r="L13" i="24"/>
  <c r="J13" i="24"/>
  <c r="I13" i="24"/>
  <c r="H13" i="24"/>
  <c r="G13" i="24"/>
  <c r="F13" i="24"/>
  <c r="P12" i="24"/>
  <c r="O12" i="24"/>
  <c r="N12" i="24"/>
  <c r="M12" i="24"/>
  <c r="L12" i="24"/>
  <c r="J12" i="24"/>
  <c r="I12" i="24"/>
  <c r="H12" i="24"/>
  <c r="G12" i="24"/>
  <c r="F12" i="24"/>
  <c r="P11" i="24"/>
  <c r="O11" i="24"/>
  <c r="N11" i="24"/>
  <c r="M11" i="24"/>
  <c r="Q11" i="24" s="1"/>
  <c r="L11" i="24"/>
  <c r="J11" i="24"/>
  <c r="I11" i="24"/>
  <c r="H11" i="24"/>
  <c r="G11" i="24"/>
  <c r="F11" i="24"/>
  <c r="P10" i="24"/>
  <c r="O10" i="24"/>
  <c r="N10" i="24"/>
  <c r="M10" i="24"/>
  <c r="L10" i="24"/>
  <c r="J10" i="24"/>
  <c r="I10" i="24"/>
  <c r="H10" i="24"/>
  <c r="F10" i="24"/>
  <c r="K22" i="24" l="1"/>
  <c r="K34" i="24"/>
  <c r="K19" i="24"/>
  <c r="Q22" i="24"/>
  <c r="K30" i="24"/>
  <c r="Q15" i="24"/>
  <c r="K21" i="24"/>
  <c r="K27" i="24"/>
  <c r="K33" i="24"/>
  <c r="G6" i="26"/>
  <c r="H5" i="26" s="1"/>
  <c r="H7" i="26" s="1"/>
  <c r="H8" i="26" s="1"/>
  <c r="H9" i="26" s="1"/>
  <c r="H10" i="26" s="1"/>
  <c r="V12" i="31"/>
  <c r="X12" i="31" s="1"/>
  <c r="AA9" i="31"/>
  <c r="W12" i="33"/>
  <c r="Z12" i="33" s="1"/>
  <c r="AC9" i="33"/>
  <c r="W8" i="33"/>
  <c r="V8" i="31"/>
  <c r="K26" i="24"/>
  <c r="K24" i="24"/>
  <c r="Q24" i="24"/>
  <c r="K13" i="24"/>
  <c r="K12" i="24"/>
  <c r="Q16" i="24"/>
  <c r="R35" i="24"/>
  <c r="C15" i="30"/>
  <c r="K14" i="24"/>
  <c r="K11" i="24"/>
  <c r="K17" i="24"/>
  <c r="R32" i="24"/>
  <c r="C17" i="29"/>
  <c r="R30" i="24"/>
  <c r="C19" i="29"/>
  <c r="P21" i="29" s="1"/>
  <c r="R33" i="24"/>
  <c r="C16" i="29"/>
  <c r="R31" i="24"/>
  <c r="C18" i="29"/>
  <c r="R34" i="24"/>
  <c r="C15" i="29"/>
  <c r="R26" i="24"/>
  <c r="C16" i="27"/>
  <c r="R25" i="24"/>
  <c r="C15" i="27"/>
  <c r="R29" i="24"/>
  <c r="C18" i="27"/>
  <c r="P20" i="27" s="1"/>
  <c r="R27" i="24"/>
  <c r="C17" i="27"/>
  <c r="K25" i="24"/>
  <c r="R28" i="24"/>
  <c r="R17" i="24"/>
  <c r="S17" i="25"/>
  <c r="R15" i="24"/>
  <c r="S19" i="25"/>
  <c r="I44" i="25" s="1"/>
  <c r="R12" i="24"/>
  <c r="C14" i="25"/>
  <c r="I37" i="25" s="1"/>
  <c r="R11" i="24"/>
  <c r="C15" i="25"/>
  <c r="I38" i="25" s="1"/>
  <c r="R14" i="24"/>
  <c r="S16" i="25"/>
  <c r="R10" i="24"/>
  <c r="C16" i="25"/>
  <c r="I39" i="25" s="1"/>
  <c r="J39" i="25" s="1"/>
  <c r="R16" i="24"/>
  <c r="S18" i="25"/>
  <c r="K10" i="24"/>
  <c r="R13" i="24"/>
  <c r="S15" i="25"/>
  <c r="K16" i="24"/>
  <c r="R23" i="24"/>
  <c r="C17" i="26"/>
  <c r="K18" i="24"/>
  <c r="R18" i="24"/>
  <c r="C21" i="26"/>
  <c r="P24" i="26" s="1"/>
  <c r="R24" i="24"/>
  <c r="C18" i="26"/>
  <c r="R22" i="24"/>
  <c r="C16" i="26"/>
  <c r="P19" i="26" s="1"/>
  <c r="R21" i="24"/>
  <c r="C15" i="26"/>
  <c r="P18" i="26" s="1"/>
  <c r="R19" i="24"/>
  <c r="C20" i="26"/>
  <c r="K23" i="24"/>
  <c r="H5" i="25"/>
  <c r="H7" i="25" s="1"/>
  <c r="V6" i="25"/>
  <c r="W5" i="25" s="1"/>
  <c r="W7" i="25" s="1"/>
  <c r="W8" i="25" s="1"/>
  <c r="W9" i="25" s="1"/>
  <c r="AE9" i="25" s="1"/>
  <c r="K35" i="24"/>
  <c r="E45" i="24"/>
  <c r="Q34" i="24"/>
  <c r="Q27" i="24"/>
  <c r="E44" i="24"/>
  <c r="K31" i="24"/>
  <c r="Q33" i="24"/>
  <c r="K29" i="24"/>
  <c r="K28" i="24"/>
  <c r="Q23" i="24"/>
  <c r="E41" i="24"/>
  <c r="Q10" i="24"/>
  <c r="Q25" i="24"/>
  <c r="Q32" i="24"/>
  <c r="Q29" i="24"/>
  <c r="Q13" i="24"/>
  <c r="Q21" i="24"/>
  <c r="Q12" i="24"/>
  <c r="Q28" i="24"/>
  <c r="Q19" i="24"/>
  <c r="Q35" i="24"/>
  <c r="Q17" i="24"/>
  <c r="Q26" i="24"/>
  <c r="H41" i="24" l="1"/>
  <c r="P9" i="26"/>
  <c r="G13" i="26"/>
  <c r="N13" i="26" s="1"/>
  <c r="W7" i="34" s="1"/>
  <c r="F20" i="26"/>
  <c r="P23" i="26"/>
  <c r="F18" i="26"/>
  <c r="P21" i="26"/>
  <c r="W24" i="26"/>
  <c r="X24" i="26" s="1"/>
  <c r="Q24" i="26"/>
  <c r="F17" i="26"/>
  <c r="P20" i="26"/>
  <c r="Q18" i="26"/>
  <c r="W18" i="26"/>
  <c r="X18" i="26" s="1"/>
  <c r="F16" i="27"/>
  <c r="P18" i="27"/>
  <c r="F15" i="27"/>
  <c r="P17" i="27"/>
  <c r="F17" i="27"/>
  <c r="P19" i="27"/>
  <c r="X20" i="27"/>
  <c r="Y20" i="27" s="1"/>
  <c r="Q20" i="27"/>
  <c r="W21" i="29"/>
  <c r="X21" i="29" s="1"/>
  <c r="Q21" i="29"/>
  <c r="F16" i="29"/>
  <c r="P18" i="29"/>
  <c r="F17" i="29"/>
  <c r="P19" i="29"/>
  <c r="F15" i="29"/>
  <c r="P17" i="29"/>
  <c r="F18" i="29"/>
  <c r="P20" i="29"/>
  <c r="F15" i="26"/>
  <c r="F16" i="26"/>
  <c r="W23" i="26"/>
  <c r="X23" i="26" s="1"/>
  <c r="Q23" i="26"/>
  <c r="Q38" i="25"/>
  <c r="R38" i="25" s="1"/>
  <c r="J38" i="25"/>
  <c r="V15" i="25"/>
  <c r="I40" i="25"/>
  <c r="J44" i="25"/>
  <c r="Q44" i="25"/>
  <c r="R44" i="25" s="1"/>
  <c r="V18" i="25"/>
  <c r="I43" i="25"/>
  <c r="V17" i="25"/>
  <c r="I42" i="25"/>
  <c r="V16" i="25"/>
  <c r="I41" i="25"/>
  <c r="Q37" i="25"/>
  <c r="R37" i="25" s="1"/>
  <c r="J37" i="25"/>
  <c r="Q39" i="25"/>
  <c r="R39" i="25" s="1"/>
  <c r="E15" i="25"/>
  <c r="C9" i="27"/>
  <c r="L19" i="27" s="1"/>
  <c r="F18" i="27"/>
  <c r="C10" i="29"/>
  <c r="L20" i="29" s="1"/>
  <c r="F19" i="29"/>
  <c r="E15" i="30"/>
  <c r="G15" i="30" s="1"/>
  <c r="E16" i="30"/>
  <c r="C8" i="30"/>
  <c r="C12" i="26"/>
  <c r="L22" i="26" s="1"/>
  <c r="F21" i="26"/>
  <c r="E14" i="25"/>
  <c r="R11" i="25"/>
  <c r="Z20" i="25" s="1"/>
  <c r="V19" i="25"/>
  <c r="C9" i="25"/>
  <c r="H17" i="25" s="1"/>
  <c r="E16" i="25"/>
  <c r="D18" i="29"/>
  <c r="C9" i="29" s="1"/>
  <c r="L19" i="29" s="1"/>
  <c r="W7" i="33"/>
  <c r="V7" i="31"/>
  <c r="H11" i="26"/>
  <c r="H12" i="26" s="1"/>
  <c r="P12" i="26" s="1"/>
  <c r="P10" i="26"/>
  <c r="D15" i="29"/>
  <c r="L16" i="29" s="1"/>
  <c r="R18" i="34" s="1"/>
  <c r="W10" i="25"/>
  <c r="AE10" i="25" s="1"/>
  <c r="V12" i="25"/>
  <c r="AC12" i="25" s="1"/>
  <c r="I7" i="34" s="1"/>
  <c r="T18" i="25"/>
  <c r="R10" i="25" s="1"/>
  <c r="Z19" i="25" s="1"/>
  <c r="D15" i="25"/>
  <c r="C8" i="25" s="1"/>
  <c r="H16" i="25" s="1"/>
  <c r="L16" i="30"/>
  <c r="R19" i="34" s="1"/>
  <c r="C5" i="30"/>
  <c r="D16" i="29"/>
  <c r="C7" i="29" s="1"/>
  <c r="L17" i="29" s="1"/>
  <c r="D17" i="29"/>
  <c r="C8" i="29" s="1"/>
  <c r="L18" i="29" s="1"/>
  <c r="D17" i="27"/>
  <c r="C8" i="27" s="1"/>
  <c r="L18" i="27" s="1"/>
  <c r="D16" i="27"/>
  <c r="C7" i="27" s="1"/>
  <c r="L17" i="27" s="1"/>
  <c r="D15" i="27"/>
  <c r="D14" i="25"/>
  <c r="T17" i="25"/>
  <c r="R9" i="25" s="1"/>
  <c r="Z18" i="25" s="1"/>
  <c r="T16" i="25"/>
  <c r="T15" i="25"/>
  <c r="R7" i="25" s="1"/>
  <c r="Z16" i="25" s="1"/>
  <c r="D20" i="26"/>
  <c r="C11" i="26" s="1"/>
  <c r="L21" i="26" s="1"/>
  <c r="H8" i="25"/>
  <c r="H9" i="25" s="1"/>
  <c r="L43" i="13"/>
  <c r="M43" i="13" s="1"/>
  <c r="L42" i="13"/>
  <c r="M42" i="13" s="1"/>
  <c r="L39" i="13"/>
  <c r="M39" i="13" s="1"/>
  <c r="L38" i="13"/>
  <c r="M38" i="13" s="1"/>
  <c r="L37" i="13"/>
  <c r="M37" i="13" s="1"/>
  <c r="L36" i="13"/>
  <c r="M36" i="13" s="1"/>
  <c r="L35" i="13"/>
  <c r="M35" i="13" s="1"/>
  <c r="L32" i="13"/>
  <c r="M32" i="13" s="1"/>
  <c r="L31" i="13"/>
  <c r="M31" i="13" s="1"/>
  <c r="L30" i="13"/>
  <c r="M30" i="13" s="1"/>
  <c r="L29" i="13"/>
  <c r="M29" i="13" s="1"/>
  <c r="L28" i="13"/>
  <c r="M28" i="13" s="1"/>
  <c r="L25" i="13"/>
  <c r="M25" i="13" s="1"/>
  <c r="L24" i="13"/>
  <c r="M24" i="13" s="1"/>
  <c r="L23" i="13"/>
  <c r="M23" i="13" s="1"/>
  <c r="L22" i="13"/>
  <c r="M22" i="13" s="1"/>
  <c r="L21" i="13"/>
  <c r="M21" i="13" s="1"/>
  <c r="L20" i="13"/>
  <c r="M20" i="13" s="1"/>
  <c r="L17" i="13"/>
  <c r="M17" i="13" s="1"/>
  <c r="L16" i="13"/>
  <c r="M16" i="13" s="1"/>
  <c r="L15" i="13"/>
  <c r="M15" i="13" s="1"/>
  <c r="L14" i="13"/>
  <c r="M14" i="13" s="1"/>
  <c r="L13" i="13"/>
  <c r="M13" i="13" s="1"/>
  <c r="L12" i="13"/>
  <c r="M12" i="13" s="1"/>
  <c r="L11" i="13"/>
  <c r="M11" i="13" s="1"/>
  <c r="G16" i="30" l="1"/>
  <c r="P17" i="30"/>
  <c r="W21" i="26"/>
  <c r="X21" i="26" s="1"/>
  <c r="Q21" i="26"/>
  <c r="X17" i="27"/>
  <c r="Y17" i="27" s="1"/>
  <c r="Q17" i="27"/>
  <c r="X18" i="27"/>
  <c r="Y18" i="27" s="1"/>
  <c r="Q18" i="27"/>
  <c r="X19" i="27"/>
  <c r="Y19" i="27" s="1"/>
  <c r="Q19" i="27"/>
  <c r="C5" i="29"/>
  <c r="Q20" i="29"/>
  <c r="W20" i="29"/>
  <c r="X20" i="29" s="1"/>
  <c r="Q17" i="29"/>
  <c r="W17" i="29"/>
  <c r="X17" i="29" s="1"/>
  <c r="Q19" i="29"/>
  <c r="W19" i="29"/>
  <c r="X19" i="29" s="1"/>
  <c r="W18" i="29"/>
  <c r="X18" i="29" s="1"/>
  <c r="Q18" i="29"/>
  <c r="W20" i="26"/>
  <c r="X20" i="26" s="1"/>
  <c r="Q20" i="26"/>
  <c r="W19" i="26"/>
  <c r="X19" i="26" s="1"/>
  <c r="Q19" i="26"/>
  <c r="Q42" i="25"/>
  <c r="R42" i="25" s="1"/>
  <c r="J42" i="25"/>
  <c r="Q43" i="25"/>
  <c r="R43" i="25" s="1"/>
  <c r="J43" i="25"/>
  <c r="Q41" i="25"/>
  <c r="R41" i="25" s="1"/>
  <c r="J41" i="25"/>
  <c r="J40" i="25"/>
  <c r="Q40" i="25"/>
  <c r="R40" i="25" s="1"/>
  <c r="Q10" i="34"/>
  <c r="V19" i="34" s="1"/>
  <c r="Q9" i="34"/>
  <c r="V18" i="34" s="1"/>
  <c r="Q17" i="31"/>
  <c r="R18" i="33"/>
  <c r="Q18" i="31"/>
  <c r="P10" i="31" s="1"/>
  <c r="U19" i="31" s="1"/>
  <c r="R19" i="33"/>
  <c r="I7" i="31"/>
  <c r="I7" i="33"/>
  <c r="W11" i="25"/>
  <c r="AE11" i="25" s="1"/>
  <c r="R8" i="25"/>
  <c r="Z17" i="25" s="1"/>
  <c r="L16" i="27"/>
  <c r="R17" i="34" s="1"/>
  <c r="C5" i="27"/>
  <c r="C7" i="25"/>
  <c r="H15" i="25" s="1"/>
  <c r="H14" i="25"/>
  <c r="N20" i="24"/>
  <c r="J20" i="24"/>
  <c r="J38" i="24" s="1"/>
  <c r="V17" i="30" l="1"/>
  <c r="W17" i="30" s="1"/>
  <c r="Q17" i="30"/>
  <c r="R17" i="31"/>
  <c r="P9" i="31" s="1"/>
  <c r="U18" i="31" s="1"/>
  <c r="Q8" i="34"/>
  <c r="V17" i="34" s="1"/>
  <c r="C15" i="33"/>
  <c r="C7" i="33" s="1"/>
  <c r="L15" i="33" s="1"/>
  <c r="C15" i="34"/>
  <c r="C7" i="34" s="1"/>
  <c r="L15" i="34" s="1"/>
  <c r="Q16" i="31"/>
  <c r="R16" i="31" s="1"/>
  <c r="P8" i="31" s="1"/>
  <c r="U17" i="31" s="1"/>
  <c r="R17" i="33"/>
  <c r="S17" i="33" s="1"/>
  <c r="Q8" i="33" s="1"/>
  <c r="V17" i="33" s="1"/>
  <c r="Q10" i="33"/>
  <c r="V19" i="33" s="1"/>
  <c r="S18" i="33"/>
  <c r="Q9" i="33" s="1"/>
  <c r="V18" i="33" s="1"/>
  <c r="C5" i="25"/>
  <c r="R5" i="25" s="1"/>
  <c r="Z15" i="25" s="1"/>
  <c r="C14" i="31"/>
  <c r="C7" i="31" s="1"/>
  <c r="K15" i="31" s="1"/>
  <c r="M20" i="24"/>
  <c r="G20" i="24"/>
  <c r="O20" i="24"/>
  <c r="H20" i="24"/>
  <c r="Q20" i="24" l="1"/>
  <c r="P20" i="24" l="1"/>
  <c r="C19" i="26" s="1"/>
  <c r="I20" i="24"/>
  <c r="L20" i="24"/>
  <c r="F19" i="26" l="1"/>
  <c r="P22" i="26"/>
  <c r="D19" i="26"/>
  <c r="C10" i="26" s="1"/>
  <c r="L20" i="26" s="1"/>
  <c r="D16" i="26"/>
  <c r="C7" i="26" s="1"/>
  <c r="L17" i="26" s="1"/>
  <c r="D18" i="26"/>
  <c r="C9" i="26" s="1"/>
  <c r="L19" i="26" s="1"/>
  <c r="D15" i="26"/>
  <c r="L16" i="26" s="1"/>
  <c r="R16" i="34" s="1"/>
  <c r="Q7" i="34" s="1"/>
  <c r="V16" i="34" s="1"/>
  <c r="D17" i="26"/>
  <c r="C8" i="26" s="1"/>
  <c r="L18" i="26" s="1"/>
  <c r="R20" i="24"/>
  <c r="E42" i="24"/>
  <c r="P38" i="24"/>
  <c r="K20" i="24"/>
  <c r="K38" i="24" s="1"/>
  <c r="I38" i="24"/>
  <c r="E46" i="24" l="1"/>
  <c r="G46" i="24" s="1"/>
  <c r="H42" i="24"/>
  <c r="W22" i="26"/>
  <c r="X22" i="26" s="1"/>
  <c r="Q22" i="26"/>
  <c r="Q15" i="31"/>
  <c r="R15" i="31" s="1"/>
  <c r="K14" i="31" s="1"/>
  <c r="C5" i="31" s="1"/>
  <c r="P5" i="31" s="1"/>
  <c r="U15" i="31" s="1"/>
  <c r="R16" i="33"/>
  <c r="C5" i="26"/>
  <c r="S16" i="33" l="1"/>
  <c r="Q7" i="33" s="1"/>
  <c r="V16" i="33" s="1"/>
  <c r="P7" i="31"/>
  <c r="U16" i="31" s="1"/>
  <c r="L14" i="33" l="1"/>
  <c r="C5" i="33" s="1"/>
  <c r="Q5" i="33" s="1"/>
  <c r="V15" i="33" s="1"/>
</calcChain>
</file>

<file path=xl/sharedStrings.xml><?xml version="1.0" encoding="utf-8"?>
<sst xmlns="http://schemas.openxmlformats.org/spreadsheetml/2006/main" count="1116" uniqueCount="253">
  <si>
    <t>SPACE</t>
  </si>
  <si>
    <t>FRAMES</t>
  </si>
  <si>
    <t>SHF</t>
  </si>
  <si>
    <t>Mess Room</t>
  </si>
  <si>
    <t>PERHITUNGAN KEBUTUHAN AIR HANDLING UNIT (AHU)                                                    PADA AKOMODASI KAPAL</t>
  </si>
  <si>
    <t>Halaman :</t>
  </si>
  <si>
    <t>LIST RUANGAN AKOMODASI &amp; DIMENSI</t>
  </si>
  <si>
    <t>NO.</t>
  </si>
  <si>
    <t>DECK</t>
  </si>
  <si>
    <t>ROOM</t>
  </si>
  <si>
    <t>P (m)</t>
  </si>
  <si>
    <t>L (m)</t>
  </si>
  <si>
    <t>T (m)</t>
  </si>
  <si>
    <t>A (m2)</t>
  </si>
  <si>
    <t>V (m3)</t>
  </si>
  <si>
    <t>Main Deck</t>
  </si>
  <si>
    <t>Quarter Master &amp; Steward Room</t>
  </si>
  <si>
    <t>Boatswain &amp; Seaman Room</t>
  </si>
  <si>
    <t>Oiler (2p) Room</t>
  </si>
  <si>
    <t>Pumpman (2p) Room</t>
  </si>
  <si>
    <t>Fireman (2p)  Room</t>
  </si>
  <si>
    <t>Boys (2p) Room</t>
  </si>
  <si>
    <t>Poop Deck</t>
  </si>
  <si>
    <t>Chief Cook Room</t>
  </si>
  <si>
    <t>Second Engineer Room</t>
  </si>
  <si>
    <t>Musholla</t>
  </si>
  <si>
    <t>Electrician Room</t>
  </si>
  <si>
    <t>Smoking Room</t>
  </si>
  <si>
    <t>Boat Deck</t>
  </si>
  <si>
    <t>Chief Officer % Engineer Office</t>
  </si>
  <si>
    <t>Chief Officer Room</t>
  </si>
  <si>
    <t>Chief Engineer Room</t>
  </si>
  <si>
    <t>Second Officer Room</t>
  </si>
  <si>
    <t>Medical Room</t>
  </si>
  <si>
    <t>Bridge Deck</t>
  </si>
  <si>
    <t>Master Room</t>
  </si>
  <si>
    <t>Master Office</t>
  </si>
  <si>
    <t>Meeting Room</t>
  </si>
  <si>
    <t>Radio Operator Room</t>
  </si>
  <si>
    <t>Library</t>
  </si>
  <si>
    <t>Navigation Deck</t>
  </si>
  <si>
    <t>Navigation Room</t>
  </si>
  <si>
    <t>Radio Room</t>
  </si>
  <si>
    <t>Galley</t>
  </si>
  <si>
    <t>R/C</t>
  </si>
  <si>
    <t>CFM</t>
  </si>
  <si>
    <t>PERHITUNGAN KEBUTUHAN AIR HANDLING UNIT (AHU) PADA AKOMODASI KAPAL</t>
  </si>
  <si>
    <t>COOLING SUMMARY</t>
  </si>
  <si>
    <t>SIDE</t>
  </si>
  <si>
    <t>BTU/HR</t>
  </si>
  <si>
    <t>OUTSIDE AIR BASED ON *</t>
  </si>
  <si>
    <t>R/C TOTAL AIR</t>
  </si>
  <si>
    <t>Air Quantity (l/s)</t>
  </si>
  <si>
    <t>Friction Loss (Pa/mm)</t>
  </si>
  <si>
    <t>Duct Diameter (mm)</t>
  </si>
  <si>
    <t>Rect. Duct Size (mm)</t>
  </si>
  <si>
    <t>Uk. Diffuser</t>
  </si>
  <si>
    <t>l/s</t>
  </si>
  <si>
    <t>Jumlah Diffuser</t>
  </si>
  <si>
    <t>SENS.</t>
  </si>
  <si>
    <t>LATENT</t>
  </si>
  <si>
    <t>TOTAL</t>
  </si>
  <si>
    <t>PERS.</t>
  </si>
  <si>
    <t>EXH.</t>
  </si>
  <si>
    <t>L x W</t>
  </si>
  <si>
    <t>P</t>
  </si>
  <si>
    <t>S</t>
  </si>
  <si>
    <t>C</t>
  </si>
  <si>
    <r>
      <t>Volume (ft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</si>
  <si>
    <r>
      <t>Heat Area (ft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</si>
  <si>
    <t>Pantry</t>
  </si>
  <si>
    <t>Chief Officer &amp; Engineer Office</t>
  </si>
  <si>
    <t>Room</t>
  </si>
  <si>
    <t>Air Out</t>
  </si>
  <si>
    <t>Total</t>
  </si>
  <si>
    <t>CFM =</t>
  </si>
  <si>
    <t>BRANCH SECT. NO.</t>
  </si>
  <si>
    <t>AIR QUANTITY Q (cfm)</t>
  </si>
  <si>
    <t>EQUIV. DUCT LENGTH L (ft)</t>
  </si>
  <si>
    <t>PRESSURE READING (in.wg)</t>
  </si>
  <si>
    <t>Initial</t>
  </si>
  <si>
    <t>Selected</t>
  </si>
  <si>
    <t>TAKE OFF TO TAKE OFF S.P. (in.wg)</t>
  </si>
  <si>
    <t>S.P. AHEAD OF TAKE OFF (in.wg)</t>
  </si>
  <si>
    <t>AIR TERMINAL PRESS. (in.wg)</t>
  </si>
  <si>
    <t>DUCT SIZE (in.)</t>
  </si>
  <si>
    <t>VELOCITY V (fpm)</t>
  </si>
  <si>
    <t>m =</t>
  </si>
  <si>
    <t>ft</t>
  </si>
  <si>
    <t>Quarter Master &amp; Steward</t>
  </si>
  <si>
    <t>MessRoom</t>
  </si>
  <si>
    <t>GalleyRoom</t>
  </si>
  <si>
    <t>Pressure Drop</t>
  </si>
  <si>
    <t>Panjang line</t>
  </si>
  <si>
    <t>m</t>
  </si>
  <si>
    <t>in.wg</t>
  </si>
  <si>
    <t>Jalur Kiri</t>
  </si>
  <si>
    <t>Jalur Kanan</t>
  </si>
  <si>
    <t>Urutan Section</t>
  </si>
  <si>
    <t>inch</t>
  </si>
  <si>
    <t>Friction Lose</t>
  </si>
  <si>
    <t>MD (01-02)</t>
  </si>
  <si>
    <t>MD (02-03)</t>
  </si>
  <si>
    <t>K/f</t>
  </si>
  <si>
    <t>Le/D =</t>
  </si>
  <si>
    <t>f =</t>
  </si>
  <si>
    <t>K/(Le/D)</t>
  </si>
  <si>
    <t>Le =</t>
  </si>
  <si>
    <t>(K*D)/f</t>
  </si>
  <si>
    <t>Inch</t>
  </si>
  <si>
    <t>Le Tee 8 inch</t>
  </si>
  <si>
    <t>MD (03-04)</t>
  </si>
  <si>
    <t>MD (01-05)</t>
  </si>
  <si>
    <t>MD (05-06)</t>
  </si>
  <si>
    <t>MD (06-07)</t>
  </si>
  <si>
    <t>MD (07-08)</t>
  </si>
  <si>
    <t>MD (08-09)</t>
  </si>
  <si>
    <t>Le Smooth Elbow 6 inch =</t>
  </si>
  <si>
    <t>Loses Branch to Terminal (in.wg)</t>
  </si>
  <si>
    <t>PD (02-03)</t>
  </si>
  <si>
    <t>PD (05-06)</t>
  </si>
  <si>
    <t>PD (03-04)</t>
  </si>
  <si>
    <t>PD (06-07)</t>
  </si>
  <si>
    <t>PD (01-02)</t>
  </si>
  <si>
    <t>PD (04-05)</t>
  </si>
  <si>
    <t>Le Smooth Elbow 7 inch =</t>
  </si>
  <si>
    <t>BD (01-02)</t>
  </si>
  <si>
    <t>BD (02-03)</t>
  </si>
  <si>
    <t>BD (03-04)</t>
  </si>
  <si>
    <t>BD (C-01)</t>
  </si>
  <si>
    <t>PD (A-01)</t>
  </si>
  <si>
    <t>MD (B-01)</t>
  </si>
  <si>
    <t>Le Smooth Elbow 5 inch =</t>
  </si>
  <si>
    <t>BRD (01-02)</t>
  </si>
  <si>
    <t>BRD (02-03)</t>
  </si>
  <si>
    <t>BRD (03-04)</t>
  </si>
  <si>
    <t>BRD (04-05)</t>
  </si>
  <si>
    <t>BRD (D-01)</t>
  </si>
  <si>
    <t>ND (E-01)</t>
  </si>
  <si>
    <t>2 Diffuser</t>
  </si>
  <si>
    <t>Maximum S.P. at Section MD (06-07)</t>
  </si>
  <si>
    <t>+</t>
  </si>
  <si>
    <t>Maximum S.P. at Section PD (03-04)</t>
  </si>
  <si>
    <t>=</t>
  </si>
  <si>
    <t>Maximum S.P. at Section BD (02-03)</t>
  </si>
  <si>
    <t>Maximum S.P. at Section BRD (02-03)</t>
  </si>
  <si>
    <t>Maximum S.P. at Section ND (E-01)</t>
  </si>
  <si>
    <t>BRANCH PRESS. (in.wg)</t>
  </si>
  <si>
    <t>BRANCH. (in.wg)</t>
  </si>
  <si>
    <t>H (01-02)</t>
  </si>
  <si>
    <t>H (02-B)</t>
  </si>
  <si>
    <t>H (02-A)</t>
  </si>
  <si>
    <t>H (A-C)</t>
  </si>
  <si>
    <t>H (C-D)</t>
  </si>
  <si>
    <t>H (D-E)</t>
  </si>
  <si>
    <t>Jalur Kebawah</t>
  </si>
  <si>
    <t>Jalur Keatas</t>
  </si>
  <si>
    <t>Nav Deck</t>
  </si>
  <si>
    <t>Le/D*D</t>
  </si>
  <si>
    <t>Maximum S.P. at Section H (C-D)</t>
  </si>
  <si>
    <t>Le Tee 18 inch</t>
  </si>
  <si>
    <t>Le Tee 16 inch</t>
  </si>
  <si>
    <t xml:space="preserve">DUCT Terminal Size </t>
  </si>
  <si>
    <t>mm</t>
  </si>
  <si>
    <t>(in.)</t>
  </si>
  <si>
    <t>(m)</t>
  </si>
  <si>
    <t xml:space="preserve">DUCT SIZE </t>
  </si>
  <si>
    <t>(mm)</t>
  </si>
  <si>
    <t>H (01-B)</t>
  </si>
  <si>
    <t>Friction Loss (In.wg)</t>
  </si>
  <si>
    <t>H (01-A)</t>
  </si>
  <si>
    <t>H (01-C)</t>
  </si>
  <si>
    <t>H (01-D)</t>
  </si>
  <si>
    <t>H (01-E)</t>
  </si>
  <si>
    <t>Pressure Drop (In.wg)</t>
  </si>
  <si>
    <t>Panjang Terminal =</t>
  </si>
  <si>
    <r>
      <t>Elbow 90</t>
    </r>
    <r>
      <rPr>
        <sz val="11"/>
        <color theme="1"/>
        <rFont val="Aptos Narrow"/>
        <family val="2"/>
      </rPr>
      <t>º</t>
    </r>
    <r>
      <rPr>
        <sz val="10.25"/>
        <color theme="1"/>
        <rFont val="Aptos Narrow"/>
        <family val="2"/>
      </rPr>
      <t xml:space="preserve"> 5 Piece</t>
    </r>
    <r>
      <rPr>
        <sz val="11"/>
        <color theme="1"/>
        <rFont val="Aptos Narrow"/>
        <family val="2"/>
        <scheme val="minor"/>
      </rPr>
      <t xml:space="preserve"> 18 inch=</t>
    </r>
  </si>
  <si>
    <t xml:space="preserve">  </t>
  </si>
  <si>
    <t>4 Diffuser</t>
  </si>
  <si>
    <t>Sebelum</t>
  </si>
  <si>
    <t>Sesudah</t>
  </si>
  <si>
    <t>Damper</t>
  </si>
  <si>
    <t>DUCT Terminal Size</t>
  </si>
  <si>
    <t xml:space="preserve">CFM pipe flow </t>
  </si>
  <si>
    <t>eror</t>
  </si>
  <si>
    <t>No</t>
  </si>
  <si>
    <t>CFM Excel</t>
  </si>
  <si>
    <t>Yes</t>
  </si>
  <si>
    <t>Deck</t>
  </si>
  <si>
    <t>Roomj</t>
  </si>
  <si>
    <t>Tinggi Deck =</t>
  </si>
  <si>
    <t>Total Panjang Pipa</t>
  </si>
  <si>
    <t>Ukuran (inch)</t>
  </si>
  <si>
    <t>Panjang (ft)</t>
  </si>
  <si>
    <t>Panjang (m)</t>
  </si>
  <si>
    <t>Total (m)</t>
  </si>
  <si>
    <t>Total Elbow</t>
  </si>
  <si>
    <t>Jumlah</t>
  </si>
  <si>
    <t>Total Tee</t>
  </si>
  <si>
    <t>(untuk 1 terminal)</t>
  </si>
  <si>
    <t>(untuk 2 cabang terminal)</t>
  </si>
  <si>
    <t>Ducting (inch)</t>
  </si>
  <si>
    <t>HARGA DUCTING &amp; INSULATION</t>
  </si>
  <si>
    <t>DUCTING</t>
  </si>
  <si>
    <t xml:space="preserve">1. </t>
  </si>
  <si>
    <t>Ducting 10 inch</t>
  </si>
  <si>
    <t>per 1,2 m</t>
  </si>
  <si>
    <t>per 1 m</t>
  </si>
  <si>
    <t>total</t>
  </si>
  <si>
    <t xml:space="preserve">2. </t>
  </si>
  <si>
    <t>Ducting 8 inch</t>
  </si>
  <si>
    <t>3.</t>
  </si>
  <si>
    <t>Ducting 6 inch</t>
  </si>
  <si>
    <t>per 4 m</t>
  </si>
  <si>
    <t>4.</t>
  </si>
  <si>
    <t>Ducting 5 inch</t>
  </si>
  <si>
    <t>5.</t>
  </si>
  <si>
    <t>Ducting 4 inch</t>
  </si>
  <si>
    <t>6.</t>
  </si>
  <si>
    <t>Ducting 3 inch</t>
  </si>
  <si>
    <t>per 6 m</t>
  </si>
  <si>
    <t>7.</t>
  </si>
  <si>
    <t>Ducting 2 1/2 inch</t>
  </si>
  <si>
    <t>per 5 m</t>
  </si>
  <si>
    <t>8.</t>
  </si>
  <si>
    <t>Ducting 2 inch</t>
  </si>
  <si>
    <t>ELBOW</t>
  </si>
  <si>
    <t>Junlah</t>
  </si>
  <si>
    <t>1.</t>
  </si>
  <si>
    <t>Elbow 10 inch</t>
  </si>
  <si>
    <t>per 1 unit</t>
  </si>
  <si>
    <t>2.</t>
  </si>
  <si>
    <t>Elbow 8 inch</t>
  </si>
  <si>
    <t>Elbow 6 inch</t>
  </si>
  <si>
    <t>Elbow 5 inch</t>
  </si>
  <si>
    <t>TEE</t>
  </si>
  <si>
    <t>Tee 10 inch</t>
  </si>
  <si>
    <t>Tee 8 inch</t>
  </si>
  <si>
    <t>Tee 5 inch</t>
  </si>
  <si>
    <t>INSULATION</t>
  </si>
  <si>
    <t>Pnjang (m)</t>
  </si>
  <si>
    <t>Insulation 10 inch</t>
  </si>
  <si>
    <t>Terpilih 38 mm</t>
  </si>
  <si>
    <t>Terpilih 51 mm</t>
  </si>
  <si>
    <t>Insulation 8 inch</t>
  </si>
  <si>
    <t>Insulation 6 inch</t>
  </si>
  <si>
    <t>Insul;ation 5 inch</t>
  </si>
  <si>
    <t>insulation 4 inch</t>
  </si>
  <si>
    <t>Harga</t>
  </si>
  <si>
    <t>Total Ducting set =</t>
  </si>
  <si>
    <t>Insulation 3 inch</t>
  </si>
  <si>
    <t>Insulation 2 1/2 inch</t>
  </si>
  <si>
    <t>Insulation 2 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</si>
</sst>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p&quot;* #,##0.00_-;\-&quot;Rp&quot;* #,##0.00_-;_-&quot;Rp&quot;* &quot;-&quot;??_-;_-@_-"/>
    <numFmt numFmtId="164" formatCode="0.000"/>
    <numFmt numFmtId="165" formatCode="_-[$$-409]* #,##0.00_ ;_-[$$-409]* \-#,##0.00\ ;_-[$$-409]* &quot;-&quot;??_ ;_-@_ "/>
    <numFmt numFmtId="166" formatCode="_-[$Rp-3809]* #,##0.00_-;\-[$Rp-3809]* #,##0.00_-;_-[$Rp-3809]* &quot;-&quot;??_-;_-@_-"/>
    <numFmt numFmtId="167" formatCode="_-&quot;Rp&quot;* #,##0.0_-;\-&quot;Rp&quot;* #,##0.0_-;_-&quot;Rp&quot;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0"/>
      <name val="Times New Roman"/>
      <family val="1"/>
    </font>
    <font>
      <i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sz val="12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Aptos Narrow"/>
      <family val="2"/>
    </font>
    <font>
      <sz val="10.25"/>
      <color theme="1"/>
      <name val="Aptos Narrow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44" fontId="13" fillId="0" borderId="0" applyFont="0" applyFill="0" applyBorder="0" applyAlignment="0" applyProtection="0"/>
  </cellStyleXfs>
  <cellXfs count="207">
    <xf numFmtId="0" fontId="0" fillId="0" borderId="0" xfId="0"/>
    <xf numFmtId="0" fontId="0" fillId="0" borderId="9" xfId="0" applyBorder="1"/>
    <xf numFmtId="0" fontId="1" fillId="0" borderId="0" xfId="0" applyFont="1"/>
    <xf numFmtId="0" fontId="1" fillId="3" borderId="0" xfId="0" applyFont="1" applyFill="1"/>
    <xf numFmtId="0" fontId="1" fillId="3" borderId="20" xfId="0" applyFont="1" applyFill="1" applyBorder="1"/>
    <xf numFmtId="0" fontId="2" fillId="3" borderId="3" xfId="0" applyFont="1" applyFill="1" applyBorder="1" applyAlignment="1">
      <alignment horizontal="center"/>
    </xf>
    <xf numFmtId="0" fontId="2" fillId="3" borderId="7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8" xfId="0" applyFont="1" applyFill="1" applyBorder="1"/>
    <xf numFmtId="0" fontId="2" fillId="3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5" borderId="4" xfId="0" applyFont="1" applyFill="1" applyBorder="1"/>
    <xf numFmtId="0" fontId="1" fillId="5" borderId="2" xfId="0" applyFont="1" applyFill="1" applyBorder="1"/>
    <xf numFmtId="0" fontId="1" fillId="3" borderId="15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/>
    </xf>
    <xf numFmtId="0" fontId="1" fillId="3" borderId="11" xfId="0" applyFont="1" applyFill="1" applyBorder="1"/>
    <xf numFmtId="0" fontId="1" fillId="3" borderId="12" xfId="0" applyFont="1" applyFill="1" applyBorder="1"/>
    <xf numFmtId="0" fontId="6" fillId="0" borderId="9" xfId="0" applyFont="1" applyBorder="1"/>
    <xf numFmtId="0" fontId="1" fillId="3" borderId="14" xfId="0" applyFont="1" applyFill="1" applyBorder="1"/>
    <xf numFmtId="0" fontId="1" fillId="3" borderId="7" xfId="0" applyFont="1" applyFill="1" applyBorder="1" applyAlignment="1">
      <alignment horizontal="center" vertical="center"/>
    </xf>
    <xf numFmtId="0" fontId="1" fillId="5" borderId="0" xfId="0" applyFont="1" applyFill="1"/>
    <xf numFmtId="0" fontId="1" fillId="5" borderId="6" xfId="0" applyFont="1" applyFill="1" applyBorder="1"/>
    <xf numFmtId="0" fontId="2" fillId="6" borderId="4" xfId="0" applyFont="1" applyFill="1" applyBorder="1"/>
    <xf numFmtId="0" fontId="2" fillId="6" borderId="2" xfId="0" applyFont="1" applyFill="1" applyBorder="1"/>
    <xf numFmtId="0" fontId="5" fillId="0" borderId="9" xfId="0" applyFont="1" applyBorder="1"/>
    <xf numFmtId="0" fontId="1" fillId="7" borderId="4" xfId="0" applyFont="1" applyFill="1" applyBorder="1"/>
    <xf numFmtId="0" fontId="1" fillId="7" borderId="2" xfId="0" applyFont="1" applyFill="1" applyBorder="1"/>
    <xf numFmtId="0" fontId="1" fillId="3" borderId="9" xfId="0" applyFont="1" applyFill="1" applyBorder="1"/>
    <xf numFmtId="0" fontId="1" fillId="3" borderId="3" xfId="0" applyFont="1" applyFill="1" applyBorder="1"/>
    <xf numFmtId="0" fontId="1" fillId="3" borderId="10" xfId="0" applyFont="1" applyFill="1" applyBorder="1"/>
    <xf numFmtId="0" fontId="1" fillId="3" borderId="4" xfId="0" applyFont="1" applyFill="1" applyBorder="1"/>
    <xf numFmtId="0" fontId="1" fillId="7" borderId="0" xfId="0" applyFont="1" applyFill="1"/>
    <xf numFmtId="0" fontId="1" fillId="7" borderId="12" xfId="0" applyFont="1" applyFill="1" applyBorder="1"/>
    <xf numFmtId="0" fontId="1" fillId="8" borderId="4" xfId="0" applyFont="1" applyFill="1" applyBorder="1"/>
    <xf numFmtId="0" fontId="1" fillId="8" borderId="2" xfId="0" applyFont="1" applyFill="1" applyBorder="1"/>
    <xf numFmtId="0" fontId="5" fillId="0" borderId="3" xfId="0" applyFont="1" applyBorder="1"/>
    <xf numFmtId="0" fontId="5" fillId="0" borderId="11" xfId="0" applyFont="1" applyBorder="1"/>
    <xf numFmtId="0" fontId="1" fillId="8" borderId="0" xfId="0" applyFont="1" applyFill="1"/>
    <xf numFmtId="0" fontId="1" fillId="9" borderId="11" xfId="0" applyFont="1" applyFill="1" applyBorder="1"/>
    <xf numFmtId="0" fontId="1" fillId="9" borderId="4" xfId="0" applyFont="1" applyFill="1" applyBorder="1"/>
    <xf numFmtId="0" fontId="1" fillId="9" borderId="12" xfId="0" applyFont="1" applyFill="1" applyBorder="1"/>
    <xf numFmtId="2" fontId="1" fillId="3" borderId="11" xfId="0" applyNumberFormat="1" applyFont="1" applyFill="1" applyBorder="1"/>
    <xf numFmtId="2" fontId="1" fillId="3" borderId="9" xfId="0" applyNumberFormat="1" applyFont="1" applyFill="1" applyBorder="1"/>
    <xf numFmtId="0" fontId="1" fillId="9" borderId="8" xfId="0" applyFont="1" applyFill="1" applyBorder="1"/>
    <xf numFmtId="0" fontId="1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vertical="center"/>
    </xf>
    <xf numFmtId="164" fontId="1" fillId="3" borderId="9" xfId="0" applyNumberFormat="1" applyFont="1" applyFill="1" applyBorder="1" applyAlignment="1">
      <alignment vertical="center"/>
    </xf>
    <xf numFmtId="2" fontId="1" fillId="3" borderId="9" xfId="0" applyNumberFormat="1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3" borderId="3" xfId="0" applyFont="1" applyFill="1" applyBorder="1" applyAlignment="1">
      <alignment vertical="center" wrapText="1"/>
    </xf>
    <xf numFmtId="16" fontId="1" fillId="3" borderId="9" xfId="0" applyNumberFormat="1" applyFont="1" applyFill="1" applyBorder="1" applyAlignment="1">
      <alignment horizontal="center" vertical="center"/>
    </xf>
    <xf numFmtId="2" fontId="1" fillId="3" borderId="9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wrapText="1"/>
    </xf>
    <xf numFmtId="0" fontId="5" fillId="0" borderId="10" xfId="0" applyFont="1" applyBorder="1"/>
    <xf numFmtId="0" fontId="5" fillId="0" borderId="12" xfId="0" applyFont="1" applyBorder="1"/>
    <xf numFmtId="0" fontId="5" fillId="0" borderId="1" xfId="0" applyFont="1" applyBorder="1"/>
    <xf numFmtId="0" fontId="5" fillId="0" borderId="2" xfId="0" applyFont="1" applyBorder="1"/>
    <xf numFmtId="16" fontId="1" fillId="3" borderId="3" xfId="0" applyNumberFormat="1" applyFont="1" applyFill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164" fontId="1" fillId="3" borderId="3" xfId="0" applyNumberFormat="1" applyFont="1" applyFill="1" applyBorder="1" applyAlignment="1">
      <alignment vertical="center"/>
    </xf>
    <xf numFmtId="2" fontId="1" fillId="3" borderId="3" xfId="0" applyNumberFormat="1" applyFont="1" applyFill="1" applyBorder="1" applyAlignment="1">
      <alignment vertical="center"/>
    </xf>
    <xf numFmtId="0" fontId="1" fillId="0" borderId="9" xfId="0" applyFont="1" applyBorder="1"/>
    <xf numFmtId="2" fontId="1" fillId="0" borderId="9" xfId="0" applyNumberFormat="1" applyFont="1" applyBorder="1"/>
    <xf numFmtId="0" fontId="1" fillId="2" borderId="9" xfId="0" applyFont="1" applyFill="1" applyBorder="1"/>
    <xf numFmtId="0" fontId="1" fillId="10" borderId="9" xfId="0" applyFont="1" applyFill="1" applyBorder="1"/>
    <xf numFmtId="2" fontId="1" fillId="10" borderId="9" xfId="0" applyNumberFormat="1" applyFont="1" applyFill="1" applyBorder="1"/>
    <xf numFmtId="0" fontId="1" fillId="10" borderId="0" xfId="0" applyFont="1" applyFill="1"/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0" xfId="0" applyNumberFormat="1"/>
    <xf numFmtId="2" fontId="0" fillId="0" borderId="9" xfId="0" applyNumberFormat="1" applyBorder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164" fontId="0" fillId="0" borderId="9" xfId="0" applyNumberFormat="1" applyBorder="1"/>
    <xf numFmtId="16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2" fontId="1" fillId="0" borderId="0" xfId="0" applyNumberFormat="1" applyFont="1"/>
    <xf numFmtId="0" fontId="0" fillId="0" borderId="9" xfId="0" applyBorder="1" applyAlignment="1">
      <alignment horizontal="center"/>
    </xf>
    <xf numFmtId="0" fontId="0" fillId="0" borderId="9" xfId="0" applyBorder="1" applyAlignment="1">
      <alignment vertical="center"/>
    </xf>
    <xf numFmtId="2" fontId="0" fillId="0" borderId="9" xfId="0" applyNumberFormat="1" applyBorder="1" applyAlignment="1">
      <alignment horizontal="center" vertical="center"/>
    </xf>
    <xf numFmtId="9" fontId="0" fillId="0" borderId="9" xfId="0" applyNumberFormat="1" applyBorder="1"/>
    <xf numFmtId="12" fontId="0" fillId="0" borderId="9" xfId="0" applyNumberFormat="1" applyBorder="1"/>
    <xf numFmtId="0" fontId="0" fillId="0" borderId="0" xfId="0" applyAlignment="1">
      <alignment horizontal="left" vertical="center"/>
    </xf>
    <xf numFmtId="12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9" fontId="0" fillId="0" borderId="0" xfId="0" applyNumberFormat="1"/>
    <xf numFmtId="44" fontId="0" fillId="0" borderId="0" xfId="0" applyNumberFormat="1"/>
    <xf numFmtId="165" fontId="0" fillId="0" borderId="0" xfId="0" applyNumberFormat="1"/>
    <xf numFmtId="166" fontId="0" fillId="0" borderId="0" xfId="2" applyNumberFormat="1" applyFont="1"/>
    <xf numFmtId="166" fontId="0" fillId="0" borderId="0" xfId="0" applyNumberFormat="1"/>
    <xf numFmtId="44" fontId="0" fillId="0" borderId="9" xfId="0" applyNumberFormat="1" applyBorder="1"/>
    <xf numFmtId="44" fontId="0" fillId="0" borderId="0" xfId="2" applyFont="1"/>
    <xf numFmtId="44" fontId="0" fillId="0" borderId="9" xfId="2" applyFont="1" applyBorder="1"/>
    <xf numFmtId="166" fontId="0" fillId="0" borderId="9" xfId="0" applyNumberFormat="1" applyBorder="1"/>
    <xf numFmtId="167" fontId="0" fillId="0" borderId="0" xfId="0" applyNumberFormat="1"/>
    <xf numFmtId="167" fontId="0" fillId="0" borderId="9" xfId="0" applyNumberFormat="1" applyBorder="1"/>
    <xf numFmtId="0" fontId="2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5" fillId="0" borderId="10" xfId="0" applyFont="1" applyBorder="1"/>
    <xf numFmtId="0" fontId="5" fillId="0" borderId="12" xfId="0" applyFont="1" applyBorder="1"/>
    <xf numFmtId="0" fontId="5" fillId="0" borderId="1" xfId="0" applyFont="1" applyBorder="1"/>
    <xf numFmtId="0" fontId="5" fillId="0" borderId="2" xfId="0" applyFont="1" applyBorder="1"/>
    <xf numFmtId="0" fontId="1" fillId="0" borderId="4" xfId="0" applyFont="1" applyBorder="1"/>
    <xf numFmtId="0" fontId="1" fillId="0" borderId="2" xfId="0" applyFont="1" applyBorder="1"/>
    <xf numFmtId="0" fontId="5" fillId="0" borderId="4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1" fillId="3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7" fillId="0" borderId="10" xfId="1" applyBorder="1"/>
    <xf numFmtId="0" fontId="7" fillId="0" borderId="12" xfId="1" applyBorder="1"/>
    <xf numFmtId="0" fontId="3" fillId="0" borderId="16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12" fontId="0" fillId="0" borderId="3" xfId="0" applyNumberFormat="1" applyBorder="1" applyAlignment="1">
      <alignment horizontal="center" vertical="center"/>
    </xf>
    <xf numFmtId="12" fontId="0" fillId="0" borderId="15" xfId="0" applyNumberFormat="1" applyBorder="1" applyAlignment="1">
      <alignment horizontal="center" vertical="center"/>
    </xf>
    <xf numFmtId="12" fontId="0" fillId="0" borderId="7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3">
    <cellStyle name="Currency" xfId="2" builtinId="4"/>
    <cellStyle name="Normal" xfId="0" builtinId="0"/>
    <cellStyle name="Normal 2" xfId="1" xr:uid="{31BCB98D-6B20-4B5E-9EE0-7354F58F05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3" Type="http://schemas.openxmlformats.org/officeDocument/2006/relationships/image" Target="../media/image4.png"/><Relationship Id="rId7" Type="http://schemas.openxmlformats.org/officeDocument/2006/relationships/image" Target="../media/image8.emf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emf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4.png"/><Relationship Id="rId18" Type="http://schemas.openxmlformats.org/officeDocument/2006/relationships/image" Target="../media/image29.png"/><Relationship Id="rId26" Type="http://schemas.openxmlformats.org/officeDocument/2006/relationships/image" Target="../media/image37.png"/><Relationship Id="rId3" Type="http://schemas.openxmlformats.org/officeDocument/2006/relationships/image" Target="../media/image14.png"/><Relationship Id="rId21" Type="http://schemas.openxmlformats.org/officeDocument/2006/relationships/image" Target="../media/image32.png"/><Relationship Id="rId7" Type="http://schemas.openxmlformats.org/officeDocument/2006/relationships/image" Target="../media/image18.png"/><Relationship Id="rId12" Type="http://schemas.openxmlformats.org/officeDocument/2006/relationships/image" Target="../media/image23.png"/><Relationship Id="rId17" Type="http://schemas.openxmlformats.org/officeDocument/2006/relationships/image" Target="../media/image28.png"/><Relationship Id="rId25" Type="http://schemas.openxmlformats.org/officeDocument/2006/relationships/image" Target="../media/image36.png"/><Relationship Id="rId2" Type="http://schemas.openxmlformats.org/officeDocument/2006/relationships/image" Target="../media/image13.png"/><Relationship Id="rId16" Type="http://schemas.openxmlformats.org/officeDocument/2006/relationships/image" Target="../media/image27.png"/><Relationship Id="rId20" Type="http://schemas.openxmlformats.org/officeDocument/2006/relationships/image" Target="../media/image31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11" Type="http://schemas.openxmlformats.org/officeDocument/2006/relationships/image" Target="../media/image22.png"/><Relationship Id="rId24" Type="http://schemas.openxmlformats.org/officeDocument/2006/relationships/image" Target="../media/image35.png"/><Relationship Id="rId5" Type="http://schemas.openxmlformats.org/officeDocument/2006/relationships/image" Target="../media/image16.png"/><Relationship Id="rId15" Type="http://schemas.openxmlformats.org/officeDocument/2006/relationships/image" Target="../media/image26.png"/><Relationship Id="rId23" Type="http://schemas.openxmlformats.org/officeDocument/2006/relationships/image" Target="../media/image34.png"/><Relationship Id="rId10" Type="http://schemas.openxmlformats.org/officeDocument/2006/relationships/image" Target="../media/image21.png"/><Relationship Id="rId19" Type="http://schemas.openxmlformats.org/officeDocument/2006/relationships/image" Target="../media/image30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Relationship Id="rId14" Type="http://schemas.openxmlformats.org/officeDocument/2006/relationships/image" Target="../media/image25.png"/><Relationship Id="rId22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91440</xdr:rowOff>
    </xdr:from>
    <xdr:to>
      <xdr:col>1</xdr:col>
      <xdr:colOff>280867</xdr:colOff>
      <xdr:row>5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10D585-E75A-44F5-9823-15B6B0FE4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91440"/>
          <a:ext cx="821887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655320</xdr:colOff>
      <xdr:row>0</xdr:row>
      <xdr:rowOff>53340</xdr:rowOff>
    </xdr:from>
    <xdr:to>
      <xdr:col>2</xdr:col>
      <xdr:colOff>562807</xdr:colOff>
      <xdr:row>5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0A25DE-E63D-4FF1-A66C-78EB7AFFE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920" y="53340"/>
          <a:ext cx="821887" cy="883920"/>
        </a:xfrm>
        <a:prstGeom prst="rect">
          <a:avLst/>
        </a:prstGeom>
      </xdr:spPr>
    </xdr:pic>
    <xdr:clientData/>
  </xdr:twoCellAnchor>
  <xdr:twoCellAnchor editAs="oneCell">
    <xdr:from>
      <xdr:col>20</xdr:col>
      <xdr:colOff>91440</xdr:colOff>
      <xdr:row>0</xdr:row>
      <xdr:rowOff>22860</xdr:rowOff>
    </xdr:from>
    <xdr:to>
      <xdr:col>22</xdr:col>
      <xdr:colOff>381000</xdr:colOff>
      <xdr:row>1</xdr:row>
      <xdr:rowOff>167640</xdr:rowOff>
    </xdr:to>
    <xdr:sp macro="" textlink="">
      <xdr:nvSpPr>
        <xdr:cNvPr id="3" name="CommandButton1" hidden="1">
          <a:extLst>
            <a:ext uri="{63B3BB69-23CF-44E3-9099-C40C66FF867C}">
              <a14:compatExt xmlns:a14="http://schemas.microsoft.com/office/drawing/2010/main" spid="_x0000_s37889"/>
            </a:ext>
            <a:ext uri="{FF2B5EF4-FFF2-40B4-BE49-F238E27FC236}">
              <a16:creationId xmlns:a16="http://schemas.microsoft.com/office/drawing/2014/main" id="{29C55BDE-9A83-4FE1-8FEC-A05F942159E1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114300</xdr:colOff>
      <xdr:row>2</xdr:row>
      <xdr:rowOff>15240</xdr:rowOff>
    </xdr:from>
    <xdr:to>
      <xdr:col>22</xdr:col>
      <xdr:colOff>388620</xdr:colOff>
      <xdr:row>3</xdr:row>
      <xdr:rowOff>114300</xdr:rowOff>
    </xdr:to>
    <xdr:sp macro="" textlink="">
      <xdr:nvSpPr>
        <xdr:cNvPr id="4" name="CommandButton2" hidden="1">
          <a:extLst>
            <a:ext uri="{63B3BB69-23CF-44E3-9099-C40C66FF867C}">
              <a14:compatExt xmlns:a14="http://schemas.microsoft.com/office/drawing/2010/main" spid="_x0000_s37890"/>
            </a:ext>
            <a:ext uri="{FF2B5EF4-FFF2-40B4-BE49-F238E27FC236}">
              <a16:creationId xmlns:a16="http://schemas.microsoft.com/office/drawing/2014/main" id="{47AD8ED9-953F-4E57-9C2B-11CC4B6002F2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121920</xdr:colOff>
      <xdr:row>3</xdr:row>
      <xdr:rowOff>152400</xdr:rowOff>
    </xdr:from>
    <xdr:to>
      <xdr:col>22</xdr:col>
      <xdr:colOff>381000</xdr:colOff>
      <xdr:row>5</xdr:row>
      <xdr:rowOff>60960</xdr:rowOff>
    </xdr:to>
    <xdr:sp macro="" textlink="">
      <xdr:nvSpPr>
        <xdr:cNvPr id="5" name="CommandButton3" hidden="1">
          <a:extLst>
            <a:ext uri="{63B3BB69-23CF-44E3-9099-C40C66FF867C}">
              <a14:compatExt xmlns:a14="http://schemas.microsoft.com/office/drawing/2010/main" spid="_x0000_s37891"/>
            </a:ext>
            <a:ext uri="{FF2B5EF4-FFF2-40B4-BE49-F238E27FC236}">
              <a16:creationId xmlns:a16="http://schemas.microsoft.com/office/drawing/2014/main" id="{E46FA709-1EB9-4D8F-83D7-537DFCD0130B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27</xdr:col>
      <xdr:colOff>40050</xdr:colOff>
      <xdr:row>29</xdr:row>
      <xdr:rowOff>103094</xdr:rowOff>
    </xdr:from>
    <xdr:to>
      <xdr:col>37</xdr:col>
      <xdr:colOff>429795</xdr:colOff>
      <xdr:row>56</xdr:row>
      <xdr:rowOff>79951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98C60D7-DE1D-4FAC-BEFC-9DF156666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1710" y="5724641"/>
          <a:ext cx="6428236" cy="4980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319094</xdr:colOff>
      <xdr:row>5</xdr:row>
      <xdr:rowOff>145825</xdr:rowOff>
    </xdr:from>
    <xdr:to>
      <xdr:col>43</xdr:col>
      <xdr:colOff>539579</xdr:colOff>
      <xdr:row>28</xdr:row>
      <xdr:rowOff>160249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A4E8B93-98A9-4014-BE02-0F0C5CA63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35724" y="1032064"/>
          <a:ext cx="7575442" cy="45035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215153</xdr:colOff>
      <xdr:row>38</xdr:row>
      <xdr:rowOff>143435</xdr:rowOff>
    </xdr:from>
    <xdr:to>
      <xdr:col>22</xdr:col>
      <xdr:colOff>545490</xdr:colOff>
      <xdr:row>59</xdr:row>
      <xdr:rowOff>116540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191325C-DAAB-4FB8-B7D1-8EAB9FB0C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113" y="8113955"/>
          <a:ext cx="5778637" cy="3668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1039908</xdr:colOff>
      <xdr:row>47</xdr:row>
      <xdr:rowOff>19977</xdr:rowOff>
    </xdr:from>
    <xdr:to>
      <xdr:col>10</xdr:col>
      <xdr:colOff>570355</xdr:colOff>
      <xdr:row>57</xdr:row>
      <xdr:rowOff>13739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EACF203-0D8F-4A03-9192-1E02E3CEA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6712" y="8882368"/>
          <a:ext cx="4980404" cy="1741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91440</xdr:colOff>
      <xdr:row>0</xdr:row>
      <xdr:rowOff>22860</xdr:rowOff>
    </xdr:from>
    <xdr:to>
      <xdr:col>22</xdr:col>
      <xdr:colOff>388620</xdr:colOff>
      <xdr:row>1</xdr:row>
      <xdr:rowOff>167640</xdr:rowOff>
    </xdr:to>
    <xdr:pic>
      <xdr:nvPicPr>
        <xdr:cNvPr id="37889" name="CommandButton1">
          <a:extLst>
            <a:ext uri="{FF2B5EF4-FFF2-40B4-BE49-F238E27FC236}">
              <a16:creationId xmlns:a16="http://schemas.microsoft.com/office/drawing/2014/main" id="{37CB2F3A-308A-C730-C712-74E3ECD4E9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44600" y="22860"/>
          <a:ext cx="1402080" cy="3200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114300</xdr:colOff>
      <xdr:row>2</xdr:row>
      <xdr:rowOff>15240</xdr:rowOff>
    </xdr:from>
    <xdr:to>
      <xdr:col>22</xdr:col>
      <xdr:colOff>388620</xdr:colOff>
      <xdr:row>3</xdr:row>
      <xdr:rowOff>114300</xdr:rowOff>
    </xdr:to>
    <xdr:pic>
      <xdr:nvPicPr>
        <xdr:cNvPr id="37890" name="CommandButton2">
          <a:extLst>
            <a:ext uri="{FF2B5EF4-FFF2-40B4-BE49-F238E27FC236}">
              <a16:creationId xmlns:a16="http://schemas.microsoft.com/office/drawing/2014/main" id="{43D3702C-F53C-3BFE-677F-379F57BFE3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67460" y="365760"/>
          <a:ext cx="1379220" cy="2743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121920</xdr:colOff>
      <xdr:row>3</xdr:row>
      <xdr:rowOff>152400</xdr:rowOff>
    </xdr:from>
    <xdr:to>
      <xdr:col>22</xdr:col>
      <xdr:colOff>388620</xdr:colOff>
      <xdr:row>5</xdr:row>
      <xdr:rowOff>60960</xdr:rowOff>
    </xdr:to>
    <xdr:pic>
      <xdr:nvPicPr>
        <xdr:cNvPr id="37891" name="CommandButton3">
          <a:extLst>
            <a:ext uri="{FF2B5EF4-FFF2-40B4-BE49-F238E27FC236}">
              <a16:creationId xmlns:a16="http://schemas.microsoft.com/office/drawing/2014/main" id="{4E9238C8-8438-CBEE-8BD3-FA9BBB94B6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5080" y="678180"/>
          <a:ext cx="1371600" cy="2743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325801</xdr:colOff>
      <xdr:row>24</xdr:row>
      <xdr:rowOff>111777</xdr:rowOff>
    </xdr:from>
    <xdr:to>
      <xdr:col>35</xdr:col>
      <xdr:colOff>178241</xdr:colOff>
      <xdr:row>46</xdr:row>
      <xdr:rowOff>111887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764538-9933-CEC6-5F3D-2F5E69D1D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4353" y="5340674"/>
          <a:ext cx="7822786" cy="4046592"/>
        </a:xfrm>
        <a:prstGeom prst="rect">
          <a:avLst/>
        </a:prstGeom>
      </xdr:spPr>
    </xdr:pic>
    <xdr:clientData/>
  </xdr:twoCellAnchor>
  <xdr:twoCellAnchor editAs="oneCell">
    <xdr:from>
      <xdr:col>0</xdr:col>
      <xdr:colOff>89131</xdr:colOff>
      <xdr:row>46</xdr:row>
      <xdr:rowOff>37756</xdr:rowOff>
    </xdr:from>
    <xdr:to>
      <xdr:col>6</xdr:col>
      <xdr:colOff>874045</xdr:colOff>
      <xdr:row>76</xdr:row>
      <xdr:rowOff>173620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E92B52-15BE-4893-0E4F-C10094530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131" y="9297503"/>
          <a:ext cx="4643142" cy="56338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390164</xdr:colOff>
      <xdr:row>40</xdr:row>
      <xdr:rowOff>6734</xdr:rowOff>
    </xdr:from>
    <xdr:to>
      <xdr:col>13</xdr:col>
      <xdr:colOff>14787</xdr:colOff>
      <xdr:row>62</xdr:row>
      <xdr:rowOff>6844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810DE7-85E2-46EB-9C5A-2FCF5B2A3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164" y="8043085"/>
          <a:ext cx="7818087" cy="39750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288040</xdr:colOff>
      <xdr:row>35</xdr:row>
      <xdr:rowOff>101004</xdr:rowOff>
    </xdr:from>
    <xdr:to>
      <xdr:col>12</xdr:col>
      <xdr:colOff>164045</xdr:colOff>
      <xdr:row>57</xdr:row>
      <xdr:rowOff>101113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E8B73B-1DBC-48C3-A5E0-A69FD0485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040" y="7972385"/>
          <a:ext cx="7818087" cy="397507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288040</xdr:colOff>
      <xdr:row>35</xdr:row>
      <xdr:rowOff>101004</xdr:rowOff>
    </xdr:from>
    <xdr:to>
      <xdr:col>12</xdr:col>
      <xdr:colOff>525405</xdr:colOff>
      <xdr:row>57</xdr:row>
      <xdr:rowOff>101113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47AAA7-F76F-4B1D-AC31-5287552F1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040" y="8041044"/>
          <a:ext cx="7804025" cy="402346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348654</xdr:colOff>
      <xdr:row>27</xdr:row>
      <xdr:rowOff>66367</xdr:rowOff>
    </xdr:from>
    <xdr:to>
      <xdr:col>12</xdr:col>
      <xdr:colOff>586019</xdr:colOff>
      <xdr:row>49</xdr:row>
      <xdr:rowOff>66476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C3F0D1-CEE4-4560-ABAE-35A30848F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54" y="5798685"/>
          <a:ext cx="7779433" cy="400060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518491</xdr:colOff>
      <xdr:row>24</xdr:row>
      <xdr:rowOff>24191</xdr:rowOff>
    </xdr:from>
    <xdr:to>
      <xdr:col>31</xdr:col>
      <xdr:colOff>370931</xdr:colOff>
      <xdr:row>46</xdr:row>
      <xdr:rowOff>24301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BA2288-3991-4A4E-9E11-EAACB8A98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2751" y="5221031"/>
          <a:ext cx="7777240" cy="4023470"/>
        </a:xfrm>
        <a:prstGeom prst="rect">
          <a:avLst/>
        </a:prstGeom>
      </xdr:spPr>
    </xdr:pic>
    <xdr:clientData/>
  </xdr:twoCellAnchor>
  <xdr:twoCellAnchor editAs="oneCell">
    <xdr:from>
      <xdr:col>3</xdr:col>
      <xdr:colOff>561034</xdr:colOff>
      <xdr:row>23</xdr:row>
      <xdr:rowOff>175845</xdr:rowOff>
    </xdr:from>
    <xdr:to>
      <xdr:col>12</xdr:col>
      <xdr:colOff>260327</xdr:colOff>
      <xdr:row>59</xdr:row>
      <xdr:rowOff>50416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600395-467F-4326-9EA2-A976D0910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03715" y="5225142"/>
          <a:ext cx="5334744" cy="650648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603158</xdr:colOff>
      <xdr:row>19</xdr:row>
      <xdr:rowOff>151191</xdr:rowOff>
    </xdr:from>
    <xdr:to>
      <xdr:col>32</xdr:col>
      <xdr:colOff>455597</xdr:colOff>
      <xdr:row>41</xdr:row>
      <xdr:rowOff>151302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609CE4-0453-4B95-8EFF-FDB5F983D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5936" y="4426858"/>
          <a:ext cx="7740550" cy="4035888"/>
        </a:xfrm>
        <a:prstGeom prst="rect">
          <a:avLst/>
        </a:prstGeom>
      </xdr:spPr>
    </xdr:pic>
    <xdr:clientData/>
  </xdr:twoCellAnchor>
  <xdr:twoCellAnchor editAs="oneCell">
    <xdr:from>
      <xdr:col>3</xdr:col>
      <xdr:colOff>561034</xdr:colOff>
      <xdr:row>23</xdr:row>
      <xdr:rowOff>175845</xdr:rowOff>
    </xdr:from>
    <xdr:to>
      <xdr:col>12</xdr:col>
      <xdr:colOff>260327</xdr:colOff>
      <xdr:row>59</xdr:row>
      <xdr:rowOff>50416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0C03BC-3981-45F7-8F18-A36542DA0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04134" y="5189805"/>
          <a:ext cx="5322853" cy="64582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46051</xdr:colOff>
      <xdr:row>23</xdr:row>
      <xdr:rowOff>39431</xdr:rowOff>
    </xdr:from>
    <xdr:to>
      <xdr:col>13</xdr:col>
      <xdr:colOff>249010</xdr:colOff>
      <xdr:row>45</xdr:row>
      <xdr:rowOff>39541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6E7927-106E-47A2-A63C-F21D13D4D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651" y="5038151"/>
          <a:ext cx="7777239" cy="402347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608438</xdr:colOff>
      <xdr:row>15</xdr:row>
      <xdr:rowOff>39671</xdr:rowOff>
    </xdr:from>
    <xdr:to>
      <xdr:col>6</xdr:col>
      <xdr:colOff>113716</xdr:colOff>
      <xdr:row>23</xdr:row>
      <xdr:rowOff>140182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9F116E-E3F5-5073-5C13-A2DE7EEAB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438" y="2596464"/>
          <a:ext cx="3717960" cy="1558449"/>
        </a:xfrm>
        <a:prstGeom prst="rect">
          <a:avLst/>
        </a:prstGeom>
      </xdr:spPr>
    </xdr:pic>
    <xdr:clientData/>
  </xdr:twoCellAnchor>
  <xdr:twoCellAnchor editAs="oneCell">
    <xdr:from>
      <xdr:col>0</xdr:col>
      <xdr:colOff>591943</xdr:colOff>
      <xdr:row>26</xdr:row>
      <xdr:rowOff>24097</xdr:rowOff>
    </xdr:from>
    <xdr:to>
      <xdr:col>6</xdr:col>
      <xdr:colOff>26365</xdr:colOff>
      <xdr:row>34</xdr:row>
      <xdr:rowOff>110846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30E28C-A750-D5E9-BD56-5BAC69D71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1943" y="4642279"/>
          <a:ext cx="3615692" cy="1561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6</xdr:col>
      <xdr:colOff>40278</xdr:colOff>
      <xdr:row>46</xdr:row>
      <xdr:rowOff>153728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BB02CB-1B49-D7FB-69C1-F714AD816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3250" y="6858000"/>
          <a:ext cx="3603625" cy="1864754"/>
        </a:xfrm>
        <a:prstGeom prst="rect">
          <a:avLst/>
        </a:prstGeom>
      </xdr:spPr>
    </xdr:pic>
    <xdr:clientData/>
  </xdr:twoCellAnchor>
  <xdr:twoCellAnchor editAs="oneCell">
    <xdr:from>
      <xdr:col>1</xdr:col>
      <xdr:colOff>7776</xdr:colOff>
      <xdr:row>48</xdr:row>
      <xdr:rowOff>163287</xdr:rowOff>
    </xdr:from>
    <xdr:to>
      <xdr:col>6</xdr:col>
      <xdr:colOff>55433</xdr:colOff>
      <xdr:row>57</xdr:row>
      <xdr:rowOff>78177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5B8C40-C885-3043-4C1E-AF7AA500A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0364" y="8590111"/>
          <a:ext cx="3657695" cy="15250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179716</xdr:rowOff>
    </xdr:from>
    <xdr:to>
      <xdr:col>16</xdr:col>
      <xdr:colOff>141947</xdr:colOff>
      <xdr:row>12</xdr:row>
      <xdr:rowOff>140055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40FA532-5A6F-A5E1-A6C0-8BAEBF215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63774" y="2516037"/>
          <a:ext cx="3651282" cy="157432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1</xdr:rowOff>
    </xdr:from>
    <xdr:to>
      <xdr:col>16</xdr:col>
      <xdr:colOff>39380</xdr:colOff>
      <xdr:row>23</xdr:row>
      <xdr:rowOff>159583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0F1E01-8FD3-9432-91EA-843A8611D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33489" y="4661171"/>
          <a:ext cx="3534383" cy="164807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1</xdr:rowOff>
    </xdr:from>
    <xdr:to>
      <xdr:col>15</xdr:col>
      <xdr:colOff>1072153</xdr:colOff>
      <xdr:row>35</xdr:row>
      <xdr:rowOff>150528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0FA6DC-E2B9-EF95-9E9F-71FF3DF2A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66000" y="6737685"/>
          <a:ext cx="3493634" cy="1831474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38</xdr:row>
      <xdr:rowOff>1</xdr:rowOff>
    </xdr:from>
    <xdr:to>
      <xdr:col>15</xdr:col>
      <xdr:colOff>1104796</xdr:colOff>
      <xdr:row>47</xdr:row>
      <xdr:rowOff>149389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F159F73-CA16-1BC3-9606-44CE9014C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76810" y="8560341"/>
          <a:ext cx="3531964" cy="1750978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</xdr:row>
      <xdr:rowOff>0</xdr:rowOff>
    </xdr:from>
    <xdr:to>
      <xdr:col>28</xdr:col>
      <xdr:colOff>68776</xdr:colOff>
      <xdr:row>20</xdr:row>
      <xdr:rowOff>148230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7FCF6AE-2434-7E20-6624-DF649D767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95714" y="2540000"/>
          <a:ext cx="3644460" cy="1596571"/>
        </a:xfrm>
        <a:prstGeom prst="rect">
          <a:avLst/>
        </a:prstGeom>
      </xdr:spPr>
    </xdr:pic>
    <xdr:clientData/>
  </xdr:twoCellAnchor>
  <xdr:twoCellAnchor editAs="oneCell">
    <xdr:from>
      <xdr:col>23</xdr:col>
      <xdr:colOff>1</xdr:colOff>
      <xdr:row>23</xdr:row>
      <xdr:rowOff>0</xdr:rowOff>
    </xdr:from>
    <xdr:to>
      <xdr:col>28</xdr:col>
      <xdr:colOff>69081</xdr:colOff>
      <xdr:row>31</xdr:row>
      <xdr:rowOff>124314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72E7A3D-BB68-8941-53E2-1BA78975A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478001" y="4762500"/>
          <a:ext cx="3591160" cy="1645227"/>
        </a:xfrm>
        <a:prstGeom prst="rect">
          <a:avLst/>
        </a:prstGeom>
      </xdr:spPr>
    </xdr:pic>
    <xdr:clientData/>
  </xdr:twoCellAnchor>
  <xdr:twoCellAnchor editAs="oneCell">
    <xdr:from>
      <xdr:col>23</xdr:col>
      <xdr:colOff>1</xdr:colOff>
      <xdr:row>34</xdr:row>
      <xdr:rowOff>0</xdr:rowOff>
    </xdr:from>
    <xdr:to>
      <xdr:col>28</xdr:col>
      <xdr:colOff>29446</xdr:colOff>
      <xdr:row>42</xdr:row>
      <xdr:rowOff>3088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C03937A-0D4C-4223-DC48-B8D3B952E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434869" y="6728604"/>
          <a:ext cx="3540088" cy="1495245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</xdr:row>
      <xdr:rowOff>0</xdr:rowOff>
    </xdr:from>
    <xdr:to>
      <xdr:col>27</xdr:col>
      <xdr:colOff>444645</xdr:colOff>
      <xdr:row>54</xdr:row>
      <xdr:rowOff>24266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923D3C5-CAAC-E1C2-05CB-1B7FCBB1D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314714" y="9144000"/>
          <a:ext cx="3320143" cy="1545179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15</xdr:row>
      <xdr:rowOff>1</xdr:rowOff>
    </xdr:from>
    <xdr:to>
      <xdr:col>38</xdr:col>
      <xdr:colOff>255990</xdr:colOff>
      <xdr:row>22</xdr:row>
      <xdr:rowOff>148838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8F1B337-9708-F0CA-C8BA-2116F78E3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59589" y="2630467"/>
          <a:ext cx="3108760" cy="1461369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26</xdr:row>
      <xdr:rowOff>0</xdr:rowOff>
    </xdr:from>
    <xdr:to>
      <xdr:col>38</xdr:col>
      <xdr:colOff>128779</xdr:colOff>
      <xdr:row>32</xdr:row>
      <xdr:rowOff>165601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64D0895-EAC4-5E2A-FB88-EAA231EAB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444857" y="4762500"/>
          <a:ext cx="2961487" cy="1306286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37</xdr:row>
      <xdr:rowOff>1</xdr:rowOff>
    </xdr:from>
    <xdr:to>
      <xdr:col>38</xdr:col>
      <xdr:colOff>304982</xdr:colOff>
      <xdr:row>44</xdr:row>
      <xdr:rowOff>40180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3F01A6D-E965-3639-19F8-1F90B2604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749657" y="6270172"/>
          <a:ext cx="3178629" cy="1256678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134</xdr:row>
      <xdr:rowOff>9684</xdr:rowOff>
    </xdr:from>
    <xdr:to>
      <xdr:col>32</xdr:col>
      <xdr:colOff>91253</xdr:colOff>
      <xdr:row>147</xdr:row>
      <xdr:rowOff>156110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23EB1E8-999F-5391-19B0-48F2E8A01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00967" y="16405244"/>
          <a:ext cx="5267011" cy="2541283"/>
        </a:xfrm>
        <a:prstGeom prst="rect">
          <a:avLst/>
        </a:prstGeom>
      </xdr:spPr>
    </xdr:pic>
    <xdr:clientData/>
  </xdr:twoCellAnchor>
  <xdr:twoCellAnchor editAs="oneCell">
    <xdr:from>
      <xdr:col>25</xdr:col>
      <xdr:colOff>1</xdr:colOff>
      <xdr:row>148</xdr:row>
      <xdr:rowOff>1</xdr:rowOff>
    </xdr:from>
    <xdr:to>
      <xdr:col>31</xdr:col>
      <xdr:colOff>238224</xdr:colOff>
      <xdr:row>169</xdr:row>
      <xdr:rowOff>160502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1709B9B-52DD-73FC-BB7E-C530EF633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03201" y="16642081"/>
          <a:ext cx="4811445" cy="39928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57572</xdr:rowOff>
    </xdr:from>
    <xdr:to>
      <xdr:col>7</xdr:col>
      <xdr:colOff>17764</xdr:colOff>
      <xdr:row>103</xdr:row>
      <xdr:rowOff>59909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BEFAFED-CBBB-E430-442D-A391CA9A5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0625" y="15952416"/>
          <a:ext cx="4232577" cy="214546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104</xdr:row>
      <xdr:rowOff>0</xdr:rowOff>
    </xdr:from>
    <xdr:to>
      <xdr:col>7</xdr:col>
      <xdr:colOff>86627</xdr:colOff>
      <xdr:row>116</xdr:row>
      <xdr:rowOff>44735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AAC35B4-3E89-10F2-85A9-4B0FA5D52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2054" y="16242632"/>
          <a:ext cx="4237098" cy="22057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1</xdr:rowOff>
    </xdr:from>
    <xdr:to>
      <xdr:col>7</xdr:col>
      <xdr:colOff>1030538</xdr:colOff>
      <xdr:row>133</xdr:row>
      <xdr:rowOff>86636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9EDBF6E-6E86-A972-A581-EE95F84C4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00967" y="23395913"/>
          <a:ext cx="5241890" cy="26657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1</xdr:rowOff>
    </xdr:from>
    <xdr:to>
      <xdr:col>7</xdr:col>
      <xdr:colOff>979249</xdr:colOff>
      <xdr:row>149</xdr:row>
      <xdr:rowOff>174046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0D8C001-4784-BA8B-F8CC-500221CBB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67" y="26527649"/>
          <a:ext cx="5191648" cy="256890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152</xdr:row>
      <xdr:rowOff>0</xdr:rowOff>
    </xdr:from>
    <xdr:to>
      <xdr:col>7</xdr:col>
      <xdr:colOff>1006336</xdr:colOff>
      <xdr:row>166</xdr:row>
      <xdr:rowOff>25121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756AB7B-C924-1CD9-FFCA-BFD0609F7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00968" y="29475165"/>
          <a:ext cx="5217687" cy="260419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168</xdr:row>
      <xdr:rowOff>1</xdr:rowOff>
    </xdr:from>
    <xdr:to>
      <xdr:col>7</xdr:col>
      <xdr:colOff>1006580</xdr:colOff>
      <xdr:row>182</xdr:row>
      <xdr:rowOff>1114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65F8C12-F587-3400-0220-4050094CC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00968" y="32422682"/>
          <a:ext cx="5208395" cy="2576945"/>
        </a:xfrm>
        <a:prstGeom prst="rect">
          <a:avLst/>
        </a:prstGeom>
      </xdr:spPr>
    </xdr:pic>
    <xdr:clientData/>
  </xdr:twoCellAnchor>
  <xdr:twoCellAnchor editAs="oneCell">
    <xdr:from>
      <xdr:col>1</xdr:col>
      <xdr:colOff>12291</xdr:colOff>
      <xdr:row>183</xdr:row>
      <xdr:rowOff>49163</xdr:rowOff>
    </xdr:from>
    <xdr:to>
      <xdr:col>7</xdr:col>
      <xdr:colOff>1006580</xdr:colOff>
      <xdr:row>197</xdr:row>
      <xdr:rowOff>25075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E6627CE-149E-BAF0-9142-0DE9D8965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3258" y="35235141"/>
          <a:ext cx="5196105" cy="255498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199</xdr:row>
      <xdr:rowOff>0</xdr:rowOff>
    </xdr:from>
    <xdr:to>
      <xdr:col>8</xdr:col>
      <xdr:colOff>83571</xdr:colOff>
      <xdr:row>213</xdr:row>
      <xdr:rowOff>830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C80488F-9D18-8D43-80AC-8FC8E8FC3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01284" y="38689472"/>
          <a:ext cx="5301752" cy="261667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215</xdr:row>
      <xdr:rowOff>0</xdr:rowOff>
    </xdr:from>
    <xdr:to>
      <xdr:col>7</xdr:col>
      <xdr:colOff>1005418</xdr:colOff>
      <xdr:row>228</xdr:row>
      <xdr:rowOff>156974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DC49263-2EC8-4D1F-5E1F-3EAAEAAE5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4554" y="41577638"/>
          <a:ext cx="5196192" cy="25807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eri\OneDrive\Dokumen\TR%20HVAC\AHU%20Main%20Deck%20VIERI%20NEW.xlsx" TargetMode="External"/><Relationship Id="rId1" Type="http://schemas.openxmlformats.org/officeDocument/2006/relationships/externalLinkPath" Target="AHU%20Main%20Deck%20VIERI%20NEW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eri\OneDrive\Dokumen\TR%20HVAC\AHU%20Poop%20Deck%20VIERI%20NEW.xlsx" TargetMode="External"/><Relationship Id="rId1" Type="http://schemas.openxmlformats.org/officeDocument/2006/relationships/externalLinkPath" Target="AHU%20Poop%20Deck%20VIERI%20NEW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eri\OneDrive\Dokumen\TR%20HVAC\AHU%20Boat%20Deck%20VIERI%20NEW.xlsx" TargetMode="External"/><Relationship Id="rId1" Type="http://schemas.openxmlformats.org/officeDocument/2006/relationships/externalLinkPath" Target="AHU%20Boat%20Deck%20VIERI%20NEW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eri\OneDrive\Dokumen\TR%20HVAC\AHU%20Bride%20Deck%20VIERI%20NEW.xlsx" TargetMode="External"/><Relationship Id="rId1" Type="http://schemas.openxmlformats.org/officeDocument/2006/relationships/externalLinkPath" Target="AHU%20Bride%20Deck%20VIERI%20NEW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eri\OneDrive\Dokumen\TR%20HVAC\AHU%20Navigation%20Deck%20VIERI%20NEW.xlsx" TargetMode="External"/><Relationship Id="rId1" Type="http://schemas.openxmlformats.org/officeDocument/2006/relationships/externalLinkPath" Target="AHU%20Navigation%20Deck%20VIERI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 of Room"/>
      <sheetName val="Summary"/>
      <sheetName val="Galley"/>
      <sheetName val="Mess Room "/>
      <sheetName val="Quarter Master &amp; Steward "/>
      <sheetName val="Boys (2p)"/>
      <sheetName val="Boatswain &amp; Seaman"/>
      <sheetName val="Oiler (2p)"/>
      <sheetName val="Pumpman 2p)"/>
      <sheetName val="Fireman (2P)"/>
    </sheetNames>
    <sheetDataSet>
      <sheetData sheetId="0"/>
      <sheetData sheetId="1"/>
      <sheetData sheetId="2">
        <row r="3">
          <cell r="H3" t="str">
            <v>0 to 06</v>
          </cell>
        </row>
        <row r="29">
          <cell r="J29">
            <v>15</v>
          </cell>
        </row>
        <row r="31">
          <cell r="K31">
            <v>234</v>
          </cell>
        </row>
        <row r="33">
          <cell r="E33">
            <v>15</v>
          </cell>
          <cell r="G33">
            <v>24.8094596175</v>
          </cell>
        </row>
        <row r="36">
          <cell r="J36">
            <v>674.09783777235032</v>
          </cell>
          <cell r="M36">
            <v>790</v>
          </cell>
        </row>
        <row r="38">
          <cell r="J38">
            <v>744.28378852499998</v>
          </cell>
        </row>
        <row r="40">
          <cell r="J40">
            <v>6295.4150648446575</v>
          </cell>
        </row>
        <row r="41">
          <cell r="J41">
            <v>0.88850335615203369</v>
          </cell>
        </row>
      </sheetData>
      <sheetData sheetId="3">
        <row r="3">
          <cell r="H3" t="str">
            <v>04 to 11</v>
          </cell>
        </row>
        <row r="28">
          <cell r="J28">
            <v>150</v>
          </cell>
        </row>
        <row r="30">
          <cell r="K30">
            <v>472</v>
          </cell>
        </row>
        <row r="32">
          <cell r="E32">
            <v>150</v>
          </cell>
          <cell r="G32">
            <v>54.34696898666666</v>
          </cell>
        </row>
        <row r="35">
          <cell r="J35">
            <v>1185.9091734085257</v>
          </cell>
          <cell r="M35">
            <v>5000</v>
          </cell>
        </row>
        <row r="37">
          <cell r="J37">
            <v>1630.4090695999998</v>
          </cell>
        </row>
        <row r="39">
          <cell r="J39">
            <v>12719.504798837064</v>
          </cell>
        </row>
        <row r="40">
          <cell r="J40">
            <v>0.71782507148122154</v>
          </cell>
        </row>
      </sheetData>
      <sheetData sheetId="4">
        <row r="3">
          <cell r="H3" t="str">
            <v>11 to 16</v>
          </cell>
        </row>
        <row r="28">
          <cell r="J28">
            <v>30</v>
          </cell>
        </row>
        <row r="30">
          <cell r="K30">
            <v>137</v>
          </cell>
        </row>
        <row r="32">
          <cell r="E32">
            <v>30</v>
          </cell>
          <cell r="G32">
            <v>35.020410833333337</v>
          </cell>
        </row>
        <row r="35">
          <cell r="J35">
            <v>777.26767191617523</v>
          </cell>
          <cell r="M35">
            <v>1000</v>
          </cell>
        </row>
        <row r="37">
          <cell r="J37">
            <v>1050.6123250000001</v>
          </cell>
        </row>
        <row r="39">
          <cell r="J39">
            <v>3687.0942104208343</v>
          </cell>
        </row>
        <row r="40">
          <cell r="J40">
            <v>0.78664819713316281</v>
          </cell>
        </row>
      </sheetData>
      <sheetData sheetId="5">
        <row r="3">
          <cell r="H3" t="str">
            <v>15 to 20</v>
          </cell>
        </row>
        <row r="28">
          <cell r="J28">
            <v>30</v>
          </cell>
        </row>
        <row r="30">
          <cell r="K30">
            <v>131</v>
          </cell>
        </row>
        <row r="32">
          <cell r="E32">
            <v>30</v>
          </cell>
          <cell r="G32">
            <v>36.992148250000007</v>
          </cell>
        </row>
        <row r="35">
          <cell r="J35">
            <v>666.82213691617528</v>
          </cell>
          <cell r="M35">
            <v>1000</v>
          </cell>
        </row>
        <row r="37">
          <cell r="J37">
            <v>1109.7644475000002</v>
          </cell>
        </row>
        <row r="39">
          <cell r="J39">
            <v>3519.3368963404341</v>
          </cell>
        </row>
        <row r="40">
          <cell r="J40">
            <v>0.77872860047018033</v>
          </cell>
        </row>
      </sheetData>
      <sheetData sheetId="6">
        <row r="3">
          <cell r="H3" t="str">
            <v>20 to 25</v>
          </cell>
        </row>
        <row r="28">
          <cell r="J28">
            <v>30</v>
          </cell>
        </row>
        <row r="30">
          <cell r="K30">
            <v>184</v>
          </cell>
        </row>
        <row r="32">
          <cell r="E32">
            <v>30</v>
          </cell>
          <cell r="G32">
            <v>37.433582000000001</v>
          </cell>
        </row>
        <row r="35">
          <cell r="J35">
            <v>806.00728491617519</v>
          </cell>
          <cell r="M35">
            <v>1000</v>
          </cell>
        </row>
        <row r="37">
          <cell r="J37">
            <v>1123.00746</v>
          </cell>
        </row>
        <row r="39">
          <cell r="J39">
            <v>4944.9237810464347</v>
          </cell>
        </row>
        <row r="40">
          <cell r="J40">
            <v>0.83178926478617043</v>
          </cell>
        </row>
      </sheetData>
      <sheetData sheetId="7">
        <row r="3">
          <cell r="H3" t="str">
            <v>11 to 16</v>
          </cell>
        </row>
        <row r="28">
          <cell r="J28">
            <v>30</v>
          </cell>
        </row>
        <row r="30">
          <cell r="K30">
            <v>159</v>
          </cell>
        </row>
        <row r="32">
          <cell r="E32">
            <v>30</v>
          </cell>
          <cell r="G32">
            <v>36.197567499999998</v>
          </cell>
        </row>
        <row r="35">
          <cell r="J35">
            <v>786.14788941617508</v>
          </cell>
          <cell r="M35">
            <v>1000</v>
          </cell>
        </row>
        <row r="37">
          <cell r="J37">
            <v>1085.927025</v>
          </cell>
        </row>
        <row r="39">
          <cell r="J39">
            <v>4285.9023459058335</v>
          </cell>
        </row>
        <row r="40">
          <cell r="J40">
            <v>0.81081754172501042</v>
          </cell>
        </row>
      </sheetData>
      <sheetData sheetId="8">
        <row r="3">
          <cell r="H3" t="str">
            <v>16 to 20</v>
          </cell>
        </row>
        <row r="28">
          <cell r="J28">
            <v>30</v>
          </cell>
        </row>
        <row r="30">
          <cell r="K30">
            <v>141</v>
          </cell>
        </row>
        <row r="32">
          <cell r="E32">
            <v>30</v>
          </cell>
          <cell r="G32">
            <v>37.080435000000001</v>
          </cell>
        </row>
        <row r="35">
          <cell r="J35">
            <v>798.52637441617514</v>
          </cell>
          <cell r="M35">
            <v>1000</v>
          </cell>
        </row>
        <row r="37">
          <cell r="J37">
            <v>1112.4130500000001</v>
          </cell>
        </row>
        <row r="39">
          <cell r="J39">
            <v>3797.0892128528349</v>
          </cell>
        </row>
        <row r="40">
          <cell r="J40">
            <v>0.79154025376040515</v>
          </cell>
        </row>
      </sheetData>
      <sheetData sheetId="9">
        <row r="3">
          <cell r="H3" t="str">
            <v>20 to 25</v>
          </cell>
        </row>
        <row r="28">
          <cell r="J28">
            <v>30</v>
          </cell>
        </row>
        <row r="30">
          <cell r="K30">
            <v>183</v>
          </cell>
        </row>
        <row r="32">
          <cell r="E32">
            <v>30</v>
          </cell>
          <cell r="G32">
            <v>37.433582000000001</v>
          </cell>
        </row>
        <row r="35">
          <cell r="J35">
            <v>802.29373941617519</v>
          </cell>
          <cell r="M35">
            <v>1000</v>
          </cell>
        </row>
        <row r="37">
          <cell r="J37">
            <v>1123.00746</v>
          </cell>
        </row>
        <row r="39">
          <cell r="J39">
            <v>4914.6041997488355</v>
          </cell>
        </row>
        <row r="40">
          <cell r="J40">
            <v>0.83092697901197432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 of Room"/>
      <sheetName val="Summary"/>
      <sheetName val="Pantry"/>
      <sheetName val="Mess Room "/>
      <sheetName val="Chief Cook Room"/>
      <sheetName val="Musholla"/>
      <sheetName val="Electrician"/>
      <sheetName val="Second Engineer"/>
      <sheetName val="Smoking Room"/>
    </sheetNames>
    <sheetDataSet>
      <sheetData sheetId="0"/>
      <sheetData sheetId="1"/>
      <sheetData sheetId="2">
        <row r="3">
          <cell r="H3" t="str">
            <v>06 to 11</v>
          </cell>
        </row>
        <row r="28">
          <cell r="J28">
            <v>15</v>
          </cell>
        </row>
        <row r="30">
          <cell r="K30">
            <v>152</v>
          </cell>
        </row>
        <row r="32">
          <cell r="E32">
            <v>15</v>
          </cell>
          <cell r="G32">
            <v>28.901550480000001</v>
          </cell>
        </row>
        <row r="35">
          <cell r="J35">
            <v>664.23164703235034</v>
          </cell>
          <cell r="M35">
            <v>790</v>
          </cell>
        </row>
        <row r="37">
          <cell r="J37">
            <v>867.04651439999998</v>
          </cell>
        </row>
        <row r="39">
          <cell r="J39">
            <v>4077.0550192519099</v>
          </cell>
        </row>
        <row r="40">
          <cell r="J40">
            <v>0.83768418543141387</v>
          </cell>
        </row>
      </sheetData>
      <sheetData sheetId="3">
        <row r="3">
          <cell r="H3" t="str">
            <v>11 to 16</v>
          </cell>
        </row>
        <row r="28">
          <cell r="J28">
            <v>120</v>
          </cell>
        </row>
        <row r="30">
          <cell r="K30">
            <v>199</v>
          </cell>
        </row>
        <row r="32">
          <cell r="E32">
            <v>120</v>
          </cell>
          <cell r="G32">
            <v>33.619594400000004</v>
          </cell>
        </row>
        <row r="35">
          <cell r="J35">
            <v>769.38849711617524</v>
          </cell>
          <cell r="M35">
            <v>4000</v>
          </cell>
        </row>
        <row r="37">
          <cell r="J37">
            <v>1008.587832</v>
          </cell>
        </row>
        <row r="39">
          <cell r="J39">
            <v>5347.107181039235</v>
          </cell>
        </row>
        <row r="40">
          <cell r="J40">
            <v>0.57206011201903539</v>
          </cell>
        </row>
      </sheetData>
      <sheetData sheetId="4">
        <row r="3">
          <cell r="H3" t="str">
            <v>20 to 24</v>
          </cell>
        </row>
        <row r="28">
          <cell r="J28">
            <v>15</v>
          </cell>
        </row>
        <row r="30">
          <cell r="K30">
            <v>81</v>
          </cell>
        </row>
        <row r="32">
          <cell r="E32">
            <v>15</v>
          </cell>
          <cell r="G32">
            <v>28.901550480000001</v>
          </cell>
        </row>
        <row r="35">
          <cell r="J35">
            <v>662.87970661617521</v>
          </cell>
          <cell r="M35">
            <v>500</v>
          </cell>
        </row>
        <row r="37">
          <cell r="J37">
            <v>867.04651439999998</v>
          </cell>
        </row>
        <row r="39">
          <cell r="J39">
            <v>2171.0294851841945</v>
          </cell>
        </row>
        <row r="40">
          <cell r="J40">
            <v>0.81280625961883757</v>
          </cell>
        </row>
      </sheetData>
      <sheetData sheetId="5">
        <row r="3">
          <cell r="H3" t="str">
            <v>11 to 16</v>
          </cell>
        </row>
        <row r="28">
          <cell r="J28">
            <v>30</v>
          </cell>
        </row>
        <row r="30">
          <cell r="K30">
            <v>92</v>
          </cell>
        </row>
        <row r="32">
          <cell r="E32">
            <v>30</v>
          </cell>
          <cell r="G32">
            <v>28.901550480000001</v>
          </cell>
        </row>
        <row r="35">
          <cell r="J35">
            <v>732.75894541617515</v>
          </cell>
          <cell r="M35">
            <v>1000</v>
          </cell>
        </row>
        <row r="37">
          <cell r="J37">
            <v>867.04651439999998</v>
          </cell>
        </row>
        <row r="39">
          <cell r="J39">
            <v>2473.1103543313147</v>
          </cell>
        </row>
        <row r="40">
          <cell r="J40">
            <v>0.71207364639223159</v>
          </cell>
        </row>
      </sheetData>
      <sheetData sheetId="6">
        <row r="3">
          <cell r="H3" t="str">
            <v>16 to 20</v>
          </cell>
        </row>
        <row r="28">
          <cell r="J28">
            <v>15</v>
          </cell>
        </row>
        <row r="30">
          <cell r="K30">
            <v>52</v>
          </cell>
        </row>
        <row r="32">
          <cell r="E32">
            <v>15</v>
          </cell>
          <cell r="G32">
            <v>28.901550480000001</v>
          </cell>
        </row>
        <row r="35">
          <cell r="J35">
            <v>728.10894061617523</v>
          </cell>
          <cell r="M35">
            <v>500</v>
          </cell>
        </row>
        <row r="37">
          <cell r="J37">
            <v>867.04651439999998</v>
          </cell>
        </row>
        <row r="39">
          <cell r="J39">
            <v>1399.0661458196348</v>
          </cell>
        </row>
        <row r="40">
          <cell r="J40">
            <v>0.73671269897542169</v>
          </cell>
        </row>
      </sheetData>
      <sheetData sheetId="7">
        <row r="3">
          <cell r="H3" t="str">
            <v>20 to 25</v>
          </cell>
        </row>
        <row r="28">
          <cell r="J28">
            <v>15</v>
          </cell>
        </row>
        <row r="30">
          <cell r="K30">
            <v>80</v>
          </cell>
        </row>
        <row r="32">
          <cell r="E32">
            <v>15</v>
          </cell>
          <cell r="G32">
            <v>28.901550480000001</v>
          </cell>
        </row>
        <row r="35">
          <cell r="J35">
            <v>693.68598841617529</v>
          </cell>
          <cell r="M35">
            <v>500</v>
          </cell>
        </row>
        <row r="37">
          <cell r="J37">
            <v>867.04651439999998</v>
          </cell>
        </row>
        <row r="39">
          <cell r="J39">
            <v>2154.4182213704344</v>
          </cell>
        </row>
        <row r="40">
          <cell r="J40">
            <v>0.81163480721517278</v>
          </cell>
        </row>
      </sheetData>
      <sheetData sheetId="8">
        <row r="3">
          <cell r="H3" t="str">
            <v>20 to 25</v>
          </cell>
        </row>
        <row r="28">
          <cell r="J28">
            <v>60</v>
          </cell>
        </row>
        <row r="30">
          <cell r="K30">
            <v>171</v>
          </cell>
        </row>
        <row r="32">
          <cell r="E32">
            <v>60</v>
          </cell>
          <cell r="G32">
            <v>39.552464000000001</v>
          </cell>
        </row>
        <row r="35">
          <cell r="J35">
            <v>879.96173083235021</v>
          </cell>
          <cell r="M35">
            <v>2000</v>
          </cell>
        </row>
        <row r="37">
          <cell r="J37">
            <v>1186.57392</v>
          </cell>
        </row>
        <row r="39">
          <cell r="J39">
            <v>4612.8964123640699</v>
          </cell>
        </row>
        <row r="40">
          <cell r="J40">
            <v>0.69756066399881622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 of Room"/>
      <sheetName val="Summary"/>
      <sheetName val="Second Engineer"/>
      <sheetName val="Chief Engineer"/>
      <sheetName val="Chief Officer &amp; Engineer Office"/>
      <sheetName val="Medical Room"/>
      <sheetName val="Chief Officer"/>
    </sheetNames>
    <sheetDataSet>
      <sheetData sheetId="0"/>
      <sheetData sheetId="1"/>
      <sheetData sheetId="2">
        <row r="3">
          <cell r="H3" t="str">
            <v>12 to 18</v>
          </cell>
        </row>
        <row r="28">
          <cell r="J28">
            <v>15</v>
          </cell>
        </row>
        <row r="30">
          <cell r="K30">
            <v>145</v>
          </cell>
        </row>
        <row r="32">
          <cell r="E32">
            <v>15</v>
          </cell>
          <cell r="G32">
            <v>38.535400639999999</v>
          </cell>
        </row>
        <row r="35">
          <cell r="J35">
            <v>824.14445641617499</v>
          </cell>
          <cell r="M35">
            <v>500</v>
          </cell>
        </row>
        <row r="37">
          <cell r="J37">
            <v>1156.0620191999999</v>
          </cell>
        </row>
        <row r="39">
          <cell r="J39">
            <v>3903.9394832264857</v>
          </cell>
        </row>
        <row r="40">
          <cell r="J40">
            <v>0.88646528820289727</v>
          </cell>
        </row>
      </sheetData>
      <sheetData sheetId="3">
        <row r="3">
          <cell r="H3" t="str">
            <v>18 to 25</v>
          </cell>
        </row>
        <row r="28">
          <cell r="J28">
            <v>15</v>
          </cell>
        </row>
        <row r="30">
          <cell r="K30">
            <v>198</v>
          </cell>
        </row>
        <row r="32">
          <cell r="E32">
            <v>15</v>
          </cell>
          <cell r="G32">
            <v>38.320687263999993</v>
          </cell>
        </row>
        <row r="35">
          <cell r="J35">
            <v>890.72563083235036</v>
          </cell>
          <cell r="M35">
            <v>500</v>
          </cell>
        </row>
        <row r="37">
          <cell r="J37">
            <v>1149.6206179199999</v>
          </cell>
        </row>
        <row r="39">
          <cell r="J39">
            <v>5332.9627309369498</v>
          </cell>
        </row>
        <row r="40">
          <cell r="J40">
            <v>0.91428026835349163</v>
          </cell>
        </row>
      </sheetData>
      <sheetData sheetId="4">
        <row r="3">
          <cell r="H3" t="str">
            <v>19 to 25</v>
          </cell>
        </row>
        <row r="28">
          <cell r="J28">
            <v>30</v>
          </cell>
        </row>
        <row r="30">
          <cell r="K30">
            <v>195</v>
          </cell>
        </row>
        <row r="32">
          <cell r="E32">
            <v>30</v>
          </cell>
          <cell r="G32">
            <v>50.146874000000004</v>
          </cell>
        </row>
        <row r="35">
          <cell r="J35">
            <v>1018.9839522485256</v>
          </cell>
          <cell r="M35">
            <v>1000</v>
          </cell>
        </row>
        <row r="37">
          <cell r="J37">
            <v>1504.4062200000001</v>
          </cell>
        </row>
        <row r="39">
          <cell r="J39">
            <v>5244.8819431341044</v>
          </cell>
        </row>
        <row r="40">
          <cell r="J40">
            <v>0.83986887036360336</v>
          </cell>
        </row>
      </sheetData>
      <sheetData sheetId="5">
        <row r="3">
          <cell r="H3" t="str">
            <v>12 to 19</v>
          </cell>
        </row>
        <row r="28">
          <cell r="J28">
            <v>30</v>
          </cell>
        </row>
        <row r="30">
          <cell r="K30">
            <v>206</v>
          </cell>
        </row>
        <row r="32">
          <cell r="E32">
            <v>30</v>
          </cell>
          <cell r="G32">
            <v>34.467147199999999</v>
          </cell>
        </row>
        <row r="35">
          <cell r="J35">
            <v>824.66112361617525</v>
          </cell>
          <cell r="M35">
            <v>1000</v>
          </cell>
        </row>
        <row r="37">
          <cell r="J37">
            <v>1034.014416</v>
          </cell>
        </row>
        <row r="39">
          <cell r="J39">
            <v>5548.1093688511146</v>
          </cell>
        </row>
        <row r="40">
          <cell r="J40">
            <v>0.84728416346297941</v>
          </cell>
        </row>
      </sheetData>
      <sheetData sheetId="6">
        <row r="3">
          <cell r="H3" t="str">
            <v>128to 25</v>
          </cell>
        </row>
        <row r="28">
          <cell r="J28">
            <v>15</v>
          </cell>
        </row>
        <row r="30">
          <cell r="K30">
            <v>192</v>
          </cell>
        </row>
        <row r="32">
          <cell r="E32">
            <v>15</v>
          </cell>
          <cell r="G32">
            <v>42.388940703999999</v>
          </cell>
        </row>
        <row r="35">
          <cell r="J35">
            <v>912.68398683235023</v>
          </cell>
          <cell r="M35">
            <v>500</v>
          </cell>
        </row>
        <row r="37">
          <cell r="J37">
            <v>1271.66822112</v>
          </cell>
        </row>
        <row r="39">
          <cell r="J39">
            <v>5169.1570376807085</v>
          </cell>
        </row>
        <row r="40">
          <cell r="J40">
            <v>0.91180346625138586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 of Room"/>
      <sheetName val="Summary"/>
      <sheetName val="Library"/>
      <sheetName val="Radio Operator Room"/>
      <sheetName val="Meeting Room"/>
      <sheetName val="Master Office"/>
      <sheetName val="Master"/>
    </sheetNames>
    <sheetDataSet>
      <sheetData sheetId="0"/>
      <sheetData sheetId="1"/>
      <sheetData sheetId="2">
        <row r="3">
          <cell r="H3" t="str">
            <v>15 to 18</v>
          </cell>
        </row>
        <row r="28">
          <cell r="J28">
            <v>30</v>
          </cell>
        </row>
        <row r="30">
          <cell r="K30">
            <v>122</v>
          </cell>
        </row>
        <row r="32">
          <cell r="E32">
            <v>30</v>
          </cell>
          <cell r="G32">
            <v>21.676162860000002</v>
          </cell>
        </row>
        <row r="35">
          <cell r="J35">
            <v>476.62656296617513</v>
          </cell>
          <cell r="M35">
            <v>1000</v>
          </cell>
        </row>
        <row r="37">
          <cell r="J37">
            <v>650.2848858000001</v>
          </cell>
        </row>
        <row r="39">
          <cell r="J39">
            <v>3269.3285159205843</v>
          </cell>
        </row>
        <row r="40">
          <cell r="J40">
            <v>0.76577112858124186</v>
          </cell>
        </row>
      </sheetData>
      <sheetData sheetId="3">
        <row r="3">
          <cell r="H3" t="str">
            <v>18 to 25</v>
          </cell>
        </row>
        <row r="28">
          <cell r="J28">
            <v>15</v>
          </cell>
        </row>
        <row r="30">
          <cell r="K30">
            <v>119</v>
          </cell>
        </row>
        <row r="32">
          <cell r="E32">
            <v>15</v>
          </cell>
          <cell r="G32">
            <v>37.838994755999991</v>
          </cell>
        </row>
        <row r="35">
          <cell r="J35">
            <v>758.12407576617511</v>
          </cell>
          <cell r="M35">
            <v>500</v>
          </cell>
        </row>
        <row r="37">
          <cell r="J37">
            <v>1135.1698426799996</v>
          </cell>
        </row>
        <row r="39">
          <cell r="J39">
            <v>3188.8261040410448</v>
          </cell>
        </row>
        <row r="40">
          <cell r="J40">
            <v>0.86445552435983397</v>
          </cell>
        </row>
      </sheetData>
      <sheetData sheetId="4">
        <row r="3">
          <cell r="H3" t="str">
            <v>19 to 25</v>
          </cell>
        </row>
        <row r="28">
          <cell r="J28">
            <v>90</v>
          </cell>
        </row>
        <row r="30">
          <cell r="K30">
            <v>165</v>
          </cell>
        </row>
        <row r="32">
          <cell r="E32">
            <v>90</v>
          </cell>
          <cell r="G32">
            <v>30.088124399999995</v>
          </cell>
        </row>
        <row r="35">
          <cell r="J35">
            <v>705.65220519852562</v>
          </cell>
          <cell r="M35">
            <v>3000</v>
          </cell>
        </row>
        <row r="37">
          <cell r="J37">
            <v>902.64373199999989</v>
          </cell>
        </row>
        <row r="39">
          <cell r="J39">
            <v>4453.5467464358644</v>
          </cell>
        </row>
        <row r="40">
          <cell r="J40">
            <v>0.59750705240635416</v>
          </cell>
        </row>
      </sheetData>
      <sheetData sheetId="5">
        <row r="3">
          <cell r="H3" t="str">
            <v>19 to 25</v>
          </cell>
        </row>
        <row r="28">
          <cell r="J28">
            <v>15</v>
          </cell>
        </row>
        <row r="30">
          <cell r="K30">
            <v>131</v>
          </cell>
        </row>
        <row r="32">
          <cell r="E32">
            <v>15</v>
          </cell>
          <cell r="G32">
            <v>32.194293108000004</v>
          </cell>
        </row>
        <row r="35">
          <cell r="J35">
            <v>719.95097538235052</v>
          </cell>
          <cell r="M35">
            <v>500</v>
          </cell>
        </row>
        <row r="37">
          <cell r="J37">
            <v>965.8287932400001</v>
          </cell>
        </row>
        <row r="39">
          <cell r="J39">
            <v>3521.6719109962296</v>
          </cell>
        </row>
        <row r="40">
          <cell r="J40">
            <v>0.87567359768138264</v>
          </cell>
        </row>
      </sheetData>
      <sheetData sheetId="6">
        <row r="3">
          <cell r="H3" t="str">
            <v>15 to 25</v>
          </cell>
        </row>
        <row r="28">
          <cell r="J28">
            <v>15</v>
          </cell>
        </row>
        <row r="30">
          <cell r="K30">
            <v>241</v>
          </cell>
        </row>
        <row r="32">
          <cell r="E32">
            <v>15</v>
          </cell>
          <cell r="G32">
            <v>53.107658448000002</v>
          </cell>
        </row>
        <row r="35">
          <cell r="J35">
            <v>1198.9821990323503</v>
          </cell>
          <cell r="M35">
            <v>500</v>
          </cell>
        </row>
        <row r="37">
          <cell r="J37">
            <v>1593.22975344</v>
          </cell>
        </row>
        <row r="39">
          <cell r="J39">
            <v>6489.7380786375088</v>
          </cell>
        </row>
        <row r="40">
          <cell r="J40">
            <v>0.9284665613539751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 of Room"/>
      <sheetName val="Summary"/>
      <sheetName val="Nav Room"/>
    </sheetNames>
    <sheetDataSet>
      <sheetData sheetId="0"/>
      <sheetData sheetId="1"/>
      <sheetData sheetId="2">
        <row r="3">
          <cell r="H3" t="str">
            <v>15 to 25</v>
          </cell>
        </row>
        <row r="31">
          <cell r="J31">
            <v>60</v>
          </cell>
        </row>
        <row r="33">
          <cell r="K33">
            <v>1294</v>
          </cell>
        </row>
        <row r="35">
          <cell r="E35">
            <v>60</v>
          </cell>
          <cell r="G35">
            <v>239.04379171199997</v>
          </cell>
        </row>
        <row r="38">
          <cell r="J38">
            <v>2755.4234402099996</v>
          </cell>
          <cell r="M38">
            <v>2000</v>
          </cell>
        </row>
        <row r="40">
          <cell r="J40">
            <v>7171.3137513599995</v>
          </cell>
        </row>
        <row r="42">
          <cell r="J42">
            <v>34930.508459175733</v>
          </cell>
        </row>
        <row r="43">
          <cell r="J43">
            <v>0.94584423330616019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D17A-DEEF-4A7D-9D38-D665D5788F6D}">
  <sheetPr codeName="Sheet1"/>
  <dimension ref="A1:Q45"/>
  <sheetViews>
    <sheetView topLeftCell="A46" zoomScale="104" workbookViewId="0">
      <selection activeCell="G58" sqref="G58"/>
    </sheetView>
  </sheetViews>
  <sheetFormatPr defaultRowHeight="14.4" x14ac:dyDescent="0.3"/>
  <sheetData>
    <row r="1" spans="1:17" x14ac:dyDescent="0.3">
      <c r="A1" s="127"/>
      <c r="B1" s="128"/>
      <c r="C1" s="133" t="s">
        <v>4</v>
      </c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4"/>
      <c r="O1" s="2"/>
      <c r="P1" s="2"/>
      <c r="Q1" s="2"/>
    </row>
    <row r="2" spans="1:17" x14ac:dyDescent="0.3">
      <c r="A2" s="129"/>
      <c r="B2" s="130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6"/>
      <c r="O2" s="2"/>
      <c r="P2" s="2"/>
      <c r="Q2" s="2"/>
    </row>
    <row r="3" spans="1:17" x14ac:dyDescent="0.3">
      <c r="A3" s="129"/>
      <c r="B3" s="130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6"/>
      <c r="O3" s="2"/>
      <c r="P3" s="2"/>
      <c r="Q3" s="2"/>
    </row>
    <row r="4" spans="1:17" ht="15" thickBot="1" x14ac:dyDescent="0.35">
      <c r="A4" s="129"/>
      <c r="B4" s="130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8"/>
      <c r="O4" s="2"/>
      <c r="P4" s="2"/>
      <c r="Q4" s="2"/>
    </row>
    <row r="5" spans="1:17" x14ac:dyDescent="0.3">
      <c r="A5" s="129"/>
      <c r="B5" s="130"/>
      <c r="C5" s="3" t="s">
        <v>5</v>
      </c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2"/>
      <c r="P5" s="2"/>
      <c r="Q5" s="2"/>
    </row>
    <row r="6" spans="1:17" ht="16.2" thickBot="1" x14ac:dyDescent="0.35">
      <c r="A6" s="131"/>
      <c r="B6" s="132"/>
      <c r="C6" s="139" t="s">
        <v>6</v>
      </c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40"/>
      <c r="O6" s="2"/>
      <c r="P6" s="2"/>
      <c r="Q6" s="2"/>
    </row>
    <row r="7" spans="1:17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3">
      <c r="A8" s="2"/>
      <c r="B8" s="5" t="s">
        <v>7</v>
      </c>
      <c r="C8" s="141" t="s">
        <v>8</v>
      </c>
      <c r="D8" s="142"/>
      <c r="E8" s="143" t="s">
        <v>9</v>
      </c>
      <c r="F8" s="143"/>
      <c r="G8" s="143"/>
      <c r="H8" s="142"/>
      <c r="I8" s="5" t="s">
        <v>10</v>
      </c>
      <c r="J8" s="5" t="s">
        <v>11</v>
      </c>
      <c r="K8" s="5" t="s">
        <v>12</v>
      </c>
      <c r="L8" s="5" t="s">
        <v>13</v>
      </c>
      <c r="M8" s="5" t="s">
        <v>14</v>
      </c>
      <c r="N8" s="2"/>
      <c r="O8" s="2"/>
      <c r="P8" s="2"/>
      <c r="Q8" s="2"/>
    </row>
    <row r="9" spans="1:17" x14ac:dyDescent="0.3">
      <c r="A9" s="2"/>
      <c r="B9" s="6"/>
      <c r="C9" s="7"/>
      <c r="D9" s="8"/>
      <c r="E9" s="9"/>
      <c r="F9" s="9"/>
      <c r="G9" s="9"/>
      <c r="H9" s="8"/>
      <c r="I9" s="10"/>
      <c r="J9" s="10"/>
      <c r="K9" s="10"/>
      <c r="L9" s="10"/>
      <c r="M9" s="10"/>
      <c r="N9" s="2"/>
      <c r="O9" s="2"/>
      <c r="P9" s="2"/>
      <c r="Q9" s="2"/>
    </row>
    <row r="10" spans="1:17" x14ac:dyDescent="0.3">
      <c r="A10" s="2"/>
      <c r="B10" s="11"/>
      <c r="C10" s="144" t="s">
        <v>15</v>
      </c>
      <c r="D10" s="145"/>
      <c r="E10" s="12"/>
      <c r="F10" s="12"/>
      <c r="G10" s="12"/>
      <c r="H10" s="12"/>
      <c r="I10" s="12"/>
      <c r="J10" s="12"/>
      <c r="K10" s="12"/>
      <c r="L10" s="12"/>
      <c r="M10" s="13"/>
      <c r="N10" s="2"/>
      <c r="O10" s="2"/>
      <c r="P10" s="2"/>
      <c r="Q10" s="2"/>
    </row>
    <row r="11" spans="1:17" ht="15.6" x14ac:dyDescent="0.3">
      <c r="A11" s="2"/>
      <c r="B11" s="14">
        <v>1</v>
      </c>
      <c r="C11" s="146"/>
      <c r="D11" s="147"/>
      <c r="E11" s="15" t="s">
        <v>3</v>
      </c>
      <c r="F11" s="16"/>
      <c r="G11" s="16"/>
      <c r="H11" s="17"/>
      <c r="I11" s="18">
        <v>4.6399999999999997</v>
      </c>
      <c r="J11" s="18">
        <v>3.98</v>
      </c>
      <c r="K11" s="18">
        <v>2.5</v>
      </c>
      <c r="L11" s="1">
        <f>I11*J11</f>
        <v>18.467199999999998</v>
      </c>
      <c r="M11" s="1">
        <f>L11*K11</f>
        <v>46.167999999999992</v>
      </c>
      <c r="N11" s="2"/>
      <c r="O11" s="2"/>
      <c r="P11" s="2"/>
      <c r="Q11" s="2"/>
    </row>
    <row r="12" spans="1:17" ht="15.6" x14ac:dyDescent="0.3">
      <c r="A12" s="2"/>
      <c r="B12" s="14">
        <v>2</v>
      </c>
      <c r="C12" s="146"/>
      <c r="D12" s="147"/>
      <c r="E12" s="15" t="s">
        <v>16</v>
      </c>
      <c r="F12" s="3"/>
      <c r="G12" s="3"/>
      <c r="H12" s="19"/>
      <c r="I12" s="18">
        <v>3</v>
      </c>
      <c r="J12" s="18">
        <v>4.0999999999999996</v>
      </c>
      <c r="K12" s="18">
        <v>2.5</v>
      </c>
      <c r="L12" s="1">
        <f t="shared" ref="L12:L17" si="0">I12*J12</f>
        <v>12.299999999999999</v>
      </c>
      <c r="M12" s="1">
        <f t="shared" ref="M12:M17" si="1">L12*K12</f>
        <v>30.749999999999996</v>
      </c>
      <c r="N12" s="2"/>
      <c r="O12" s="2"/>
      <c r="P12" s="2"/>
      <c r="Q12" s="2"/>
    </row>
    <row r="13" spans="1:17" ht="15.6" x14ac:dyDescent="0.3">
      <c r="A13" s="2"/>
      <c r="B13" s="14">
        <v>3</v>
      </c>
      <c r="C13" s="146"/>
      <c r="D13" s="147"/>
      <c r="E13" s="15" t="s">
        <v>17</v>
      </c>
      <c r="F13" s="16"/>
      <c r="G13" s="16"/>
      <c r="H13" s="17"/>
      <c r="I13" s="18">
        <v>3</v>
      </c>
      <c r="J13" s="18">
        <v>4.24</v>
      </c>
      <c r="K13" s="18">
        <v>2.5</v>
      </c>
      <c r="L13" s="1">
        <f t="shared" si="0"/>
        <v>12.72</v>
      </c>
      <c r="M13" s="1">
        <f t="shared" si="1"/>
        <v>31.8</v>
      </c>
      <c r="N13" s="2"/>
      <c r="O13" s="2"/>
      <c r="P13" s="2"/>
      <c r="Q13" s="2"/>
    </row>
    <row r="14" spans="1:17" ht="15.6" x14ac:dyDescent="0.3">
      <c r="A14" s="2"/>
      <c r="B14" s="14">
        <v>4</v>
      </c>
      <c r="C14" s="146"/>
      <c r="D14" s="147"/>
      <c r="E14" s="15" t="s">
        <v>18</v>
      </c>
      <c r="F14" s="3"/>
      <c r="G14" s="3"/>
      <c r="H14" s="19"/>
      <c r="I14" s="18">
        <v>3</v>
      </c>
      <c r="J14" s="18">
        <v>4.0999999999999996</v>
      </c>
      <c r="K14" s="18">
        <v>2.5</v>
      </c>
      <c r="L14" s="1">
        <f t="shared" si="0"/>
        <v>12.299999999999999</v>
      </c>
      <c r="M14" s="1">
        <f t="shared" si="1"/>
        <v>30.749999999999996</v>
      </c>
      <c r="N14" s="2"/>
      <c r="O14" s="2"/>
      <c r="P14" s="2"/>
      <c r="Q14" s="2"/>
    </row>
    <row r="15" spans="1:17" ht="15.6" x14ac:dyDescent="0.3">
      <c r="A15" s="2"/>
      <c r="B15" s="14">
        <v>5</v>
      </c>
      <c r="C15" s="146"/>
      <c r="D15" s="147"/>
      <c r="E15" s="15" t="s">
        <v>19</v>
      </c>
      <c r="F15" s="16"/>
      <c r="G15" s="16"/>
      <c r="H15" s="17"/>
      <c r="I15" s="18">
        <v>3</v>
      </c>
      <c r="J15" s="18">
        <v>4.2</v>
      </c>
      <c r="K15" s="18">
        <v>2.5</v>
      </c>
      <c r="L15" s="1">
        <f t="shared" si="0"/>
        <v>12.600000000000001</v>
      </c>
      <c r="M15" s="1">
        <f t="shared" si="1"/>
        <v>31.500000000000004</v>
      </c>
      <c r="N15" s="2"/>
      <c r="O15" s="2"/>
      <c r="P15" s="2"/>
      <c r="Q15" s="2"/>
    </row>
    <row r="16" spans="1:17" ht="15.6" x14ac:dyDescent="0.3">
      <c r="A16" s="2"/>
      <c r="B16" s="14">
        <v>6</v>
      </c>
      <c r="C16" s="146"/>
      <c r="D16" s="147"/>
      <c r="E16" s="15" t="s">
        <v>20</v>
      </c>
      <c r="F16" s="3"/>
      <c r="G16" s="3"/>
      <c r="H16" s="19"/>
      <c r="I16" s="18">
        <v>3</v>
      </c>
      <c r="J16" s="18">
        <v>4.24</v>
      </c>
      <c r="K16" s="18">
        <v>2.5</v>
      </c>
      <c r="L16" s="1">
        <f t="shared" si="0"/>
        <v>12.72</v>
      </c>
      <c r="M16" s="1">
        <f t="shared" si="1"/>
        <v>31.8</v>
      </c>
      <c r="N16" s="2"/>
      <c r="O16" s="2"/>
      <c r="P16" s="2"/>
      <c r="Q16" s="2"/>
    </row>
    <row r="17" spans="1:17" ht="15.6" x14ac:dyDescent="0.3">
      <c r="A17" s="2"/>
      <c r="B17" s="14">
        <v>7</v>
      </c>
      <c r="C17" s="146"/>
      <c r="D17" s="147"/>
      <c r="E17" s="15" t="s">
        <v>21</v>
      </c>
      <c r="F17" s="16"/>
      <c r="G17" s="16"/>
      <c r="H17" s="17"/>
      <c r="I17" s="18">
        <v>3</v>
      </c>
      <c r="J17" s="18">
        <v>4.2</v>
      </c>
      <c r="K17" s="18">
        <v>2.5</v>
      </c>
      <c r="L17" s="1">
        <f t="shared" si="0"/>
        <v>12.600000000000001</v>
      </c>
      <c r="M17" s="1">
        <f t="shared" si="1"/>
        <v>31.500000000000004</v>
      </c>
      <c r="N17" s="2"/>
      <c r="O17" s="2"/>
      <c r="P17" s="2"/>
      <c r="Q17" s="2"/>
    </row>
    <row r="18" spans="1:17" x14ac:dyDescent="0.3">
      <c r="A18" s="2"/>
      <c r="B18" s="20"/>
      <c r="C18" s="148"/>
      <c r="D18" s="149"/>
      <c r="E18" s="21"/>
      <c r="F18" s="21"/>
      <c r="G18" s="21"/>
      <c r="H18" s="21"/>
      <c r="I18" s="21"/>
      <c r="J18" s="21"/>
      <c r="K18" s="21"/>
      <c r="L18" s="21"/>
      <c r="M18" s="22"/>
      <c r="N18" s="2"/>
      <c r="O18" s="2"/>
      <c r="P18" s="2"/>
      <c r="Q18" s="2"/>
    </row>
    <row r="19" spans="1:17" x14ac:dyDescent="0.3">
      <c r="A19" s="2"/>
      <c r="B19" s="11"/>
      <c r="C19" s="103" t="s">
        <v>22</v>
      </c>
      <c r="D19" s="104"/>
      <c r="E19" s="23"/>
      <c r="F19" s="23"/>
      <c r="G19" s="23"/>
      <c r="H19" s="23"/>
      <c r="I19" s="23"/>
      <c r="J19" s="23"/>
      <c r="K19" s="23"/>
      <c r="L19" s="23"/>
      <c r="M19" s="24"/>
      <c r="N19" s="2"/>
      <c r="O19" s="2"/>
      <c r="P19" s="2"/>
      <c r="Q19" s="2"/>
    </row>
    <row r="20" spans="1:17" ht="15.6" x14ac:dyDescent="0.3">
      <c r="A20" s="2"/>
      <c r="B20" s="14">
        <v>1</v>
      </c>
      <c r="C20" s="105"/>
      <c r="D20" s="106"/>
      <c r="E20" s="25" t="s">
        <v>23</v>
      </c>
      <c r="F20" s="16"/>
      <c r="G20" s="16"/>
      <c r="H20" s="17"/>
      <c r="I20" s="18">
        <v>3</v>
      </c>
      <c r="J20" s="18">
        <v>3.4</v>
      </c>
      <c r="K20" s="18">
        <v>2.4</v>
      </c>
      <c r="L20" s="1">
        <f>I20*J20</f>
        <v>10.199999999999999</v>
      </c>
      <c r="M20" s="1">
        <f>L20*K20</f>
        <v>24.479999999999997</v>
      </c>
      <c r="N20" s="2"/>
      <c r="O20" s="2"/>
      <c r="P20" s="2"/>
      <c r="Q20" s="2"/>
    </row>
    <row r="21" spans="1:17" ht="15.6" x14ac:dyDescent="0.3">
      <c r="A21" s="2"/>
      <c r="B21" s="14">
        <v>2</v>
      </c>
      <c r="C21" s="105"/>
      <c r="D21" s="106"/>
      <c r="E21" s="25" t="s">
        <v>24</v>
      </c>
      <c r="F21" s="16"/>
      <c r="G21" s="16"/>
      <c r="H21" s="17"/>
      <c r="I21" s="18">
        <v>3</v>
      </c>
      <c r="J21" s="18">
        <v>3.4</v>
      </c>
      <c r="K21" s="18">
        <v>2.4</v>
      </c>
      <c r="L21" s="1">
        <f t="shared" ref="L21:L25" si="2">I21*J21</f>
        <v>10.199999999999999</v>
      </c>
      <c r="M21" s="1">
        <f t="shared" ref="M21:M25" si="3">L21*K21</f>
        <v>24.479999999999997</v>
      </c>
      <c r="N21" s="2"/>
      <c r="O21" s="2"/>
      <c r="P21" s="2"/>
      <c r="Q21" s="2"/>
    </row>
    <row r="22" spans="1:17" ht="15.6" x14ac:dyDescent="0.3">
      <c r="A22" s="2"/>
      <c r="B22" s="14">
        <v>3</v>
      </c>
      <c r="C22" s="105"/>
      <c r="D22" s="106"/>
      <c r="E22" s="25" t="s">
        <v>25</v>
      </c>
      <c r="F22" s="16"/>
      <c r="G22" s="16"/>
      <c r="H22" s="17"/>
      <c r="I22" s="18">
        <v>3</v>
      </c>
      <c r="J22" s="18">
        <v>3.4</v>
      </c>
      <c r="K22" s="18">
        <v>2.4</v>
      </c>
      <c r="L22" s="1">
        <f t="shared" si="2"/>
        <v>10.199999999999999</v>
      </c>
      <c r="M22" s="1">
        <f t="shared" si="3"/>
        <v>24.479999999999997</v>
      </c>
      <c r="N22" s="2"/>
      <c r="O22" s="2"/>
      <c r="P22" s="2"/>
      <c r="Q22" s="2"/>
    </row>
    <row r="23" spans="1:17" ht="15.6" x14ac:dyDescent="0.3">
      <c r="A23" s="2"/>
      <c r="B23" s="14">
        <v>4</v>
      </c>
      <c r="C23" s="105"/>
      <c r="D23" s="106"/>
      <c r="E23" s="25" t="s">
        <v>26</v>
      </c>
      <c r="F23" s="16"/>
      <c r="G23" s="16"/>
      <c r="H23" s="17"/>
      <c r="I23" s="18">
        <v>3</v>
      </c>
      <c r="J23" s="18">
        <v>3.4</v>
      </c>
      <c r="K23" s="18">
        <v>2.4</v>
      </c>
      <c r="L23" s="1">
        <f t="shared" si="2"/>
        <v>10.199999999999999</v>
      </c>
      <c r="M23" s="1">
        <f t="shared" si="3"/>
        <v>24.479999999999997</v>
      </c>
      <c r="N23" s="2"/>
      <c r="O23" s="2"/>
      <c r="P23" s="2"/>
      <c r="Q23" s="2"/>
    </row>
    <row r="24" spans="1:17" ht="15.6" x14ac:dyDescent="0.3">
      <c r="A24" s="2"/>
      <c r="B24" s="14">
        <v>5</v>
      </c>
      <c r="C24" s="105"/>
      <c r="D24" s="106"/>
      <c r="E24" s="25" t="s">
        <v>27</v>
      </c>
      <c r="F24" s="16"/>
      <c r="G24" s="16"/>
      <c r="H24" s="17"/>
      <c r="I24" s="18">
        <v>3.5</v>
      </c>
      <c r="J24" s="18">
        <v>4</v>
      </c>
      <c r="K24" s="18">
        <v>2.4</v>
      </c>
      <c r="L24" s="1">
        <f t="shared" si="2"/>
        <v>14</v>
      </c>
      <c r="M24" s="1">
        <f t="shared" si="3"/>
        <v>33.6</v>
      </c>
      <c r="N24" s="2"/>
      <c r="O24" s="2"/>
      <c r="P24" s="2"/>
      <c r="Q24" s="2"/>
    </row>
    <row r="25" spans="1:17" ht="15.6" x14ac:dyDescent="0.3">
      <c r="A25" s="2"/>
      <c r="B25" s="14">
        <v>6</v>
      </c>
      <c r="C25" s="105"/>
      <c r="D25" s="106"/>
      <c r="E25" s="25" t="s">
        <v>3</v>
      </c>
      <c r="F25" s="16"/>
      <c r="G25" s="16"/>
      <c r="H25" s="17"/>
      <c r="I25" s="18">
        <v>3.5</v>
      </c>
      <c r="J25" s="18">
        <v>3.4</v>
      </c>
      <c r="K25" s="18">
        <v>2.4</v>
      </c>
      <c r="L25" s="1">
        <f t="shared" si="2"/>
        <v>11.9</v>
      </c>
      <c r="M25" s="1">
        <f t="shared" si="3"/>
        <v>28.56</v>
      </c>
      <c r="N25" s="2"/>
      <c r="O25" s="2"/>
      <c r="P25" s="2"/>
      <c r="Q25" s="2"/>
    </row>
    <row r="26" spans="1:17" x14ac:dyDescent="0.3">
      <c r="A26" s="2"/>
      <c r="B26" s="20"/>
      <c r="C26" s="107"/>
      <c r="D26" s="108"/>
      <c r="E26" s="23"/>
      <c r="F26" s="23"/>
      <c r="G26" s="23"/>
      <c r="H26" s="23"/>
      <c r="I26" s="23"/>
      <c r="J26" s="23"/>
      <c r="K26" s="23"/>
      <c r="L26" s="23"/>
      <c r="M26" s="24"/>
      <c r="N26" s="2"/>
      <c r="O26" s="2"/>
      <c r="P26" s="2"/>
      <c r="Q26" s="2"/>
    </row>
    <row r="27" spans="1:17" x14ac:dyDescent="0.3">
      <c r="A27" s="2"/>
      <c r="B27" s="11"/>
      <c r="C27" s="109" t="s">
        <v>28</v>
      </c>
      <c r="D27" s="110"/>
      <c r="E27" s="26"/>
      <c r="F27" s="26"/>
      <c r="G27" s="26"/>
      <c r="H27" s="26"/>
      <c r="I27" s="26"/>
      <c r="J27" s="26"/>
      <c r="K27" s="26"/>
      <c r="L27" s="26"/>
      <c r="M27" s="27"/>
      <c r="N27" s="2"/>
      <c r="O27" s="2"/>
      <c r="P27" s="2"/>
      <c r="Q27" s="2"/>
    </row>
    <row r="28" spans="1:17" ht="15.6" x14ac:dyDescent="0.3">
      <c r="A28" s="2"/>
      <c r="B28" s="14">
        <v>1</v>
      </c>
      <c r="C28" s="111"/>
      <c r="D28" s="112"/>
      <c r="E28" s="25" t="s">
        <v>29</v>
      </c>
      <c r="F28" s="28"/>
      <c r="G28" s="29"/>
      <c r="H28" s="28"/>
      <c r="I28" s="18">
        <v>3.55</v>
      </c>
      <c r="J28" s="18">
        <v>5</v>
      </c>
      <c r="K28" s="18">
        <v>2.4</v>
      </c>
      <c r="L28" s="1">
        <f>I28*J28</f>
        <v>17.75</v>
      </c>
      <c r="M28" s="1">
        <f>L28*K28</f>
        <v>42.6</v>
      </c>
      <c r="N28" s="2"/>
      <c r="O28" s="2"/>
      <c r="P28" s="2"/>
      <c r="Q28" s="2"/>
    </row>
    <row r="29" spans="1:17" ht="15.6" x14ac:dyDescent="0.3">
      <c r="A29" s="2"/>
      <c r="B29" s="14">
        <v>2</v>
      </c>
      <c r="C29" s="111"/>
      <c r="D29" s="112"/>
      <c r="E29" s="25" t="s">
        <v>30</v>
      </c>
      <c r="F29" s="30"/>
      <c r="G29" s="31"/>
      <c r="H29" s="17"/>
      <c r="I29" s="18">
        <v>4.4000000000000004</v>
      </c>
      <c r="J29" s="18">
        <v>3.41</v>
      </c>
      <c r="K29" s="18">
        <v>2.4</v>
      </c>
      <c r="L29" s="1">
        <f t="shared" ref="L29:L32" si="4">I29*J29</f>
        <v>15.004000000000001</v>
      </c>
      <c r="M29" s="1">
        <f t="shared" ref="M29:M32" si="5">L29*K29</f>
        <v>36.009599999999999</v>
      </c>
      <c r="N29" s="2"/>
      <c r="O29" s="2"/>
      <c r="P29" s="2"/>
      <c r="Q29" s="2"/>
    </row>
    <row r="30" spans="1:17" ht="15.6" x14ac:dyDescent="0.3">
      <c r="A30" s="2"/>
      <c r="B30" s="14">
        <v>3</v>
      </c>
      <c r="C30" s="111"/>
      <c r="D30" s="112"/>
      <c r="E30" s="25" t="s">
        <v>31</v>
      </c>
      <c r="F30" s="30"/>
      <c r="G30" s="31"/>
      <c r="H30" s="17"/>
      <c r="I30" s="18">
        <v>4.4000000000000004</v>
      </c>
      <c r="J30" s="18">
        <v>3.41</v>
      </c>
      <c r="K30" s="18">
        <v>2.4</v>
      </c>
      <c r="L30" s="1">
        <f t="shared" si="4"/>
        <v>15.004000000000001</v>
      </c>
      <c r="M30" s="1">
        <f t="shared" si="5"/>
        <v>36.009599999999999</v>
      </c>
      <c r="N30" s="2"/>
      <c r="O30" s="2"/>
      <c r="P30" s="2"/>
      <c r="Q30" s="2"/>
    </row>
    <row r="31" spans="1:17" ht="15.6" x14ac:dyDescent="0.3">
      <c r="A31" s="2"/>
      <c r="B31" s="14">
        <v>4</v>
      </c>
      <c r="C31" s="111"/>
      <c r="D31" s="112"/>
      <c r="E31" s="25" t="s">
        <v>32</v>
      </c>
      <c r="F31" s="30"/>
      <c r="G31" s="31"/>
      <c r="H31" s="17"/>
      <c r="I31" s="18">
        <v>4</v>
      </c>
      <c r="J31" s="18">
        <v>3.41</v>
      </c>
      <c r="K31" s="18">
        <v>2.4</v>
      </c>
      <c r="L31" s="1">
        <f t="shared" si="4"/>
        <v>13.64</v>
      </c>
      <c r="M31" s="1">
        <f t="shared" si="5"/>
        <v>32.735999999999997</v>
      </c>
      <c r="N31" s="2"/>
      <c r="O31" s="2"/>
      <c r="P31" s="2"/>
      <c r="Q31" s="2"/>
    </row>
    <row r="32" spans="1:17" ht="15.6" x14ac:dyDescent="0.3">
      <c r="A32" s="2"/>
      <c r="B32" s="14">
        <v>5</v>
      </c>
      <c r="C32" s="111"/>
      <c r="D32" s="112"/>
      <c r="E32" s="25" t="s">
        <v>33</v>
      </c>
      <c r="F32" s="30"/>
      <c r="G32" s="16"/>
      <c r="H32" s="17"/>
      <c r="I32" s="18">
        <v>4</v>
      </c>
      <c r="J32" s="18">
        <v>3.41</v>
      </c>
      <c r="K32" s="18">
        <v>2.4</v>
      </c>
      <c r="L32" s="1">
        <f t="shared" si="4"/>
        <v>13.64</v>
      </c>
      <c r="M32" s="1">
        <f t="shared" si="5"/>
        <v>32.735999999999997</v>
      </c>
      <c r="N32" s="2"/>
      <c r="O32" s="2"/>
      <c r="P32" s="2"/>
      <c r="Q32" s="2"/>
    </row>
    <row r="33" spans="1:17" x14ac:dyDescent="0.3">
      <c r="A33" s="2"/>
      <c r="B33" s="20"/>
      <c r="C33" s="113"/>
      <c r="D33" s="114"/>
      <c r="E33" s="32"/>
      <c r="F33" s="32"/>
      <c r="G33" s="32"/>
      <c r="H33" s="32"/>
      <c r="I33" s="32"/>
      <c r="J33" s="32"/>
      <c r="K33" s="32"/>
      <c r="L33" s="32"/>
      <c r="M33" s="33"/>
      <c r="N33" s="2"/>
      <c r="O33" s="2"/>
      <c r="P33" s="2"/>
      <c r="Q33" s="2"/>
    </row>
    <row r="34" spans="1:17" x14ac:dyDescent="0.3">
      <c r="A34" s="2"/>
      <c r="B34" s="11"/>
      <c r="C34" s="115" t="s">
        <v>34</v>
      </c>
      <c r="D34" s="116"/>
      <c r="E34" s="34"/>
      <c r="F34" s="34"/>
      <c r="G34" s="34"/>
      <c r="H34" s="34"/>
      <c r="I34" s="34"/>
      <c r="J34" s="34"/>
      <c r="K34" s="34"/>
      <c r="L34" s="34"/>
      <c r="M34" s="35"/>
      <c r="N34" s="2"/>
      <c r="O34" s="2"/>
      <c r="P34" s="2"/>
      <c r="Q34" s="2"/>
    </row>
    <row r="35" spans="1:17" ht="15.6" x14ac:dyDescent="0.3">
      <c r="A35" s="2"/>
      <c r="B35" s="14">
        <v>1</v>
      </c>
      <c r="C35" s="117"/>
      <c r="D35" s="118"/>
      <c r="E35" s="25" t="s">
        <v>35</v>
      </c>
      <c r="F35" s="16"/>
      <c r="G35" s="16"/>
      <c r="H35" s="17"/>
      <c r="I35" s="18">
        <v>6.6</v>
      </c>
      <c r="J35" s="18">
        <v>3.23</v>
      </c>
      <c r="K35" s="18">
        <v>2.4</v>
      </c>
      <c r="L35" s="1">
        <f>I35*J35</f>
        <v>21.317999999999998</v>
      </c>
      <c r="M35" s="1">
        <f>L35*K35</f>
        <v>51.163199999999996</v>
      </c>
      <c r="N35" s="2"/>
      <c r="O35" s="2"/>
      <c r="P35" s="2"/>
      <c r="Q35" s="2"/>
    </row>
    <row r="36" spans="1:17" ht="15.6" x14ac:dyDescent="0.3">
      <c r="A36" s="2"/>
      <c r="B36" s="14">
        <v>2</v>
      </c>
      <c r="C36" s="117"/>
      <c r="D36" s="118"/>
      <c r="E36" s="25" t="s">
        <v>36</v>
      </c>
      <c r="F36" s="16"/>
      <c r="G36" s="16"/>
      <c r="H36" s="17"/>
      <c r="I36" s="18">
        <v>3.55</v>
      </c>
      <c r="J36" s="18">
        <v>2.98</v>
      </c>
      <c r="K36" s="18">
        <v>2.4</v>
      </c>
      <c r="L36" s="1">
        <f t="shared" ref="L36:L39" si="6">I36*J36</f>
        <v>10.578999999999999</v>
      </c>
      <c r="M36" s="1">
        <f t="shared" ref="M36:M39" si="7">L36*K36</f>
        <v>25.389599999999998</v>
      </c>
      <c r="N36" s="2"/>
      <c r="O36" s="2"/>
      <c r="P36" s="2"/>
      <c r="Q36" s="2"/>
    </row>
    <row r="37" spans="1:17" ht="15.6" x14ac:dyDescent="0.3">
      <c r="A37" s="2"/>
      <c r="B37" s="14">
        <v>3</v>
      </c>
      <c r="C37" s="117"/>
      <c r="D37" s="118"/>
      <c r="E37" s="25" t="s">
        <v>37</v>
      </c>
      <c r="F37" s="16"/>
      <c r="G37" s="16"/>
      <c r="H37" s="17"/>
      <c r="I37" s="18">
        <v>3.55</v>
      </c>
      <c r="J37" s="18">
        <v>3.2</v>
      </c>
      <c r="K37" s="18">
        <v>2.4</v>
      </c>
      <c r="L37" s="1">
        <f t="shared" si="6"/>
        <v>11.36</v>
      </c>
      <c r="M37" s="1">
        <f t="shared" si="7"/>
        <v>27.263999999999999</v>
      </c>
      <c r="N37" s="2"/>
      <c r="O37" s="2"/>
      <c r="P37" s="2"/>
      <c r="Q37" s="2"/>
    </row>
    <row r="38" spans="1:17" ht="15.6" x14ac:dyDescent="0.3">
      <c r="A38" s="2"/>
      <c r="B38" s="14">
        <v>4</v>
      </c>
      <c r="C38" s="117"/>
      <c r="D38" s="118"/>
      <c r="E38" s="36" t="s">
        <v>38</v>
      </c>
      <c r="F38" s="16"/>
      <c r="G38" s="16"/>
      <c r="H38" s="17"/>
      <c r="I38" s="18">
        <v>4.3499999999999996</v>
      </c>
      <c r="J38" s="18">
        <v>3.41</v>
      </c>
      <c r="K38" s="18">
        <v>2.4</v>
      </c>
      <c r="L38" s="1">
        <f t="shared" si="6"/>
        <v>14.833499999999999</v>
      </c>
      <c r="M38" s="1">
        <f t="shared" si="7"/>
        <v>35.600399999999993</v>
      </c>
      <c r="N38" s="2"/>
      <c r="O38" s="2"/>
      <c r="P38" s="2"/>
      <c r="Q38" s="2"/>
    </row>
    <row r="39" spans="1:17" ht="15.6" x14ac:dyDescent="0.3">
      <c r="A39" s="2"/>
      <c r="B39" s="14">
        <v>5</v>
      </c>
      <c r="C39" s="117"/>
      <c r="D39" s="118"/>
      <c r="E39" s="37" t="s">
        <v>39</v>
      </c>
      <c r="F39" s="16"/>
      <c r="G39" s="16"/>
      <c r="H39" s="17"/>
      <c r="I39" s="18">
        <v>2.25</v>
      </c>
      <c r="J39" s="18">
        <v>3.41</v>
      </c>
      <c r="K39" s="18">
        <v>2.4</v>
      </c>
      <c r="L39" s="1">
        <f t="shared" si="6"/>
        <v>7.6725000000000003</v>
      </c>
      <c r="M39" s="1">
        <f t="shared" si="7"/>
        <v>18.414000000000001</v>
      </c>
      <c r="N39" s="2"/>
      <c r="O39" s="2"/>
      <c r="P39" s="2"/>
      <c r="Q39" s="2"/>
    </row>
    <row r="40" spans="1:17" x14ac:dyDescent="0.3">
      <c r="A40" s="2"/>
      <c r="B40" s="20"/>
      <c r="C40" s="119"/>
      <c r="D40" s="120"/>
      <c r="E40" s="38"/>
      <c r="F40" s="38"/>
      <c r="G40" s="38"/>
      <c r="H40" s="38"/>
      <c r="I40" s="38"/>
      <c r="J40" s="38"/>
      <c r="K40" s="38"/>
      <c r="L40" s="38"/>
      <c r="M40" s="35"/>
      <c r="N40" s="2"/>
      <c r="O40" s="2"/>
      <c r="P40" s="2"/>
      <c r="Q40" s="2"/>
    </row>
    <row r="41" spans="1:17" x14ac:dyDescent="0.3">
      <c r="A41" s="2"/>
      <c r="B41" s="14"/>
      <c r="C41" s="121" t="s">
        <v>40</v>
      </c>
      <c r="D41" s="122"/>
      <c r="E41" s="39"/>
      <c r="F41" s="39"/>
      <c r="G41" s="40"/>
      <c r="H41" s="39"/>
      <c r="I41" s="39"/>
      <c r="J41" s="39"/>
      <c r="K41" s="39"/>
      <c r="L41" s="39"/>
      <c r="M41" s="41"/>
      <c r="N41" s="2"/>
      <c r="O41" s="2"/>
      <c r="P41" s="2"/>
      <c r="Q41" s="2"/>
    </row>
    <row r="42" spans="1:17" ht="15.6" x14ac:dyDescent="0.3">
      <c r="A42" s="2"/>
      <c r="B42" s="14">
        <v>1</v>
      </c>
      <c r="C42" s="123"/>
      <c r="D42" s="124"/>
      <c r="E42" s="25" t="s">
        <v>41</v>
      </c>
      <c r="F42" s="30"/>
      <c r="G42" s="31"/>
      <c r="H42" s="17"/>
      <c r="I42" s="28">
        <v>6.9249999999999998</v>
      </c>
      <c r="J42" s="28">
        <v>3.7170000000000001</v>
      </c>
      <c r="K42" s="28">
        <v>2.5</v>
      </c>
      <c r="L42" s="42">
        <f t="shared" ref="L42:L43" si="8">I42*J42</f>
        <v>25.740224999999999</v>
      </c>
      <c r="M42" s="43">
        <f t="shared" ref="M42:M43" si="9">K42*L42</f>
        <v>64.350562499999995</v>
      </c>
      <c r="N42" s="2"/>
      <c r="O42" s="2"/>
      <c r="P42" s="2"/>
      <c r="Q42" s="2"/>
    </row>
    <row r="43" spans="1:17" ht="15.6" x14ac:dyDescent="0.3">
      <c r="A43" s="2"/>
      <c r="B43" s="14">
        <v>2</v>
      </c>
      <c r="C43" s="123"/>
      <c r="D43" s="124"/>
      <c r="E43" s="25" t="s">
        <v>42</v>
      </c>
      <c r="F43" s="30"/>
      <c r="G43" s="16"/>
      <c r="H43" s="17"/>
      <c r="I43" s="28">
        <v>6.9249999999999998</v>
      </c>
      <c r="J43" s="28">
        <v>3.7170000000000001</v>
      </c>
      <c r="K43" s="28">
        <v>2.5</v>
      </c>
      <c r="L43" s="42">
        <f t="shared" si="8"/>
        <v>25.740224999999999</v>
      </c>
      <c r="M43" s="43">
        <f t="shared" si="9"/>
        <v>64.350562499999995</v>
      </c>
      <c r="N43" s="2"/>
      <c r="O43" s="2"/>
      <c r="P43" s="2"/>
      <c r="Q43" s="2"/>
    </row>
    <row r="44" spans="1:17" x14ac:dyDescent="0.3">
      <c r="A44" s="2"/>
      <c r="B44" s="20"/>
      <c r="C44" s="125"/>
      <c r="D44" s="126"/>
      <c r="E44" s="39"/>
      <c r="F44" s="39"/>
      <c r="G44" s="44"/>
      <c r="H44" s="39"/>
      <c r="I44" s="39"/>
      <c r="J44" s="39"/>
      <c r="K44" s="39"/>
      <c r="L44" s="39"/>
      <c r="M44" s="41"/>
      <c r="N44" s="2"/>
      <c r="O44" s="2"/>
      <c r="P44" s="2"/>
      <c r="Q44" s="2"/>
    </row>
    <row r="45" spans="1:17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</sheetData>
  <mergeCells count="10">
    <mergeCell ref="C19:D26"/>
    <mergeCell ref="C27:D33"/>
    <mergeCell ref="C34:D40"/>
    <mergeCell ref="C41:D44"/>
    <mergeCell ref="A1:B6"/>
    <mergeCell ref="C1:N4"/>
    <mergeCell ref="C6:N6"/>
    <mergeCell ref="C8:D8"/>
    <mergeCell ref="E8:H8"/>
    <mergeCell ref="C10:D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1B0D-3E45-4AD1-AA04-6C3EAC533190}">
  <sheetPr codeName="Sheet2"/>
  <dimension ref="B1:AH50"/>
  <sheetViews>
    <sheetView topLeftCell="C30" zoomScale="92" zoomScaleNormal="85" workbookViewId="0">
      <selection activeCell="G42" sqref="G42"/>
    </sheetView>
  </sheetViews>
  <sheetFormatPr defaultRowHeight="13.8" x14ac:dyDescent="0.25"/>
  <cols>
    <col min="1" max="1" width="8.88671875" style="2"/>
    <col min="2" max="2" width="13.33203125" style="2" customWidth="1"/>
    <col min="3" max="3" width="13.109375" style="2" customWidth="1"/>
    <col min="4" max="4" width="15.44140625" style="2" customWidth="1"/>
    <col min="5" max="6" width="10.6640625" style="2" customWidth="1"/>
    <col min="7" max="7" width="11.44140625" style="2" bestFit="1" customWidth="1"/>
    <col min="8" max="8" width="13.44140625" style="2" bestFit="1" customWidth="1"/>
    <col min="9" max="11" width="8.88671875" style="2"/>
    <col min="12" max="12" width="8" style="2" customWidth="1"/>
    <col min="13" max="15" width="8.88671875" style="2"/>
    <col min="16" max="16" width="9.5546875" style="2" bestFit="1" customWidth="1"/>
    <col min="17" max="19" width="8.88671875" style="2"/>
    <col min="20" max="20" width="9.33203125" style="2" customWidth="1"/>
    <col min="21" max="21" width="8.88671875" style="2"/>
    <col min="22" max="22" width="7.21875" style="2" customWidth="1"/>
    <col min="23" max="23" width="8.88671875" style="2"/>
    <col min="24" max="24" width="5.77734375" style="2" customWidth="1"/>
    <col min="25" max="16384" width="8.88671875" style="2"/>
  </cols>
  <sheetData>
    <row r="1" spans="2:25" ht="13.8" customHeight="1" x14ac:dyDescent="0.25">
      <c r="B1" s="127"/>
      <c r="C1" s="128"/>
      <c r="D1" s="172" t="s">
        <v>46</v>
      </c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4"/>
    </row>
    <row r="2" spans="2:25" ht="13.8" customHeight="1" x14ac:dyDescent="0.25">
      <c r="B2" s="129"/>
      <c r="C2" s="130"/>
      <c r="D2" s="173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6"/>
    </row>
    <row r="3" spans="2:25" ht="13.8" customHeight="1" x14ac:dyDescent="0.25">
      <c r="B3" s="129"/>
      <c r="C3" s="130"/>
      <c r="D3" s="173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6"/>
    </row>
    <row r="4" spans="2:25" ht="14.4" customHeight="1" thickBot="1" x14ac:dyDescent="0.3">
      <c r="B4" s="129"/>
      <c r="C4" s="130"/>
      <c r="D4" s="174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8"/>
    </row>
    <row r="5" spans="2:25" ht="14.4" thickBot="1" x14ac:dyDescent="0.3">
      <c r="B5" s="129"/>
      <c r="C5" s="130"/>
      <c r="D5" s="175" t="s">
        <v>5</v>
      </c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7"/>
    </row>
    <row r="6" spans="2:25" ht="16.2" thickBot="1" x14ac:dyDescent="0.3">
      <c r="B6" s="131"/>
      <c r="C6" s="132"/>
      <c r="D6" s="178" t="s">
        <v>47</v>
      </c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80"/>
    </row>
    <row r="7" spans="2:25" ht="5.4" customHeight="1" x14ac:dyDescent="0.25"/>
    <row r="8" spans="2:25" ht="25.8" customHeight="1" x14ac:dyDescent="0.25">
      <c r="B8" s="167" t="s">
        <v>0</v>
      </c>
      <c r="C8" s="167"/>
      <c r="D8" s="167" t="s">
        <v>8</v>
      </c>
      <c r="E8" s="167" t="s">
        <v>48</v>
      </c>
      <c r="F8" s="167" t="s">
        <v>1</v>
      </c>
      <c r="G8" s="168" t="s">
        <v>68</v>
      </c>
      <c r="H8" s="168" t="s">
        <v>69</v>
      </c>
      <c r="I8" s="167" t="s">
        <v>49</v>
      </c>
      <c r="J8" s="167"/>
      <c r="K8" s="167"/>
      <c r="L8" s="167" t="s">
        <v>2</v>
      </c>
      <c r="M8" s="166" t="s">
        <v>50</v>
      </c>
      <c r="N8" s="166"/>
      <c r="O8" s="166"/>
      <c r="P8" s="167" t="s">
        <v>45</v>
      </c>
      <c r="Q8" s="166" t="s">
        <v>51</v>
      </c>
      <c r="R8" s="166" t="s">
        <v>52</v>
      </c>
      <c r="S8" s="166" t="s">
        <v>53</v>
      </c>
      <c r="T8" s="166" t="s">
        <v>54</v>
      </c>
      <c r="U8" s="162" t="s">
        <v>55</v>
      </c>
      <c r="V8" s="162"/>
      <c r="W8" s="162" t="s">
        <v>56</v>
      </c>
      <c r="X8" s="162" t="s">
        <v>57</v>
      </c>
      <c r="Y8" s="162" t="s">
        <v>58</v>
      </c>
    </row>
    <row r="9" spans="2:25" ht="22.2" customHeight="1" x14ac:dyDescent="0.25">
      <c r="B9" s="167"/>
      <c r="C9" s="167"/>
      <c r="D9" s="167"/>
      <c r="E9" s="167" t="s">
        <v>48</v>
      </c>
      <c r="F9" s="167" t="s">
        <v>1</v>
      </c>
      <c r="G9" s="169"/>
      <c r="H9" s="169"/>
      <c r="I9" s="45" t="s">
        <v>59</v>
      </c>
      <c r="J9" s="45" t="s">
        <v>60</v>
      </c>
      <c r="K9" s="45" t="s">
        <v>61</v>
      </c>
      <c r="L9" s="167"/>
      <c r="M9" s="45" t="s">
        <v>44</v>
      </c>
      <c r="N9" s="45" t="s">
        <v>62</v>
      </c>
      <c r="O9" s="45" t="s">
        <v>63</v>
      </c>
      <c r="P9" s="167"/>
      <c r="Q9" s="166"/>
      <c r="R9" s="166"/>
      <c r="S9" s="166"/>
      <c r="T9" s="166"/>
      <c r="U9" s="163" t="s">
        <v>64</v>
      </c>
      <c r="V9" s="163"/>
      <c r="W9" s="162"/>
      <c r="X9" s="162"/>
      <c r="Y9" s="162"/>
    </row>
    <row r="10" spans="2:25" ht="14.4" customHeight="1" x14ac:dyDescent="0.3">
      <c r="B10" s="170" t="s">
        <v>43</v>
      </c>
      <c r="C10" s="171"/>
      <c r="D10" s="150" t="s">
        <v>15</v>
      </c>
      <c r="E10" s="45" t="s">
        <v>65</v>
      </c>
      <c r="F10" s="51" t="str">
        <f>[1]Galley!$H$3</f>
        <v>0 to 06</v>
      </c>
      <c r="G10" s="52">
        <f>[1]Galley!$J$38</f>
        <v>744.28378852499998</v>
      </c>
      <c r="H10" s="52">
        <f>[1]Galley!$J$36</f>
        <v>674.09783777235032</v>
      </c>
      <c r="I10" s="46">
        <f>[1]Galley!$J$40</f>
        <v>6295.4150648446575</v>
      </c>
      <c r="J10" s="46">
        <f>[1]Galley!$M$36</f>
        <v>790</v>
      </c>
      <c r="K10" s="46">
        <f>I10+J10</f>
        <v>7085.4150648446575</v>
      </c>
      <c r="L10" s="47">
        <f>[1]Galley!$J$41</f>
        <v>0.88850335615203369</v>
      </c>
      <c r="M10" s="46">
        <f>[1]Galley!$G$33</f>
        <v>24.8094596175</v>
      </c>
      <c r="N10" s="46">
        <f>[1]Galley!$E$33</f>
        <v>15</v>
      </c>
      <c r="O10" s="46">
        <f>[1]Galley!$J$29</f>
        <v>15</v>
      </c>
      <c r="P10" s="48">
        <f>[1]Galley!$K$31</f>
        <v>234</v>
      </c>
      <c r="Q10" s="46">
        <f>MAX(M10:O10)</f>
        <v>24.8094596175</v>
      </c>
      <c r="R10" s="48">
        <f>0.472*P10</f>
        <v>110.44799999999999</v>
      </c>
      <c r="S10" s="46"/>
      <c r="T10" s="46"/>
      <c r="U10" s="49"/>
      <c r="V10" s="49"/>
      <c r="W10" s="49"/>
      <c r="X10" s="49"/>
      <c r="Y10" s="49"/>
    </row>
    <row r="11" spans="2:25" ht="13.8" customHeight="1" x14ac:dyDescent="0.3">
      <c r="B11" s="164" t="s">
        <v>3</v>
      </c>
      <c r="C11" s="165"/>
      <c r="D11" s="151"/>
      <c r="E11" s="45" t="s">
        <v>65</v>
      </c>
      <c r="F11" s="51" t="str">
        <f>'[1]Mess Room '!$H$3</f>
        <v>04 to 11</v>
      </c>
      <c r="G11" s="52">
        <f>'[1]Mess Room '!$J$37</f>
        <v>1630.4090695999998</v>
      </c>
      <c r="H11" s="52">
        <f>'[1]Mess Room '!$J$35</f>
        <v>1185.9091734085257</v>
      </c>
      <c r="I11" s="46">
        <f>'[1]Mess Room '!$J$39</f>
        <v>12719.504798837064</v>
      </c>
      <c r="J11" s="46">
        <f>'[1]Mess Room '!$M$35</f>
        <v>5000</v>
      </c>
      <c r="K11" s="46">
        <f t="shared" ref="K11:K35" si="0">I11+J11</f>
        <v>17719.504798837064</v>
      </c>
      <c r="L11" s="46">
        <f>'[1]Mess Room '!$J$40</f>
        <v>0.71782507148122154</v>
      </c>
      <c r="M11" s="46">
        <f>'[1]Mess Room '!$G$32</f>
        <v>54.34696898666666</v>
      </c>
      <c r="N11" s="46">
        <f>'[1]Mess Room '!$E$32</f>
        <v>150</v>
      </c>
      <c r="O11" s="46">
        <f>'[1]Mess Room '!$J$28</f>
        <v>150</v>
      </c>
      <c r="P11" s="46">
        <f>'[1]Mess Room '!$K$30</f>
        <v>472</v>
      </c>
      <c r="Q11" s="46">
        <f>MAX(M11:O11)</f>
        <v>150</v>
      </c>
      <c r="R11" s="46">
        <f>0.472*P11</f>
        <v>222.78399999999999</v>
      </c>
      <c r="S11" s="46"/>
      <c r="T11" s="46"/>
      <c r="U11" s="49"/>
      <c r="V11" s="49"/>
      <c r="W11" s="49"/>
      <c r="X11" s="49"/>
      <c r="Y11" s="49"/>
    </row>
    <row r="12" spans="2:25" ht="13.8" customHeight="1" x14ac:dyDescent="0.3">
      <c r="B12" s="164" t="s">
        <v>16</v>
      </c>
      <c r="C12" s="165"/>
      <c r="D12" s="151"/>
      <c r="E12" s="45" t="s">
        <v>65</v>
      </c>
      <c r="F12" s="51" t="str">
        <f>'[1]Quarter Master &amp; Steward '!$H$3</f>
        <v>11 to 16</v>
      </c>
      <c r="G12" s="52">
        <f>'[1]Quarter Master &amp; Steward '!$J$37</f>
        <v>1050.6123250000001</v>
      </c>
      <c r="H12" s="52">
        <f>'[1]Quarter Master &amp; Steward '!$J$35</f>
        <v>777.26767191617523</v>
      </c>
      <c r="I12" s="46">
        <f>'[1]Quarter Master &amp; Steward '!$J$39</f>
        <v>3687.0942104208343</v>
      </c>
      <c r="J12" s="46">
        <f>'[1]Quarter Master &amp; Steward '!$M$35</f>
        <v>1000</v>
      </c>
      <c r="K12" s="46">
        <f t="shared" si="0"/>
        <v>4687.0942104208343</v>
      </c>
      <c r="L12" s="47">
        <f>'[1]Quarter Master &amp; Steward '!$J$40</f>
        <v>0.78664819713316281</v>
      </c>
      <c r="M12" s="46">
        <f>'[1]Quarter Master &amp; Steward '!$G$32</f>
        <v>35.020410833333337</v>
      </c>
      <c r="N12" s="46">
        <f>'[1]Quarter Master &amp; Steward '!$E$32</f>
        <v>30</v>
      </c>
      <c r="O12" s="46">
        <f>'[1]Quarter Master &amp; Steward '!$J$28</f>
        <v>30</v>
      </c>
      <c r="P12" s="48">
        <f>'[1]Quarter Master &amp; Steward '!$K$30</f>
        <v>137</v>
      </c>
      <c r="Q12" s="46">
        <f t="shared" ref="Q12:Q17" si="1">MAX(M12:O12)</f>
        <v>35.020410833333337</v>
      </c>
      <c r="R12" s="48">
        <f t="shared" ref="R12:R17" si="2">0.472*P12</f>
        <v>64.664000000000001</v>
      </c>
      <c r="S12" s="46"/>
      <c r="T12" s="46"/>
      <c r="U12" s="49"/>
      <c r="V12" s="49"/>
      <c r="W12" s="49"/>
      <c r="X12" s="49"/>
      <c r="Y12" s="49"/>
    </row>
    <row r="13" spans="2:25" ht="13.8" customHeight="1" x14ac:dyDescent="0.3">
      <c r="B13" s="164" t="s">
        <v>21</v>
      </c>
      <c r="C13" s="165"/>
      <c r="D13" s="151"/>
      <c r="E13" s="45" t="s">
        <v>65</v>
      </c>
      <c r="F13" s="51" t="str">
        <f>'[1]Boys (2p)'!H3</f>
        <v>15 to 20</v>
      </c>
      <c r="G13" s="52">
        <f>'[1]Boys (2p)'!$J$37</f>
        <v>1109.7644475000002</v>
      </c>
      <c r="H13" s="52">
        <f>'[1]Boys (2p)'!$J$35</f>
        <v>666.82213691617528</v>
      </c>
      <c r="I13" s="46">
        <f>'[1]Boys (2p)'!$J$39</f>
        <v>3519.3368963404341</v>
      </c>
      <c r="J13" s="46">
        <f>'[1]Boys (2p)'!$M$35</f>
        <v>1000</v>
      </c>
      <c r="K13" s="46">
        <f t="shared" si="0"/>
        <v>4519.3368963404337</v>
      </c>
      <c r="L13" s="47">
        <f>'[1]Boys (2p)'!$J$40</f>
        <v>0.77872860047018033</v>
      </c>
      <c r="M13" s="46">
        <f>'[1]Boys (2p)'!$G$32</f>
        <v>36.992148250000007</v>
      </c>
      <c r="N13" s="46">
        <f>'[1]Boys (2p)'!$E$32</f>
        <v>30</v>
      </c>
      <c r="O13" s="46">
        <f>'[1]Boys (2p)'!$J$28</f>
        <v>30</v>
      </c>
      <c r="P13" s="48">
        <f>'[1]Boys (2p)'!$K$30</f>
        <v>131</v>
      </c>
      <c r="Q13" s="46">
        <f t="shared" si="1"/>
        <v>36.992148250000007</v>
      </c>
      <c r="R13" s="48">
        <f t="shared" si="2"/>
        <v>61.831999999999994</v>
      </c>
      <c r="S13" s="46"/>
      <c r="T13" s="46"/>
      <c r="U13" s="49"/>
      <c r="V13" s="49"/>
      <c r="W13" s="49"/>
      <c r="X13" s="49"/>
      <c r="Y13" s="49"/>
    </row>
    <row r="14" spans="2:25" ht="15.6" customHeight="1" x14ac:dyDescent="0.3">
      <c r="B14" s="164" t="s">
        <v>17</v>
      </c>
      <c r="C14" s="165"/>
      <c r="D14" s="151"/>
      <c r="E14" s="45" t="s">
        <v>65</v>
      </c>
      <c r="F14" s="51" t="str">
        <f>'[1]Boatswain &amp; Seaman'!H3</f>
        <v>20 to 25</v>
      </c>
      <c r="G14" s="52">
        <f>'[1]Boatswain &amp; Seaman'!$J$37</f>
        <v>1123.00746</v>
      </c>
      <c r="H14" s="52">
        <f>'[1]Boatswain &amp; Seaman'!$J$35</f>
        <v>806.00728491617519</v>
      </c>
      <c r="I14" s="46">
        <f>'[1]Boatswain &amp; Seaman'!$J$39</f>
        <v>4944.9237810464347</v>
      </c>
      <c r="J14" s="46">
        <f>'[1]Boatswain &amp; Seaman'!$M$35</f>
        <v>1000</v>
      </c>
      <c r="K14" s="46">
        <f t="shared" si="0"/>
        <v>5944.9237810464347</v>
      </c>
      <c r="L14" s="47">
        <f>'[1]Boatswain &amp; Seaman'!$J$40</f>
        <v>0.83178926478617043</v>
      </c>
      <c r="M14" s="46">
        <f>'[1]Boatswain &amp; Seaman'!$G$32</f>
        <v>37.433582000000001</v>
      </c>
      <c r="N14" s="46">
        <f>'[1]Boatswain &amp; Seaman'!$E$32</f>
        <v>30</v>
      </c>
      <c r="O14" s="46">
        <f>'[1]Boatswain &amp; Seaman'!$J$28</f>
        <v>30</v>
      </c>
      <c r="P14" s="48">
        <f>'[1]Boatswain &amp; Seaman'!$K$30</f>
        <v>184</v>
      </c>
      <c r="Q14" s="46">
        <f t="shared" si="1"/>
        <v>37.433582000000001</v>
      </c>
      <c r="R14" s="48">
        <f t="shared" si="2"/>
        <v>86.847999999999999</v>
      </c>
      <c r="S14" s="46"/>
      <c r="T14" s="46"/>
      <c r="U14" s="49"/>
      <c r="V14" s="49"/>
      <c r="W14" s="49"/>
      <c r="X14" s="49"/>
      <c r="Y14" s="49"/>
    </row>
    <row r="15" spans="2:25" ht="15.6" customHeight="1" x14ac:dyDescent="0.3">
      <c r="B15" s="164" t="s">
        <v>18</v>
      </c>
      <c r="C15" s="165"/>
      <c r="D15" s="151"/>
      <c r="E15" s="45" t="s">
        <v>66</v>
      </c>
      <c r="F15" s="51" t="str">
        <f>'[1]Oiler (2p)'!H3</f>
        <v>11 to 16</v>
      </c>
      <c r="G15" s="52">
        <f>'[1]Oiler (2p)'!$J$37</f>
        <v>1085.927025</v>
      </c>
      <c r="H15" s="52">
        <f>'[1]Oiler (2p)'!$J$35</f>
        <v>786.14788941617508</v>
      </c>
      <c r="I15" s="46">
        <f>'[1]Oiler (2p)'!$J$39</f>
        <v>4285.9023459058335</v>
      </c>
      <c r="J15" s="46">
        <f>'[1]Oiler (2p)'!$M$35</f>
        <v>1000</v>
      </c>
      <c r="K15" s="46">
        <f t="shared" si="0"/>
        <v>5285.9023459058335</v>
      </c>
      <c r="L15" s="47">
        <f>'[1]Oiler (2p)'!$J$40</f>
        <v>0.81081754172501042</v>
      </c>
      <c r="M15" s="46">
        <f>'[1]Oiler (2p)'!$G$32</f>
        <v>36.197567499999998</v>
      </c>
      <c r="N15" s="46">
        <f>'[1]Oiler (2p)'!$E$32</f>
        <v>30</v>
      </c>
      <c r="O15" s="46">
        <f>'[1]Oiler (2p)'!$J$28</f>
        <v>30</v>
      </c>
      <c r="P15" s="48">
        <f>'[1]Oiler (2p)'!$K$30</f>
        <v>159</v>
      </c>
      <c r="Q15" s="46">
        <f t="shared" si="1"/>
        <v>36.197567499999998</v>
      </c>
      <c r="R15" s="48">
        <f t="shared" si="2"/>
        <v>75.048000000000002</v>
      </c>
      <c r="S15" s="46"/>
      <c r="T15" s="46"/>
      <c r="U15" s="49"/>
      <c r="V15" s="49"/>
      <c r="W15" s="49"/>
      <c r="X15" s="49"/>
      <c r="Y15" s="49"/>
    </row>
    <row r="16" spans="2:25" ht="13.8" customHeight="1" x14ac:dyDescent="0.3">
      <c r="B16" s="164" t="s">
        <v>19</v>
      </c>
      <c r="C16" s="165"/>
      <c r="D16" s="151"/>
      <c r="E16" s="45" t="s">
        <v>66</v>
      </c>
      <c r="F16" s="51" t="str">
        <f>'[1]Pumpman 2p)'!H3</f>
        <v>16 to 20</v>
      </c>
      <c r="G16" s="52">
        <f>'[1]Pumpman 2p)'!$J$37</f>
        <v>1112.4130500000001</v>
      </c>
      <c r="H16" s="52">
        <f>'[1]Pumpman 2p)'!$J$35</f>
        <v>798.52637441617514</v>
      </c>
      <c r="I16" s="46">
        <f>'[1]Pumpman 2p)'!$J$39</f>
        <v>3797.0892128528349</v>
      </c>
      <c r="J16" s="46">
        <f>'[1]Pumpman 2p)'!$M$35</f>
        <v>1000</v>
      </c>
      <c r="K16" s="46">
        <f t="shared" si="0"/>
        <v>4797.0892128528349</v>
      </c>
      <c r="L16" s="47">
        <f>'[1]Pumpman 2p)'!$J$40</f>
        <v>0.79154025376040515</v>
      </c>
      <c r="M16" s="46">
        <f>'[1]Pumpman 2p)'!$G$32</f>
        <v>37.080435000000001</v>
      </c>
      <c r="N16" s="46">
        <f>'[1]Pumpman 2p)'!$E$32</f>
        <v>30</v>
      </c>
      <c r="O16" s="46">
        <f>'[1]Pumpman 2p)'!$J$28</f>
        <v>30</v>
      </c>
      <c r="P16" s="48">
        <f>'[1]Pumpman 2p)'!$K$30</f>
        <v>141</v>
      </c>
      <c r="Q16" s="46">
        <f t="shared" si="1"/>
        <v>37.080435000000001</v>
      </c>
      <c r="R16" s="48">
        <f t="shared" si="2"/>
        <v>66.551999999999992</v>
      </c>
      <c r="S16" s="46"/>
      <c r="T16" s="46"/>
      <c r="U16" s="49"/>
      <c r="V16" s="49"/>
      <c r="W16" s="49"/>
      <c r="X16" s="49"/>
      <c r="Y16" s="49"/>
    </row>
    <row r="17" spans="2:34" ht="15.6" customHeight="1" x14ac:dyDescent="0.3">
      <c r="B17" s="164" t="s">
        <v>20</v>
      </c>
      <c r="C17" s="165"/>
      <c r="D17" s="152"/>
      <c r="E17" s="45" t="s">
        <v>66</v>
      </c>
      <c r="F17" s="51" t="str">
        <f>'[1]Fireman (2P)'!H3</f>
        <v>20 to 25</v>
      </c>
      <c r="G17" s="52">
        <f>'[1]Fireman (2P)'!$J$37</f>
        <v>1123.00746</v>
      </c>
      <c r="H17" s="52">
        <f>'[1]Fireman (2P)'!$J$35</f>
        <v>802.29373941617519</v>
      </c>
      <c r="I17" s="46">
        <f>'[1]Fireman (2P)'!$J$39</f>
        <v>4914.6041997488355</v>
      </c>
      <c r="J17" s="46">
        <f>'[1]Fireman (2P)'!$M$35</f>
        <v>1000</v>
      </c>
      <c r="K17" s="46">
        <f t="shared" si="0"/>
        <v>5914.6041997488355</v>
      </c>
      <c r="L17" s="47">
        <f>'[1]Fireman (2P)'!$J$40</f>
        <v>0.83092697901197432</v>
      </c>
      <c r="M17" s="46">
        <f>'[1]Fireman (2P)'!$G$32</f>
        <v>37.433582000000001</v>
      </c>
      <c r="N17" s="46">
        <f>'[1]Fireman (2P)'!$E$32</f>
        <v>30</v>
      </c>
      <c r="O17" s="46">
        <f>'[1]Fireman (2P)'!$J$28</f>
        <v>30</v>
      </c>
      <c r="P17" s="48">
        <f>'[1]Fireman (2P)'!$K$30</f>
        <v>183</v>
      </c>
      <c r="Q17" s="46">
        <f t="shared" si="1"/>
        <v>37.433582000000001</v>
      </c>
      <c r="R17" s="48">
        <f t="shared" si="2"/>
        <v>86.375999999999991</v>
      </c>
      <c r="S17" s="46"/>
      <c r="T17" s="46"/>
      <c r="U17" s="49"/>
      <c r="V17" s="49"/>
      <c r="W17" s="49"/>
      <c r="X17" s="49"/>
      <c r="Y17" s="49"/>
    </row>
    <row r="18" spans="2:34" x14ac:dyDescent="0.25">
      <c r="B18" s="159" t="s">
        <v>70</v>
      </c>
      <c r="C18" s="160"/>
      <c r="D18" s="150" t="s">
        <v>22</v>
      </c>
      <c r="E18" s="45" t="s">
        <v>65</v>
      </c>
      <c r="F18" s="51" t="str">
        <f>[2]Pantry!$H$3</f>
        <v>06 to 11</v>
      </c>
      <c r="G18" s="52">
        <f>[2]Pantry!$J$37</f>
        <v>867.04651439999998</v>
      </c>
      <c r="H18" s="52">
        <f>[2]Pantry!$J$35</f>
        <v>664.23164703235034</v>
      </c>
      <c r="I18" s="46">
        <f>[2]Pantry!$J$39</f>
        <v>4077.0550192519099</v>
      </c>
      <c r="J18" s="46">
        <f>[2]Pantry!$M$35</f>
        <v>790</v>
      </c>
      <c r="K18" s="46">
        <f t="shared" si="0"/>
        <v>4867.0550192519095</v>
      </c>
      <c r="L18" s="47">
        <f>[2]Pantry!$J$40</f>
        <v>0.83768418543141387</v>
      </c>
      <c r="M18" s="46">
        <f>[2]Pantry!$G$32</f>
        <v>28.901550480000001</v>
      </c>
      <c r="N18" s="46">
        <f>[2]Pantry!$E$32</f>
        <v>15</v>
      </c>
      <c r="O18" s="46">
        <f>[2]Pantry!$J$28</f>
        <v>15</v>
      </c>
      <c r="P18" s="48">
        <f>[2]Pantry!$K$30</f>
        <v>152</v>
      </c>
      <c r="Q18" s="46">
        <f>MAX(M18:O18)</f>
        <v>28.901550480000001</v>
      </c>
      <c r="R18" s="48">
        <f>0.472*P18</f>
        <v>71.744</v>
      </c>
      <c r="S18" s="46"/>
      <c r="T18" s="46"/>
      <c r="U18" s="49"/>
      <c r="V18" s="49"/>
      <c r="W18" s="49"/>
      <c r="X18" s="49"/>
      <c r="Y18" s="49"/>
    </row>
    <row r="19" spans="2:34" ht="15.6" x14ac:dyDescent="0.3">
      <c r="B19" s="153" t="s">
        <v>3</v>
      </c>
      <c r="C19" s="154"/>
      <c r="D19" s="151"/>
      <c r="E19" s="45" t="s">
        <v>65</v>
      </c>
      <c r="F19" s="51" t="str">
        <f>'[2]Mess Room '!$H$3</f>
        <v>11 to 16</v>
      </c>
      <c r="G19" s="52">
        <f>'[2]Mess Room '!$J$37</f>
        <v>1008.587832</v>
      </c>
      <c r="H19" s="52">
        <f>'[2]Mess Room '!$J$35</f>
        <v>769.38849711617524</v>
      </c>
      <c r="I19" s="46">
        <f>'[2]Mess Room '!$J$39</f>
        <v>5347.107181039235</v>
      </c>
      <c r="J19" s="46">
        <f>'[2]Mess Room '!$M$35</f>
        <v>4000</v>
      </c>
      <c r="K19" s="46">
        <f t="shared" si="0"/>
        <v>9347.107181039235</v>
      </c>
      <c r="L19" s="46">
        <f>'[2]Mess Room '!$J$40</f>
        <v>0.57206011201903539</v>
      </c>
      <c r="M19" s="46">
        <f>'[2]Mess Room '!$G$32</f>
        <v>33.619594400000004</v>
      </c>
      <c r="N19" s="46">
        <f>'[2]Mess Room '!$E$32</f>
        <v>120</v>
      </c>
      <c r="O19" s="46">
        <f>'[2]Mess Room '!$J$28</f>
        <v>120</v>
      </c>
      <c r="P19" s="46">
        <f>'[2]Mess Room '!$K$30</f>
        <v>199</v>
      </c>
      <c r="Q19" s="46">
        <f>MAX(M19:O19)</f>
        <v>120</v>
      </c>
      <c r="R19" s="46">
        <f>0.472*P19</f>
        <v>93.927999999999997</v>
      </c>
      <c r="S19" s="53"/>
      <c r="T19" s="53"/>
      <c r="U19" s="53"/>
      <c r="V19" s="53"/>
      <c r="W19" s="53"/>
      <c r="X19" s="53"/>
      <c r="Y19" s="53"/>
    </row>
    <row r="20" spans="2:34" ht="15.6" x14ac:dyDescent="0.3">
      <c r="B20" s="155" t="s">
        <v>23</v>
      </c>
      <c r="C20" s="156"/>
      <c r="D20" s="151"/>
      <c r="E20" s="45" t="s">
        <v>65</v>
      </c>
      <c r="F20" s="51" t="str">
        <f>'[2]Chief Cook Room'!$H$3</f>
        <v>20 to 24</v>
      </c>
      <c r="G20" s="52">
        <f>'[2]Chief Cook Room'!$J$37</f>
        <v>867.04651439999998</v>
      </c>
      <c r="H20" s="52">
        <f>'[2]Chief Cook Room'!$J$35</f>
        <v>662.87970661617521</v>
      </c>
      <c r="I20" s="46">
        <f>'[2]Chief Cook Room'!$J$39</f>
        <v>2171.0294851841945</v>
      </c>
      <c r="J20" s="46">
        <f>'[2]Chief Cook Room'!$M$35</f>
        <v>500</v>
      </c>
      <c r="K20" s="46">
        <f t="shared" si="0"/>
        <v>2671.0294851841945</v>
      </c>
      <c r="L20" s="46">
        <f>'[2]Chief Cook Room'!$J$40</f>
        <v>0.81280625961883757</v>
      </c>
      <c r="M20" s="46">
        <f>'[2]Chief Cook Room'!$G$32</f>
        <v>28.901550480000001</v>
      </c>
      <c r="N20" s="46">
        <f>'[2]Chief Cook Room'!$E$32</f>
        <v>15</v>
      </c>
      <c r="O20" s="46">
        <f>'[2]Chief Cook Room'!$J$28</f>
        <v>15</v>
      </c>
      <c r="P20" s="46">
        <f>'[2]Chief Cook Room'!$K$30</f>
        <v>81</v>
      </c>
      <c r="Q20" s="46">
        <f t="shared" ref="Q20:Q24" si="3">MAX(M20:O20)</f>
        <v>28.901550480000001</v>
      </c>
      <c r="R20" s="48">
        <f t="shared" ref="R20:R24" si="4">0.472*P20</f>
        <v>38.231999999999999</v>
      </c>
      <c r="S20" s="53"/>
      <c r="T20" s="53"/>
      <c r="U20" s="53"/>
      <c r="V20" s="53"/>
      <c r="W20" s="53"/>
      <c r="X20" s="53"/>
      <c r="Y20" s="53"/>
    </row>
    <row r="21" spans="2:34" ht="15.6" x14ac:dyDescent="0.3">
      <c r="B21" s="157" t="s">
        <v>25</v>
      </c>
      <c r="C21" s="158"/>
      <c r="D21" s="151"/>
      <c r="E21" s="45" t="s">
        <v>66</v>
      </c>
      <c r="F21" s="51" t="str">
        <f>[2]Musholla!$H$3</f>
        <v>11 to 16</v>
      </c>
      <c r="G21" s="52">
        <f>[2]Musholla!$J$37</f>
        <v>867.04651439999998</v>
      </c>
      <c r="H21" s="52">
        <f>[2]Musholla!$J$35</f>
        <v>732.75894541617515</v>
      </c>
      <c r="I21" s="46">
        <f>[2]Musholla!$J$39</f>
        <v>2473.1103543313147</v>
      </c>
      <c r="J21" s="46">
        <f>[2]Musholla!$M$35</f>
        <v>1000</v>
      </c>
      <c r="K21" s="46">
        <f t="shared" si="0"/>
        <v>3473.1103543313147</v>
      </c>
      <c r="L21" s="47">
        <f>[2]Musholla!$J$40</f>
        <v>0.71207364639223159</v>
      </c>
      <c r="M21" s="46">
        <f>[2]Musholla!$G$32</f>
        <v>28.901550480000001</v>
      </c>
      <c r="N21" s="46">
        <f>[2]Musholla!$E$32</f>
        <v>30</v>
      </c>
      <c r="O21" s="46">
        <f>[2]Musholla!$J$28</f>
        <v>30</v>
      </c>
      <c r="P21" s="48">
        <f>[2]Musholla!$K$30</f>
        <v>92</v>
      </c>
      <c r="Q21" s="46">
        <f t="shared" si="3"/>
        <v>30</v>
      </c>
      <c r="R21" s="48">
        <f t="shared" si="4"/>
        <v>43.423999999999999</v>
      </c>
      <c r="S21" s="53"/>
      <c r="T21" s="53"/>
      <c r="U21" s="53"/>
      <c r="V21" s="53"/>
      <c r="W21" s="53"/>
      <c r="X21" s="53"/>
      <c r="Y21" s="53"/>
    </row>
    <row r="22" spans="2:34" ht="15.6" x14ac:dyDescent="0.3">
      <c r="B22" s="153" t="s">
        <v>26</v>
      </c>
      <c r="C22" s="154"/>
      <c r="D22" s="151"/>
      <c r="E22" s="45" t="s">
        <v>66</v>
      </c>
      <c r="F22" s="51" t="str">
        <f>[2]Electrician!$H$3</f>
        <v>16 to 20</v>
      </c>
      <c r="G22" s="52">
        <f>[2]Electrician!$J$37</f>
        <v>867.04651439999998</v>
      </c>
      <c r="H22" s="52">
        <f>[2]Electrician!$J$35</f>
        <v>728.10894061617523</v>
      </c>
      <c r="I22" s="46">
        <f>[2]Electrician!$J$39</f>
        <v>1399.0661458196348</v>
      </c>
      <c r="J22" s="46">
        <f>[2]Electrician!$M$35</f>
        <v>500</v>
      </c>
      <c r="K22" s="46">
        <f t="shared" si="0"/>
        <v>1899.0661458196348</v>
      </c>
      <c r="L22" s="47">
        <f>[2]Electrician!$J$40</f>
        <v>0.73671269897542169</v>
      </c>
      <c r="M22" s="46">
        <f>[2]Electrician!$G$32</f>
        <v>28.901550480000001</v>
      </c>
      <c r="N22" s="46">
        <f>[2]Electrician!$E$32</f>
        <v>15</v>
      </c>
      <c r="O22" s="46">
        <f>[2]Electrician!$J$28</f>
        <v>15</v>
      </c>
      <c r="P22" s="48">
        <f>[2]Electrician!$K$30</f>
        <v>52</v>
      </c>
      <c r="Q22" s="46">
        <f t="shared" si="3"/>
        <v>28.901550480000001</v>
      </c>
      <c r="R22" s="48">
        <f t="shared" si="4"/>
        <v>24.543999999999997</v>
      </c>
      <c r="S22" s="53"/>
      <c r="T22" s="53"/>
      <c r="U22" s="53"/>
      <c r="V22" s="53"/>
      <c r="W22" s="53"/>
      <c r="X22" s="53"/>
      <c r="Y22" s="53"/>
    </row>
    <row r="23" spans="2:34" ht="14.4" customHeight="1" x14ac:dyDescent="0.3">
      <c r="B23" s="155" t="s">
        <v>24</v>
      </c>
      <c r="C23" s="156"/>
      <c r="D23" s="151"/>
      <c r="E23" s="11" t="s">
        <v>66</v>
      </c>
      <c r="F23" s="58" t="str">
        <f>'[2]Second Engineer'!$H$3</f>
        <v>20 to 25</v>
      </c>
      <c r="G23" s="59">
        <f>'[2]Second Engineer'!$J$37</f>
        <v>867.04651439999998</v>
      </c>
      <c r="H23" s="59">
        <f>'[2]Second Engineer'!$J$35</f>
        <v>693.68598841617529</v>
      </c>
      <c r="I23" s="60">
        <f>'[2]Second Engineer'!$J$39</f>
        <v>2154.4182213704344</v>
      </c>
      <c r="J23" s="60">
        <f>'[2]Second Engineer'!$M$35</f>
        <v>500</v>
      </c>
      <c r="K23" s="46">
        <f t="shared" si="0"/>
        <v>2654.4182213704344</v>
      </c>
      <c r="L23" s="61">
        <f>'[2]Second Engineer'!$J$40</f>
        <v>0.81163480721517278</v>
      </c>
      <c r="M23" s="60">
        <f>'[2]Second Engineer'!$G$32</f>
        <v>28.901550480000001</v>
      </c>
      <c r="N23" s="60">
        <f>'[2]Second Engineer'!$E$32</f>
        <v>15</v>
      </c>
      <c r="O23" s="60">
        <f>'[2]Second Engineer'!$J$28</f>
        <v>15</v>
      </c>
      <c r="P23" s="62">
        <f>'[2]Second Engineer'!$K$30</f>
        <v>80</v>
      </c>
      <c r="Q23" s="60">
        <f t="shared" si="3"/>
        <v>28.901550480000001</v>
      </c>
      <c r="R23" s="62">
        <f t="shared" si="4"/>
        <v>37.76</v>
      </c>
      <c r="S23" s="53"/>
      <c r="T23" s="53"/>
      <c r="U23" s="53"/>
      <c r="V23" s="53"/>
      <c r="W23" s="53"/>
      <c r="X23" s="53"/>
      <c r="Y23" s="53"/>
      <c r="AH23"/>
    </row>
    <row r="24" spans="2:34" ht="15.6" x14ac:dyDescent="0.3">
      <c r="B24" s="155" t="s">
        <v>27</v>
      </c>
      <c r="C24" s="156"/>
      <c r="D24" s="152"/>
      <c r="E24" s="45" t="s">
        <v>67</v>
      </c>
      <c r="F24" s="51" t="str">
        <f>'[2]Smoking Room'!$H$3</f>
        <v>20 to 25</v>
      </c>
      <c r="G24" s="59">
        <f>'[2]Smoking Room'!$J$37</f>
        <v>1186.57392</v>
      </c>
      <c r="H24" s="59">
        <f>'[2]Smoking Room'!$J$35</f>
        <v>879.96173083235021</v>
      </c>
      <c r="I24" s="60">
        <f>'[2]Smoking Room'!$J$39</f>
        <v>4612.8964123640699</v>
      </c>
      <c r="J24" s="60">
        <f>'[2]Smoking Room'!$M$35</f>
        <v>2000</v>
      </c>
      <c r="K24" s="46">
        <f t="shared" si="0"/>
        <v>6612.8964123640699</v>
      </c>
      <c r="L24" s="61">
        <f>'[2]Smoking Room'!$J$40</f>
        <v>0.69756066399881622</v>
      </c>
      <c r="M24" s="60">
        <f>'[2]Smoking Room'!$G$32</f>
        <v>39.552464000000001</v>
      </c>
      <c r="N24" s="60">
        <f>'[2]Smoking Room'!$E$32</f>
        <v>60</v>
      </c>
      <c r="O24" s="60">
        <f>'[2]Smoking Room'!$J$28</f>
        <v>60</v>
      </c>
      <c r="P24" s="62">
        <f>'[2]Smoking Room'!$K$30</f>
        <v>171</v>
      </c>
      <c r="Q24" s="60">
        <f t="shared" si="3"/>
        <v>60</v>
      </c>
      <c r="R24" s="62">
        <f t="shared" si="4"/>
        <v>80.711999999999989</v>
      </c>
      <c r="S24" s="53"/>
      <c r="T24" s="53"/>
      <c r="U24" s="53"/>
      <c r="V24" s="53"/>
      <c r="W24" s="53"/>
      <c r="X24" s="53"/>
      <c r="Y24" s="53"/>
    </row>
    <row r="25" spans="2:34" ht="15.6" x14ac:dyDescent="0.3">
      <c r="B25" s="54" t="s">
        <v>32</v>
      </c>
      <c r="D25" s="150" t="s">
        <v>28</v>
      </c>
      <c r="E25" s="45" t="s">
        <v>65</v>
      </c>
      <c r="F25" s="51" t="str">
        <f>'[3]Second Engineer'!$H$3</f>
        <v>12 to 18</v>
      </c>
      <c r="G25" s="52">
        <f>'[3]Second Engineer'!$J$37</f>
        <v>1156.0620191999999</v>
      </c>
      <c r="H25" s="52">
        <f>'[3]Second Engineer'!$J$35</f>
        <v>824.14445641617499</v>
      </c>
      <c r="I25" s="46">
        <f>'[3]Second Engineer'!$J$39</f>
        <v>3903.9394832264857</v>
      </c>
      <c r="J25" s="46">
        <f>'[3]Second Engineer'!$M$35</f>
        <v>500</v>
      </c>
      <c r="K25" s="46">
        <f t="shared" si="0"/>
        <v>4403.9394832264861</v>
      </c>
      <c r="L25" s="47">
        <f>'[3]Second Engineer'!$J$40</f>
        <v>0.88646528820289727</v>
      </c>
      <c r="M25" s="46">
        <f>'[3]Second Engineer'!$G$32</f>
        <v>38.535400639999999</v>
      </c>
      <c r="N25" s="46">
        <f>'[3]Second Engineer'!$E$32</f>
        <v>15</v>
      </c>
      <c r="O25" s="46">
        <f>'[3]Second Engineer'!$J$28</f>
        <v>15</v>
      </c>
      <c r="P25" s="48">
        <f>'[3]Second Engineer'!$K$30</f>
        <v>145</v>
      </c>
      <c r="Q25" s="46">
        <f>MAX(M25:O25)</f>
        <v>38.535400639999999</v>
      </c>
      <c r="R25" s="48">
        <f>0.472*P25</f>
        <v>68.44</v>
      </c>
      <c r="S25" s="53"/>
      <c r="T25" s="53"/>
      <c r="U25" s="53"/>
      <c r="V25" s="53"/>
      <c r="W25" s="53"/>
      <c r="X25" s="53"/>
      <c r="Y25" s="53"/>
    </row>
    <row r="26" spans="2:34" ht="15.6" x14ac:dyDescent="0.3">
      <c r="B26" s="54" t="s">
        <v>31</v>
      </c>
      <c r="D26" s="151"/>
      <c r="E26" s="45" t="s">
        <v>65</v>
      </c>
      <c r="F26" s="51" t="str">
        <f>'[3]Chief Engineer'!$H$3</f>
        <v>18 to 25</v>
      </c>
      <c r="G26" s="52">
        <f>'[3]Chief Engineer'!$J$37</f>
        <v>1149.6206179199999</v>
      </c>
      <c r="H26" s="52">
        <f>'[3]Chief Engineer'!$J$35</f>
        <v>890.72563083235036</v>
      </c>
      <c r="I26" s="46">
        <f>'[3]Chief Engineer'!$J$39</f>
        <v>5332.9627309369498</v>
      </c>
      <c r="J26" s="46">
        <f>'[3]Chief Engineer'!$M$35</f>
        <v>500</v>
      </c>
      <c r="K26" s="46">
        <f t="shared" si="0"/>
        <v>5832.9627309369498</v>
      </c>
      <c r="L26" s="46">
        <f>'[3]Chief Engineer'!$J$40</f>
        <v>0.91428026835349163</v>
      </c>
      <c r="M26" s="46">
        <f>'[3]Chief Engineer'!$G$32</f>
        <v>38.320687263999993</v>
      </c>
      <c r="N26" s="46">
        <f>'[3]Chief Engineer'!$E$32</f>
        <v>15</v>
      </c>
      <c r="O26" s="46">
        <f>'[3]Chief Engineer'!$J$28</f>
        <v>15</v>
      </c>
      <c r="P26" s="46">
        <f>'[3]Chief Engineer'!$K$30</f>
        <v>198</v>
      </c>
      <c r="Q26" s="46">
        <f>MAX(M26:O26)</f>
        <v>38.320687263999993</v>
      </c>
      <c r="R26" s="46">
        <f>0.472*P26</f>
        <v>93.455999999999989</v>
      </c>
      <c r="S26" s="53"/>
      <c r="T26" s="53"/>
      <c r="U26" s="53"/>
      <c r="V26" s="53"/>
      <c r="W26" s="53"/>
      <c r="X26" s="53"/>
      <c r="Y26" s="53"/>
    </row>
    <row r="27" spans="2:34" ht="15.6" x14ac:dyDescent="0.3">
      <c r="B27" s="155" t="s">
        <v>71</v>
      </c>
      <c r="C27" s="156"/>
      <c r="D27" s="151"/>
      <c r="E27" s="45" t="s">
        <v>65</v>
      </c>
      <c r="F27" s="51" t="str">
        <f>'[3]Chief Officer &amp; Engineer Office'!$H$3</f>
        <v>19 to 25</v>
      </c>
      <c r="G27" s="52">
        <f>'[3]Chief Officer &amp; Engineer Office'!$J$37</f>
        <v>1504.4062200000001</v>
      </c>
      <c r="H27" s="52">
        <f>'[3]Chief Officer &amp; Engineer Office'!$J$35</f>
        <v>1018.9839522485256</v>
      </c>
      <c r="I27" s="46">
        <f>'[3]Chief Officer &amp; Engineer Office'!$J$39</f>
        <v>5244.8819431341044</v>
      </c>
      <c r="J27" s="46">
        <f>'[3]Chief Officer &amp; Engineer Office'!$M$35</f>
        <v>1000</v>
      </c>
      <c r="K27" s="46">
        <f t="shared" si="0"/>
        <v>6244.8819431341044</v>
      </c>
      <c r="L27" s="47">
        <f>'[3]Chief Officer &amp; Engineer Office'!$J$40</f>
        <v>0.83986887036360336</v>
      </c>
      <c r="M27" s="46">
        <f>'[3]Chief Officer &amp; Engineer Office'!$G$32</f>
        <v>50.146874000000004</v>
      </c>
      <c r="N27" s="46">
        <f>'[3]Chief Officer &amp; Engineer Office'!$E$32</f>
        <v>30</v>
      </c>
      <c r="O27" s="46">
        <f>'[3]Chief Officer &amp; Engineer Office'!$J$28</f>
        <v>30</v>
      </c>
      <c r="P27" s="48">
        <f>'[3]Chief Officer &amp; Engineer Office'!$K$30</f>
        <v>195</v>
      </c>
      <c r="Q27" s="46">
        <f t="shared" ref="Q27:Q29" si="5">MAX(M27:O27)</f>
        <v>50.146874000000004</v>
      </c>
      <c r="R27" s="48">
        <f t="shared" ref="R27:R29" si="6">0.472*P27</f>
        <v>92.039999999999992</v>
      </c>
      <c r="S27" s="53"/>
      <c r="T27" s="53"/>
      <c r="U27" s="53"/>
      <c r="V27" s="53"/>
      <c r="W27" s="53"/>
      <c r="X27" s="53"/>
      <c r="Y27" s="53"/>
    </row>
    <row r="28" spans="2:34" ht="14.4" customHeight="1" x14ac:dyDescent="0.3">
      <c r="B28" s="54" t="s">
        <v>33</v>
      </c>
      <c r="C28" s="55"/>
      <c r="D28" s="151"/>
      <c r="E28" s="45" t="s">
        <v>66</v>
      </c>
      <c r="F28" s="51" t="str">
        <f>'[3]Medical Room'!$H$3</f>
        <v>12 to 19</v>
      </c>
      <c r="G28" s="52">
        <f>'[3]Medical Room'!$J$37</f>
        <v>1034.014416</v>
      </c>
      <c r="H28" s="52">
        <f>'[3]Medical Room'!$J$35</f>
        <v>824.66112361617525</v>
      </c>
      <c r="I28" s="46">
        <f>'[3]Medical Room'!$J$39</f>
        <v>5548.1093688511146</v>
      </c>
      <c r="J28" s="46">
        <f>'[3]Medical Room'!$M$35</f>
        <v>1000</v>
      </c>
      <c r="K28" s="46">
        <f t="shared" si="0"/>
        <v>6548.1093688511146</v>
      </c>
      <c r="L28" s="47">
        <f>'[3]Medical Room'!$J$40</f>
        <v>0.84728416346297941</v>
      </c>
      <c r="M28" s="46">
        <f>'[3]Medical Room'!$G$32</f>
        <v>34.467147199999999</v>
      </c>
      <c r="N28" s="46">
        <f>'[3]Medical Room'!$E$32</f>
        <v>30</v>
      </c>
      <c r="O28" s="46">
        <f>'[3]Medical Room'!$J$28</f>
        <v>30</v>
      </c>
      <c r="P28" s="48">
        <f>'[3]Medical Room'!$K$30</f>
        <v>206</v>
      </c>
      <c r="Q28" s="46">
        <f t="shared" si="5"/>
        <v>34.467147199999999</v>
      </c>
      <c r="R28" s="48">
        <f t="shared" si="6"/>
        <v>97.231999999999999</v>
      </c>
      <c r="S28" s="53"/>
      <c r="T28" s="53"/>
      <c r="U28" s="53"/>
      <c r="V28" s="53"/>
      <c r="W28" s="53"/>
      <c r="X28" s="53"/>
      <c r="Y28" s="53"/>
    </row>
    <row r="29" spans="2:34" ht="15.6" x14ac:dyDescent="0.3">
      <c r="B29" s="56" t="s">
        <v>30</v>
      </c>
      <c r="C29" s="57"/>
      <c r="D29" s="151"/>
      <c r="E29" s="11" t="s">
        <v>66</v>
      </c>
      <c r="F29" s="58" t="str">
        <f>'[3]Chief Officer'!$H$3</f>
        <v>128to 25</v>
      </c>
      <c r="G29" s="59">
        <f>'[3]Chief Officer'!$J$37</f>
        <v>1271.66822112</v>
      </c>
      <c r="H29" s="59">
        <f>'[3]Chief Officer'!$J$35</f>
        <v>912.68398683235023</v>
      </c>
      <c r="I29" s="60">
        <f>'[3]Chief Officer'!$J$39</f>
        <v>5169.1570376807085</v>
      </c>
      <c r="J29" s="60">
        <f>'[3]Chief Officer'!$M$35</f>
        <v>500</v>
      </c>
      <c r="K29" s="46">
        <f t="shared" si="0"/>
        <v>5669.1570376807085</v>
      </c>
      <c r="L29" s="61">
        <f>'[3]Chief Officer'!$J$40</f>
        <v>0.91180346625138586</v>
      </c>
      <c r="M29" s="60">
        <f>'[3]Chief Officer'!$G$32</f>
        <v>42.388940703999999</v>
      </c>
      <c r="N29" s="60">
        <f>'[3]Chief Officer'!$E$32</f>
        <v>15</v>
      </c>
      <c r="O29" s="60">
        <f>'[3]Chief Officer'!$J$28</f>
        <v>15</v>
      </c>
      <c r="P29" s="62">
        <f>'[3]Chief Officer'!$K$30</f>
        <v>192</v>
      </c>
      <c r="Q29" s="60">
        <f t="shared" si="5"/>
        <v>42.388940703999999</v>
      </c>
      <c r="R29" s="62">
        <f t="shared" si="6"/>
        <v>90.623999999999995</v>
      </c>
      <c r="S29" s="53"/>
      <c r="T29" s="53"/>
      <c r="U29" s="53"/>
      <c r="V29" s="53"/>
      <c r="W29" s="53"/>
      <c r="X29" s="53"/>
      <c r="Y29" s="53"/>
    </row>
    <row r="30" spans="2:34" ht="15.6" x14ac:dyDescent="0.3">
      <c r="B30" s="161" t="s">
        <v>39</v>
      </c>
      <c r="C30" s="158"/>
      <c r="D30" s="150" t="s">
        <v>34</v>
      </c>
      <c r="E30" s="45" t="s">
        <v>65</v>
      </c>
      <c r="F30" s="51" t="str">
        <f>[4]Library!$H$3</f>
        <v>15 to 18</v>
      </c>
      <c r="G30" s="52">
        <f>[4]Library!$J$37</f>
        <v>650.2848858000001</v>
      </c>
      <c r="H30" s="52">
        <f>[4]Library!$J$35</f>
        <v>476.62656296617513</v>
      </c>
      <c r="I30" s="46">
        <f>[4]Library!$J$39</f>
        <v>3269.3285159205843</v>
      </c>
      <c r="J30" s="46">
        <f>[4]Library!$M$35</f>
        <v>1000</v>
      </c>
      <c r="K30" s="46">
        <f t="shared" si="0"/>
        <v>4269.3285159205843</v>
      </c>
      <c r="L30" s="47">
        <f>[4]Library!$J$40</f>
        <v>0.76577112858124186</v>
      </c>
      <c r="M30" s="46">
        <f>[4]Library!$G$32</f>
        <v>21.676162860000002</v>
      </c>
      <c r="N30" s="46">
        <f>[4]Library!$E$32</f>
        <v>30</v>
      </c>
      <c r="O30" s="46">
        <f>[4]Library!$J$28</f>
        <v>30</v>
      </c>
      <c r="P30" s="48">
        <f>[4]Library!$K$30</f>
        <v>122</v>
      </c>
      <c r="Q30" s="46">
        <f>MAX(M30:O30)</f>
        <v>30</v>
      </c>
      <c r="R30" s="48">
        <f>0.472*P30</f>
        <v>57.583999999999996</v>
      </c>
      <c r="S30" s="53"/>
      <c r="T30" s="53"/>
      <c r="U30" s="53"/>
      <c r="V30" s="53"/>
      <c r="W30" s="53"/>
      <c r="X30" s="53"/>
      <c r="Y30" s="53"/>
    </row>
    <row r="31" spans="2:34" ht="15.6" x14ac:dyDescent="0.3">
      <c r="B31" s="153" t="s">
        <v>38</v>
      </c>
      <c r="C31" s="154"/>
      <c r="D31" s="151"/>
      <c r="E31" s="45" t="s">
        <v>65</v>
      </c>
      <c r="F31" s="51" t="str">
        <f>'[4]Radio Operator Room'!$H$3</f>
        <v>18 to 25</v>
      </c>
      <c r="G31" s="52">
        <f>'[4]Radio Operator Room'!$J$37</f>
        <v>1135.1698426799996</v>
      </c>
      <c r="H31" s="52">
        <f>'[4]Radio Operator Room'!$J$35</f>
        <v>758.12407576617511</v>
      </c>
      <c r="I31" s="46">
        <f>'[4]Radio Operator Room'!$J$39</f>
        <v>3188.8261040410448</v>
      </c>
      <c r="J31" s="46">
        <f>'[4]Radio Operator Room'!$M$35</f>
        <v>500</v>
      </c>
      <c r="K31" s="46">
        <f t="shared" si="0"/>
        <v>3688.8261040410448</v>
      </c>
      <c r="L31" s="46">
        <f>'[4]Radio Operator Room'!$J$40</f>
        <v>0.86445552435983397</v>
      </c>
      <c r="M31" s="46">
        <f>'[4]Radio Operator Room'!$G$32</f>
        <v>37.838994755999991</v>
      </c>
      <c r="N31" s="46">
        <f>'[4]Radio Operator Room'!$E$32</f>
        <v>15</v>
      </c>
      <c r="O31" s="46">
        <f>'[4]Radio Operator Room'!$J$28</f>
        <v>15</v>
      </c>
      <c r="P31" s="46">
        <f>'[4]Radio Operator Room'!$K$30</f>
        <v>119</v>
      </c>
      <c r="Q31" s="46">
        <f>MAX(M31:O31)</f>
        <v>37.838994755999991</v>
      </c>
      <c r="R31" s="46">
        <f>0.472*P31</f>
        <v>56.167999999999999</v>
      </c>
      <c r="S31" s="53"/>
      <c r="T31" s="53"/>
      <c r="U31" s="53"/>
      <c r="V31" s="53"/>
      <c r="W31" s="53"/>
      <c r="X31" s="53"/>
      <c r="Y31" s="53"/>
    </row>
    <row r="32" spans="2:34" ht="15.6" x14ac:dyDescent="0.3">
      <c r="B32" s="155" t="s">
        <v>37</v>
      </c>
      <c r="C32" s="156"/>
      <c r="D32" s="151"/>
      <c r="E32" s="45" t="s">
        <v>66</v>
      </c>
      <c r="F32" s="51" t="str">
        <f>'[4]Meeting Room'!$H$3</f>
        <v>19 to 25</v>
      </c>
      <c r="G32" s="52">
        <f>'[4]Meeting Room'!$J$37</f>
        <v>902.64373199999989</v>
      </c>
      <c r="H32" s="52">
        <f>'[4]Meeting Room'!$J$35</f>
        <v>705.65220519852562</v>
      </c>
      <c r="I32" s="46">
        <f>'[4]Meeting Room'!$J$39</f>
        <v>4453.5467464358644</v>
      </c>
      <c r="J32" s="46">
        <f>'[4]Meeting Room'!$M$35</f>
        <v>3000</v>
      </c>
      <c r="K32" s="46">
        <f t="shared" si="0"/>
        <v>7453.5467464358644</v>
      </c>
      <c r="L32" s="47">
        <f>'[4]Meeting Room'!$J$40</f>
        <v>0.59750705240635416</v>
      </c>
      <c r="M32" s="46">
        <f>'[4]Meeting Room'!$G$32</f>
        <v>30.088124399999995</v>
      </c>
      <c r="N32" s="46">
        <f>'[4]Meeting Room'!$E$32</f>
        <v>90</v>
      </c>
      <c r="O32" s="46">
        <f>'[4]Meeting Room'!$J$28</f>
        <v>90</v>
      </c>
      <c r="P32" s="48">
        <f>'[4]Meeting Room'!$K$30</f>
        <v>165</v>
      </c>
      <c r="Q32" s="46">
        <f t="shared" ref="Q32:Q34" si="7">MAX(M32:O32)</f>
        <v>90</v>
      </c>
      <c r="R32" s="48">
        <f t="shared" ref="R32:R34" si="8">0.472*P32</f>
        <v>77.88</v>
      </c>
      <c r="S32" s="53"/>
      <c r="T32" s="53"/>
      <c r="U32" s="53"/>
      <c r="V32" s="53"/>
      <c r="W32" s="53"/>
      <c r="X32" s="53"/>
      <c r="Y32" s="53"/>
    </row>
    <row r="33" spans="2:25" ht="15.6" x14ac:dyDescent="0.3">
      <c r="B33" s="155" t="s">
        <v>36</v>
      </c>
      <c r="C33" s="156"/>
      <c r="D33" s="151"/>
      <c r="E33" s="45" t="s">
        <v>66</v>
      </c>
      <c r="F33" s="51" t="str">
        <f>'[4]Master Office'!$H$3</f>
        <v>19 to 25</v>
      </c>
      <c r="G33" s="52">
        <f>'[4]Master Office'!$J$37</f>
        <v>965.8287932400001</v>
      </c>
      <c r="H33" s="52">
        <f>'[4]Master Office'!$J$35</f>
        <v>719.95097538235052</v>
      </c>
      <c r="I33" s="46">
        <f>'[4]Master Office'!$J$39</f>
        <v>3521.6719109962296</v>
      </c>
      <c r="J33" s="46">
        <f>'[4]Master Office'!$M$35</f>
        <v>500</v>
      </c>
      <c r="K33" s="46">
        <f t="shared" si="0"/>
        <v>4021.6719109962296</v>
      </c>
      <c r="L33" s="47">
        <f>'[4]Master Office'!$J$40</f>
        <v>0.87567359768138264</v>
      </c>
      <c r="M33" s="46">
        <f>'[4]Master Office'!$G$32</f>
        <v>32.194293108000004</v>
      </c>
      <c r="N33" s="46">
        <f>'[4]Master Office'!$E$32</f>
        <v>15</v>
      </c>
      <c r="O33" s="46">
        <f>'[4]Master Office'!$J$28</f>
        <v>15</v>
      </c>
      <c r="P33" s="48">
        <f>'[4]Master Office'!$K$30</f>
        <v>131</v>
      </c>
      <c r="Q33" s="46">
        <f t="shared" si="7"/>
        <v>32.194293108000004</v>
      </c>
      <c r="R33" s="48">
        <f t="shared" si="8"/>
        <v>61.831999999999994</v>
      </c>
      <c r="S33" s="53"/>
      <c r="T33" s="53"/>
      <c r="U33" s="53"/>
      <c r="V33" s="53"/>
      <c r="W33" s="53"/>
      <c r="X33" s="53"/>
      <c r="Y33" s="53"/>
    </row>
    <row r="34" spans="2:25" ht="15.6" x14ac:dyDescent="0.3">
      <c r="B34" s="155" t="s">
        <v>35</v>
      </c>
      <c r="C34" s="156"/>
      <c r="D34" s="151"/>
      <c r="E34" s="11" t="s">
        <v>67</v>
      </c>
      <c r="F34" s="58" t="str">
        <f>[4]Master!$H$3</f>
        <v>15 to 25</v>
      </c>
      <c r="G34" s="59">
        <f>[4]Master!$J$37</f>
        <v>1593.22975344</v>
      </c>
      <c r="H34" s="59">
        <f>[4]Master!$J$35</f>
        <v>1198.9821990323503</v>
      </c>
      <c r="I34" s="60">
        <f>[4]Master!$J$39</f>
        <v>6489.7380786375088</v>
      </c>
      <c r="J34" s="60">
        <f>[4]Master!$M$35</f>
        <v>500</v>
      </c>
      <c r="K34" s="46">
        <f t="shared" si="0"/>
        <v>6989.7380786375088</v>
      </c>
      <c r="L34" s="61">
        <f>[4]Master!$J$40</f>
        <v>0.9284665613539751</v>
      </c>
      <c r="M34" s="60">
        <f>[4]Master!$G$32</f>
        <v>53.107658448000002</v>
      </c>
      <c r="N34" s="60">
        <f>[4]Master!$E$32</f>
        <v>15</v>
      </c>
      <c r="O34" s="60">
        <f>[4]Master!$J$28</f>
        <v>15</v>
      </c>
      <c r="P34" s="62">
        <f>[4]Master!$K$30</f>
        <v>241</v>
      </c>
      <c r="Q34" s="60">
        <f t="shared" si="7"/>
        <v>53.107658448000002</v>
      </c>
      <c r="R34" s="62">
        <f t="shared" si="8"/>
        <v>113.752</v>
      </c>
      <c r="S34" s="53"/>
      <c r="T34" s="53"/>
      <c r="U34" s="53"/>
      <c r="V34" s="53"/>
      <c r="W34" s="53"/>
      <c r="X34" s="53"/>
      <c r="Y34" s="53"/>
    </row>
    <row r="35" spans="2:25" ht="15.6" x14ac:dyDescent="0.3">
      <c r="B35" s="161" t="s">
        <v>41</v>
      </c>
      <c r="C35" s="158"/>
      <c r="D35" s="50" t="s">
        <v>40</v>
      </c>
      <c r="E35" s="11" t="s">
        <v>67</v>
      </c>
      <c r="F35" s="58" t="str">
        <f>'[5]Nav Room'!$H$3</f>
        <v>15 to 25</v>
      </c>
      <c r="G35" s="59">
        <f>'[5]Nav Room'!$J$40</f>
        <v>7171.3137513599995</v>
      </c>
      <c r="H35" s="59">
        <f>'[5]Nav Room'!$J$38</f>
        <v>2755.4234402099996</v>
      </c>
      <c r="I35" s="60">
        <f>'[5]Nav Room'!$J$42</f>
        <v>34930.508459175733</v>
      </c>
      <c r="J35" s="60">
        <f>'[5]Nav Room'!$M$38</f>
        <v>2000</v>
      </c>
      <c r="K35" s="46">
        <f t="shared" si="0"/>
        <v>36930.508459175733</v>
      </c>
      <c r="L35" s="61">
        <f>'[5]Nav Room'!$J$43</f>
        <v>0.94584423330616019</v>
      </c>
      <c r="M35" s="60">
        <f>'[5]Nav Room'!$G$35</f>
        <v>239.04379171199997</v>
      </c>
      <c r="N35" s="60">
        <f>'[5]Nav Room'!$E$35</f>
        <v>60</v>
      </c>
      <c r="O35" s="60">
        <f>'[5]Nav Room'!$J$31</f>
        <v>60</v>
      </c>
      <c r="P35" s="62">
        <f>'[5]Nav Room'!$K$33</f>
        <v>1294</v>
      </c>
      <c r="Q35" s="60">
        <f>MAX(M35:O35)</f>
        <v>239.04379171199997</v>
      </c>
      <c r="R35" s="62">
        <f>0.472*P35</f>
        <v>610.76799999999992</v>
      </c>
      <c r="S35" s="53"/>
      <c r="T35" s="53"/>
      <c r="U35" s="53"/>
      <c r="V35" s="53"/>
      <c r="W35" s="53"/>
      <c r="X35" s="53"/>
      <c r="Y35" s="53"/>
    </row>
    <row r="36" spans="2:25" x14ac:dyDescent="0.25"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</row>
    <row r="37" spans="2:25" x14ac:dyDescent="0.25">
      <c r="B37" s="30"/>
      <c r="C37" s="16"/>
      <c r="D37" s="16"/>
      <c r="E37" s="16"/>
      <c r="F37" s="16"/>
      <c r="G37" s="16"/>
      <c r="H37" s="16"/>
      <c r="I37" s="28"/>
      <c r="J37" s="28"/>
      <c r="K37" s="28"/>
      <c r="L37" s="16"/>
      <c r="M37" s="16"/>
      <c r="N37" s="16"/>
      <c r="O37" s="16"/>
      <c r="P37" s="16"/>
      <c r="Q37" s="16"/>
      <c r="R37" s="16"/>
      <c r="S37" s="16"/>
      <c r="T37" s="17"/>
    </row>
    <row r="38" spans="2:25" x14ac:dyDescent="0.25">
      <c r="B38" s="30"/>
      <c r="C38" s="16"/>
      <c r="D38" s="16"/>
      <c r="E38" s="16"/>
      <c r="F38" s="16"/>
      <c r="G38" s="16"/>
      <c r="H38" s="16"/>
      <c r="I38" s="28">
        <f>SUM(I10:I36)</f>
        <v>147451.22370839407</v>
      </c>
      <c r="J38" s="28">
        <f>SUM(J10:J36)</f>
        <v>32080</v>
      </c>
      <c r="K38" s="28">
        <f>SUM(K10:K36)</f>
        <v>179531.22370839404</v>
      </c>
      <c r="L38" s="16"/>
      <c r="M38" s="16"/>
      <c r="N38" s="16"/>
      <c r="O38" s="16"/>
      <c r="P38" s="42">
        <f>SUM(P10:P36)</f>
        <v>5476</v>
      </c>
      <c r="Q38" s="16"/>
      <c r="R38" s="16"/>
      <c r="S38" s="16"/>
      <c r="T38" s="17"/>
    </row>
    <row r="40" spans="2:25" x14ac:dyDescent="0.25">
      <c r="D40" s="65" t="s">
        <v>72</v>
      </c>
      <c r="E40" s="65" t="s">
        <v>73</v>
      </c>
    </row>
    <row r="41" spans="2:25" x14ac:dyDescent="0.25">
      <c r="D41" s="63" t="s">
        <v>15</v>
      </c>
      <c r="E41" s="64">
        <f>SUM(P10:P17)</f>
        <v>1641</v>
      </c>
      <c r="H41" s="82">
        <f>SUM(E43:E45)</f>
        <v>2802</v>
      </c>
    </row>
    <row r="42" spans="2:25" x14ac:dyDescent="0.25">
      <c r="D42" s="63" t="s">
        <v>22</v>
      </c>
      <c r="E42" s="64">
        <f>SUM(P18:P24)</f>
        <v>827</v>
      </c>
      <c r="H42" s="82">
        <f>E41+E45+E42</f>
        <v>3762</v>
      </c>
    </row>
    <row r="43" spans="2:25" x14ac:dyDescent="0.25">
      <c r="D43" s="63" t="s">
        <v>28</v>
      </c>
      <c r="E43" s="64">
        <f>SUM(P25:P27)+P29</f>
        <v>730</v>
      </c>
    </row>
    <row r="44" spans="2:25" x14ac:dyDescent="0.25">
      <c r="D44" s="63" t="s">
        <v>34</v>
      </c>
      <c r="E44" s="64">
        <f>SUM(P30:P34)</f>
        <v>778</v>
      </c>
    </row>
    <row r="45" spans="2:25" x14ac:dyDescent="0.25">
      <c r="D45" s="63" t="s">
        <v>40</v>
      </c>
      <c r="E45" s="64">
        <f>P35</f>
        <v>1294</v>
      </c>
    </row>
    <row r="46" spans="2:25" ht="14.4" x14ac:dyDescent="0.3">
      <c r="D46" s="66" t="s">
        <v>74</v>
      </c>
      <c r="E46" s="67">
        <f>SUM(E41:E45)</f>
        <v>5270</v>
      </c>
      <c r="F46" s="3" t="s">
        <v>75</v>
      </c>
      <c r="G46" s="68">
        <f>E46*0.472</f>
        <v>2487.44</v>
      </c>
      <c r="H46" s="2" t="s">
        <v>57</v>
      </c>
      <c r="M46"/>
    </row>
    <row r="50" spans="11:11" ht="14.4" x14ac:dyDescent="0.3">
      <c r="K50"/>
    </row>
  </sheetData>
  <mergeCells count="49">
    <mergeCell ref="S8:S9"/>
    <mergeCell ref="T8:T9"/>
    <mergeCell ref="B1:C6"/>
    <mergeCell ref="D1:T4"/>
    <mergeCell ref="D5:T5"/>
    <mergeCell ref="D6:T6"/>
    <mergeCell ref="B8:C9"/>
    <mergeCell ref="D8:D9"/>
    <mergeCell ref="F8:F9"/>
    <mergeCell ref="E8:E9"/>
    <mergeCell ref="I8:K8"/>
    <mergeCell ref="L8:L9"/>
    <mergeCell ref="B13:C13"/>
    <mergeCell ref="M8:O8"/>
    <mergeCell ref="P8:P9"/>
    <mergeCell ref="Q8:Q9"/>
    <mergeCell ref="R8:R9"/>
    <mergeCell ref="G8:G9"/>
    <mergeCell ref="H8:H9"/>
    <mergeCell ref="D10:D17"/>
    <mergeCell ref="B14:C14"/>
    <mergeCell ref="B15:C15"/>
    <mergeCell ref="B16:C16"/>
    <mergeCell ref="B17:C17"/>
    <mergeCell ref="B10:C10"/>
    <mergeCell ref="B11:C11"/>
    <mergeCell ref="B12:C12"/>
    <mergeCell ref="U8:V8"/>
    <mergeCell ref="W8:W9"/>
    <mergeCell ref="X8:X9"/>
    <mergeCell ref="Y8:Y9"/>
    <mergeCell ref="U9:V9"/>
    <mergeCell ref="B35:C35"/>
    <mergeCell ref="B23:C23"/>
    <mergeCell ref="B24:C24"/>
    <mergeCell ref="B27:C27"/>
    <mergeCell ref="B30:C30"/>
    <mergeCell ref="B31:C31"/>
    <mergeCell ref="D25:D29"/>
    <mergeCell ref="D30:D34"/>
    <mergeCell ref="B32:C32"/>
    <mergeCell ref="B33:C33"/>
    <mergeCell ref="B34:C34"/>
    <mergeCell ref="D18:D24"/>
    <mergeCell ref="B19:C19"/>
    <mergeCell ref="B20:C20"/>
    <mergeCell ref="B21:C21"/>
    <mergeCell ref="B22:C22"/>
    <mergeCell ref="B18:C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7C27-0531-4CB3-9534-3C6CB52BEECC}">
  <dimension ref="B2:AL61"/>
  <sheetViews>
    <sheetView topLeftCell="B29" zoomScale="80" zoomScaleNormal="56" workbookViewId="0">
      <selection activeCell="M43" sqref="M43"/>
    </sheetView>
  </sheetViews>
  <sheetFormatPr defaultRowHeight="14.4" x14ac:dyDescent="0.3"/>
  <cols>
    <col min="2" max="2" width="10.109375" customWidth="1"/>
    <col min="3" max="3" width="9.33203125" customWidth="1"/>
    <col min="4" max="4" width="10.21875" customWidth="1"/>
    <col min="7" max="7" width="12.88671875" bestFit="1" customWidth="1"/>
    <col min="8" max="8" width="12.109375" bestFit="1" customWidth="1"/>
    <col min="9" max="9" width="12.44140625" bestFit="1" customWidth="1"/>
    <col min="10" max="10" width="13.5546875" bestFit="1" customWidth="1"/>
    <col min="11" max="11" width="15.33203125" bestFit="1" customWidth="1"/>
    <col min="12" max="12" width="10.88671875" bestFit="1" customWidth="1"/>
    <col min="13" max="13" width="7.77734375" bestFit="1" customWidth="1"/>
    <col min="14" max="15" width="9.5546875" bestFit="1" customWidth="1"/>
    <col min="16" max="16" width="8.5546875" bestFit="1" customWidth="1"/>
    <col min="17" max="17" width="15.33203125" bestFit="1" customWidth="1"/>
    <col min="18" max="18" width="10.88671875" bestFit="1" customWidth="1"/>
    <col min="19" max="19" width="7.77734375" bestFit="1" customWidth="1"/>
  </cols>
  <sheetData>
    <row r="2" spans="2:38" x14ac:dyDescent="0.3">
      <c r="B2" s="70">
        <v>1</v>
      </c>
      <c r="C2" s="70">
        <v>2</v>
      </c>
      <c r="D2" s="70">
        <v>3</v>
      </c>
      <c r="E2" s="70">
        <v>4</v>
      </c>
      <c r="F2" s="70">
        <v>5</v>
      </c>
      <c r="G2" s="70">
        <v>6</v>
      </c>
      <c r="H2" s="70">
        <v>7</v>
      </c>
      <c r="I2" s="70">
        <v>8</v>
      </c>
      <c r="J2" s="181">
        <v>9</v>
      </c>
      <c r="K2" s="182"/>
      <c r="L2" s="70">
        <v>10</v>
      </c>
      <c r="M2" s="70">
        <v>11</v>
      </c>
      <c r="N2" s="185">
        <v>12</v>
      </c>
      <c r="O2" s="185"/>
      <c r="Q2" s="70">
        <v>1</v>
      </c>
      <c r="R2" s="70">
        <v>2</v>
      </c>
      <c r="S2" s="70">
        <v>3</v>
      </c>
      <c r="T2" s="70">
        <v>4</v>
      </c>
      <c r="U2" s="70">
        <v>5</v>
      </c>
      <c r="V2" s="70">
        <v>6</v>
      </c>
      <c r="W2" s="70">
        <v>7</v>
      </c>
      <c r="X2" s="70">
        <v>8</v>
      </c>
      <c r="Y2" s="181">
        <v>9</v>
      </c>
      <c r="Z2" s="182"/>
      <c r="AA2" s="70">
        <v>10</v>
      </c>
      <c r="AB2" s="70">
        <v>11</v>
      </c>
      <c r="AC2" s="185">
        <v>12</v>
      </c>
      <c r="AD2" s="185"/>
    </row>
    <row r="3" spans="2:38" ht="72" customHeight="1" x14ac:dyDescent="0.3">
      <c r="B3" s="183" t="s">
        <v>76</v>
      </c>
      <c r="C3" s="183" t="s">
        <v>77</v>
      </c>
      <c r="D3" s="183" t="s">
        <v>78</v>
      </c>
      <c r="E3" s="183" t="s">
        <v>79</v>
      </c>
      <c r="F3" s="183"/>
      <c r="G3" s="183" t="s">
        <v>82</v>
      </c>
      <c r="H3" s="183" t="s">
        <v>83</v>
      </c>
      <c r="I3" s="183" t="s">
        <v>84</v>
      </c>
      <c r="J3" s="196" t="s">
        <v>166</v>
      </c>
      <c r="K3" s="197"/>
      <c r="L3" s="183" t="s">
        <v>86</v>
      </c>
      <c r="M3" s="183" t="s">
        <v>118</v>
      </c>
      <c r="N3" s="183" t="s">
        <v>162</v>
      </c>
      <c r="O3" s="183"/>
      <c r="Q3" s="183" t="s">
        <v>76</v>
      </c>
      <c r="R3" s="183" t="s">
        <v>77</v>
      </c>
      <c r="S3" s="183" t="s">
        <v>78</v>
      </c>
      <c r="T3" s="183" t="s">
        <v>79</v>
      </c>
      <c r="U3" s="183"/>
      <c r="V3" s="183" t="s">
        <v>82</v>
      </c>
      <c r="W3" s="183" t="s">
        <v>83</v>
      </c>
      <c r="X3" s="183" t="s">
        <v>84</v>
      </c>
      <c r="Y3" s="196" t="s">
        <v>85</v>
      </c>
      <c r="Z3" s="197"/>
      <c r="AA3" s="183" t="s">
        <v>86</v>
      </c>
      <c r="AB3" s="183" t="s">
        <v>118</v>
      </c>
      <c r="AC3" s="183" t="s">
        <v>162</v>
      </c>
      <c r="AD3" s="183"/>
    </row>
    <row r="4" spans="2:38" x14ac:dyDescent="0.3">
      <c r="B4" s="183"/>
      <c r="C4" s="183"/>
      <c r="D4" s="183"/>
      <c r="E4" s="1" t="s">
        <v>80</v>
      </c>
      <c r="F4" s="1" t="s">
        <v>81</v>
      </c>
      <c r="G4" s="183"/>
      <c r="H4" s="183"/>
      <c r="I4" s="183"/>
      <c r="J4" s="79" t="s">
        <v>164</v>
      </c>
      <c r="K4" s="81" t="s">
        <v>165</v>
      </c>
      <c r="L4" s="183"/>
      <c r="M4" s="183"/>
      <c r="N4" s="79" t="s">
        <v>164</v>
      </c>
      <c r="O4" s="81" t="s">
        <v>167</v>
      </c>
      <c r="Q4" s="183"/>
      <c r="R4" s="183"/>
      <c r="S4" s="183"/>
      <c r="T4" s="1" t="s">
        <v>80</v>
      </c>
      <c r="U4" s="1" t="s">
        <v>81</v>
      </c>
      <c r="V4" s="183"/>
      <c r="W4" s="183"/>
      <c r="X4" s="183"/>
      <c r="Y4" s="81" t="s">
        <v>164</v>
      </c>
      <c r="Z4" s="79" t="s">
        <v>165</v>
      </c>
      <c r="AA4" s="183"/>
      <c r="AB4" s="183"/>
      <c r="AC4" s="81" t="s">
        <v>164</v>
      </c>
      <c r="AD4" s="79" t="s">
        <v>167</v>
      </c>
    </row>
    <row r="5" spans="2:38" x14ac:dyDescent="0.3">
      <c r="B5" s="1" t="str">
        <f>B19</f>
        <v>MD (B-01)</v>
      </c>
      <c r="C5" s="72">
        <f>H14</f>
        <v>1641</v>
      </c>
      <c r="D5" s="1">
        <f>C20+C45</f>
        <v>20.36544</v>
      </c>
      <c r="E5" s="1"/>
      <c r="F5" s="1"/>
      <c r="G5" s="1">
        <v>1.25</v>
      </c>
      <c r="H5" s="75">
        <f>G5+G6</f>
        <v>1.9424249599999999</v>
      </c>
      <c r="I5" s="1">
        <v>1.5</v>
      </c>
      <c r="J5" s="1">
        <v>8</v>
      </c>
      <c r="K5">
        <f>J5*$AH$8</f>
        <v>0.20319999999999999</v>
      </c>
      <c r="L5" s="1">
        <v>4500</v>
      </c>
      <c r="M5" s="1"/>
      <c r="N5" s="1"/>
      <c r="O5" s="1"/>
      <c r="Q5" s="1" t="str">
        <f>B5</f>
        <v>MD (B-01)</v>
      </c>
      <c r="R5" s="72">
        <f>C5</f>
        <v>1641</v>
      </c>
      <c r="S5" s="1">
        <f>D5</f>
        <v>20.36544</v>
      </c>
      <c r="T5" s="1"/>
      <c r="U5" s="1"/>
      <c r="V5" s="1">
        <f>G5</f>
        <v>1.25</v>
      </c>
      <c r="W5" s="75">
        <f>V5+V6</f>
        <v>1.9424249599999999</v>
      </c>
      <c r="X5" s="1">
        <v>1.5</v>
      </c>
      <c r="Y5" s="1">
        <v>8</v>
      </c>
      <c r="Z5" s="1">
        <f>Y5*$AH$8</f>
        <v>0.20319999999999999</v>
      </c>
      <c r="AA5" s="1">
        <v>4500</v>
      </c>
      <c r="AB5" s="1"/>
      <c r="AC5" s="1"/>
      <c r="AD5" s="1"/>
    </row>
    <row r="6" spans="2:38" x14ac:dyDescent="0.3">
      <c r="B6" s="1"/>
      <c r="C6" s="1"/>
      <c r="D6" s="1"/>
      <c r="E6" s="1"/>
      <c r="F6" s="1"/>
      <c r="G6" s="1">
        <f>AK7</f>
        <v>0.69242495999999998</v>
      </c>
      <c r="H6" s="75"/>
      <c r="I6" s="1">
        <v>1.5</v>
      </c>
      <c r="J6" s="1"/>
      <c r="L6" s="1"/>
      <c r="M6" s="1"/>
      <c r="N6" s="1"/>
      <c r="O6" s="1"/>
      <c r="Q6" s="1"/>
      <c r="R6" s="1"/>
      <c r="S6" s="1"/>
      <c r="T6" s="1"/>
      <c r="U6" s="1"/>
      <c r="V6" s="1">
        <f>G6</f>
        <v>0.69242495999999998</v>
      </c>
      <c r="W6" s="75"/>
      <c r="X6" s="1">
        <v>1.5</v>
      </c>
      <c r="Y6" s="1"/>
      <c r="Z6" s="1"/>
      <c r="AA6" s="1"/>
      <c r="AB6" s="1"/>
      <c r="AC6" s="1"/>
      <c r="AF6" s="69">
        <v>1</v>
      </c>
      <c r="AG6" s="69" t="s">
        <v>87</v>
      </c>
      <c r="AH6" s="69">
        <v>3.28</v>
      </c>
      <c r="AI6" s="69" t="s">
        <v>88</v>
      </c>
      <c r="AJ6" t="s">
        <v>100</v>
      </c>
      <c r="AK6">
        <v>3.4</v>
      </c>
      <c r="AL6" t="s">
        <v>95</v>
      </c>
    </row>
    <row r="7" spans="2:38" x14ac:dyDescent="0.3">
      <c r="B7" s="1" t="str">
        <f>B21</f>
        <v>MD (01-02)</v>
      </c>
      <c r="C7" s="72">
        <f>D14</f>
        <v>843</v>
      </c>
      <c r="D7" s="1">
        <f>C22</f>
        <v>7.5439999999999987</v>
      </c>
      <c r="E7" s="1">
        <v>1.25</v>
      </c>
      <c r="F7" s="1">
        <v>0.92</v>
      </c>
      <c r="G7" s="1">
        <f>E7-F7</f>
        <v>0.32999999999999996</v>
      </c>
      <c r="H7" s="75">
        <f>H5-G7</f>
        <v>1.6124249599999998</v>
      </c>
      <c r="I7" s="1">
        <v>1.5</v>
      </c>
      <c r="J7" s="1">
        <v>7</v>
      </c>
      <c r="K7">
        <f>J7*$AH$8</f>
        <v>0.17779999999999999</v>
      </c>
      <c r="L7" s="1">
        <v>3200</v>
      </c>
      <c r="M7" s="1">
        <v>0.34</v>
      </c>
      <c r="N7" s="1">
        <v>4</v>
      </c>
      <c r="O7" s="1">
        <f>N7*$AH$9</f>
        <v>101.6</v>
      </c>
      <c r="Q7" s="1" t="str">
        <f>Q22</f>
        <v>MD (01-05)</v>
      </c>
      <c r="R7" s="72">
        <f>T15</f>
        <v>798</v>
      </c>
      <c r="S7" s="1">
        <f>R23</f>
        <v>2.2959999999999998</v>
      </c>
      <c r="T7" s="1">
        <v>1.25</v>
      </c>
      <c r="U7" s="1">
        <v>1.5</v>
      </c>
      <c r="V7" s="1">
        <f>T7-U7</f>
        <v>-0.25</v>
      </c>
      <c r="W7" s="75">
        <f>W5-V7</f>
        <v>2.1924249599999999</v>
      </c>
      <c r="X7" s="1">
        <v>1.5</v>
      </c>
      <c r="Y7" s="1">
        <v>6</v>
      </c>
      <c r="Z7" s="1">
        <f t="shared" ref="Z7:Z11" si="0">Y7*$AH$8</f>
        <v>0.15239999999999998</v>
      </c>
      <c r="AA7" s="1">
        <v>3900</v>
      </c>
      <c r="AB7" s="1">
        <v>0.32</v>
      </c>
      <c r="AC7" s="1">
        <v>4</v>
      </c>
      <c r="AD7" s="1">
        <f>AC7*$AH$9</f>
        <v>101.6</v>
      </c>
      <c r="AF7" s="74">
        <v>1</v>
      </c>
      <c r="AG7" s="74" t="s">
        <v>99</v>
      </c>
      <c r="AH7" s="74">
        <v>8.3400000000000002E-2</v>
      </c>
      <c r="AI7" s="69" t="s">
        <v>88</v>
      </c>
      <c r="AJ7" t="s">
        <v>92</v>
      </c>
      <c r="AK7">
        <f>(D5*AK6)/100</f>
        <v>0.69242495999999998</v>
      </c>
      <c r="AL7" t="s">
        <v>95</v>
      </c>
    </row>
    <row r="8" spans="2:38" x14ac:dyDescent="0.3">
      <c r="B8" s="1" t="str">
        <f>B23</f>
        <v>MD (02-03)</v>
      </c>
      <c r="C8" s="72">
        <f>D15</f>
        <v>706</v>
      </c>
      <c r="D8" s="1">
        <f>C24</f>
        <v>12.431199999999999</v>
      </c>
      <c r="E8" s="1">
        <v>0.55000000000000004</v>
      </c>
      <c r="F8" s="1">
        <v>0.88</v>
      </c>
      <c r="G8" s="1">
        <f>E8-F8</f>
        <v>-0.32999999999999996</v>
      </c>
      <c r="H8" s="75">
        <f>H7-G8</f>
        <v>1.9424249599999999</v>
      </c>
      <c r="I8" s="1">
        <v>1.5</v>
      </c>
      <c r="J8" s="1">
        <v>7</v>
      </c>
      <c r="K8">
        <f>J8*$AH$8</f>
        <v>0.17779999999999999</v>
      </c>
      <c r="L8" s="1">
        <v>2600</v>
      </c>
      <c r="M8" s="1">
        <v>0.7</v>
      </c>
      <c r="N8" s="1">
        <v>6</v>
      </c>
      <c r="O8" s="1">
        <f t="shared" ref="O8:O9" si="1">N8*$AH$9</f>
        <v>152.39999999999998</v>
      </c>
      <c r="Q8" s="1" t="str">
        <f>Q24</f>
        <v>MD (05-06)</v>
      </c>
      <c r="R8" s="72">
        <f>T16</f>
        <v>667</v>
      </c>
      <c r="S8" s="1">
        <f>R25</f>
        <v>9.5775999999999986</v>
      </c>
      <c r="T8" s="1">
        <v>0.92</v>
      </c>
      <c r="U8" s="1">
        <v>1.1000000000000001</v>
      </c>
      <c r="V8" s="1">
        <f>T8-U8</f>
        <v>-0.18000000000000005</v>
      </c>
      <c r="W8" s="75">
        <f>W7-V8</f>
        <v>2.37242496</v>
      </c>
      <c r="X8" s="1">
        <v>1.5</v>
      </c>
      <c r="Y8" s="1">
        <v>6</v>
      </c>
      <c r="Z8" s="1">
        <f t="shared" si="0"/>
        <v>0.15239999999999998</v>
      </c>
      <c r="AA8" s="1">
        <v>3300</v>
      </c>
      <c r="AB8" s="1">
        <v>0.61</v>
      </c>
      <c r="AC8" s="1">
        <v>4</v>
      </c>
      <c r="AD8" s="1">
        <f t="shared" ref="AD8:AD11" si="2">AC8*$AH$9</f>
        <v>101.6</v>
      </c>
      <c r="AF8" s="74">
        <v>1</v>
      </c>
      <c r="AG8" s="74" t="s">
        <v>99</v>
      </c>
      <c r="AH8" s="74">
        <v>2.5399999999999999E-2</v>
      </c>
      <c r="AI8" t="s">
        <v>94</v>
      </c>
    </row>
    <row r="9" spans="2:38" x14ac:dyDescent="0.3">
      <c r="B9" s="1" t="str">
        <f>B25</f>
        <v>MD (03-04)</v>
      </c>
      <c r="C9" s="72">
        <f>C16</f>
        <v>234</v>
      </c>
      <c r="D9" s="1">
        <f>C26</f>
        <v>12.628</v>
      </c>
      <c r="E9" s="1">
        <v>3.8</v>
      </c>
      <c r="F9" s="1">
        <v>3</v>
      </c>
      <c r="G9" s="1">
        <f>E9-F9</f>
        <v>0.79999999999999982</v>
      </c>
      <c r="H9" s="75">
        <f>H8-G9</f>
        <v>1.14242496</v>
      </c>
      <c r="I9" s="1">
        <v>1.5</v>
      </c>
      <c r="J9" s="1">
        <v>5</v>
      </c>
      <c r="K9">
        <f>J9*$AH$8</f>
        <v>0.127</v>
      </c>
      <c r="L9" s="1">
        <v>1600</v>
      </c>
      <c r="M9" s="1">
        <v>0.36</v>
      </c>
      <c r="N9" s="1">
        <v>5</v>
      </c>
      <c r="O9" s="1">
        <f t="shared" si="1"/>
        <v>127</v>
      </c>
      <c r="Q9" s="1" t="str">
        <f>Q26</f>
        <v>MD (06-07)</v>
      </c>
      <c r="R9" s="72">
        <f>T17</f>
        <v>483</v>
      </c>
      <c r="S9" s="1">
        <f>R27+(R33*2)</f>
        <v>38.283199999999994</v>
      </c>
      <c r="T9" s="1">
        <v>0.26</v>
      </c>
      <c r="U9" s="1">
        <v>0.3</v>
      </c>
      <c r="V9" s="1">
        <f>T9-U9</f>
        <v>-3.999999999999998E-2</v>
      </c>
      <c r="W9" s="75">
        <f>W8-V9</f>
        <v>2.4124249600000001</v>
      </c>
      <c r="X9" s="1">
        <v>1.5</v>
      </c>
      <c r="Y9" s="1">
        <v>7</v>
      </c>
      <c r="Z9" s="1">
        <f t="shared" si="0"/>
        <v>0.17779999999999999</v>
      </c>
      <c r="AA9" s="1">
        <v>1800</v>
      </c>
      <c r="AB9" s="1">
        <v>0.6</v>
      </c>
      <c r="AC9" s="1">
        <v>4</v>
      </c>
      <c r="AD9" s="1">
        <f t="shared" si="2"/>
        <v>101.6</v>
      </c>
      <c r="AE9" s="76">
        <f>W9+X9+AB9</f>
        <v>4.5124249599999997</v>
      </c>
      <c r="AF9" s="74">
        <v>1</v>
      </c>
      <c r="AG9" s="74" t="s">
        <v>99</v>
      </c>
      <c r="AH9">
        <f>AH8*1000</f>
        <v>25.4</v>
      </c>
      <c r="AI9" t="s">
        <v>163</v>
      </c>
    </row>
    <row r="10" spans="2:38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Q10" s="1" t="str">
        <f>Q28</f>
        <v>MD (07-08)</v>
      </c>
      <c r="R10" s="72">
        <f>T18</f>
        <v>300</v>
      </c>
      <c r="S10" s="1">
        <f>R29</f>
        <v>9.6760000000000002</v>
      </c>
      <c r="T10" s="1">
        <v>0.19</v>
      </c>
      <c r="U10" s="1">
        <v>0.22500000000000001</v>
      </c>
      <c r="V10" s="1">
        <f>T10-U10</f>
        <v>-3.5000000000000003E-2</v>
      </c>
      <c r="W10" s="75">
        <f>W9-V10</f>
        <v>2.4474249600000002</v>
      </c>
      <c r="X10" s="1">
        <v>1.5</v>
      </c>
      <c r="Y10" s="1">
        <v>6</v>
      </c>
      <c r="Z10" s="1">
        <f t="shared" si="0"/>
        <v>0.15239999999999998</v>
      </c>
      <c r="AA10" s="1">
        <v>1460</v>
      </c>
      <c r="AB10" s="1">
        <v>0.35</v>
      </c>
      <c r="AC10" s="1">
        <v>4</v>
      </c>
      <c r="AD10" s="1">
        <f t="shared" si="2"/>
        <v>101.6</v>
      </c>
      <c r="AE10" s="76">
        <f>W10+X10+AB10</f>
        <v>4.2974249599999998</v>
      </c>
    </row>
    <row r="11" spans="2:38" x14ac:dyDescent="0.3">
      <c r="Q11" s="1" t="str">
        <f>Q30</f>
        <v>MD (08-09)</v>
      </c>
      <c r="R11" s="72">
        <f>S19</f>
        <v>159</v>
      </c>
      <c r="S11" s="1">
        <f>R31</f>
        <v>10.364800000000001</v>
      </c>
      <c r="T11" s="1">
        <v>0.12</v>
      </c>
      <c r="U11" s="1">
        <v>0.15</v>
      </c>
      <c r="V11" s="1">
        <f>T11-U11</f>
        <v>-0.03</v>
      </c>
      <c r="W11" s="75">
        <f>W10-V11</f>
        <v>2.47742496</v>
      </c>
      <c r="X11" s="1">
        <v>1.5</v>
      </c>
      <c r="Y11" s="1">
        <v>5</v>
      </c>
      <c r="Z11" s="1">
        <f t="shared" si="0"/>
        <v>0.127</v>
      </c>
      <c r="AA11" s="1">
        <v>1100</v>
      </c>
      <c r="AB11" s="1">
        <v>0.47</v>
      </c>
      <c r="AC11" s="1">
        <v>4</v>
      </c>
      <c r="AD11" s="1">
        <f t="shared" si="2"/>
        <v>101.6</v>
      </c>
      <c r="AE11" s="76">
        <f>W11+X11+AB11</f>
        <v>4.4474249600000002</v>
      </c>
    </row>
    <row r="12" spans="2:38" x14ac:dyDescent="0.3">
      <c r="R12" t="s">
        <v>140</v>
      </c>
      <c r="V12" s="78">
        <f>W9</f>
        <v>2.4124249600000001</v>
      </c>
      <c r="W12" s="74" t="s">
        <v>141</v>
      </c>
      <c r="X12" s="74">
        <f>+X9</f>
        <v>1.5</v>
      </c>
      <c r="Y12" s="74" t="s">
        <v>141</v>
      </c>
      <c r="Z12" s="74"/>
      <c r="AA12" s="74">
        <f>+AB9</f>
        <v>0.6</v>
      </c>
      <c r="AB12" s="74" t="s">
        <v>143</v>
      </c>
      <c r="AC12" s="78">
        <f>+V12+X12+AA12</f>
        <v>4.5124249599999997</v>
      </c>
      <c r="AD12" s="78"/>
    </row>
    <row r="13" spans="2:38" x14ac:dyDescent="0.3">
      <c r="B13" t="s">
        <v>96</v>
      </c>
      <c r="E13" t="s">
        <v>57</v>
      </c>
      <c r="G13" t="s">
        <v>98</v>
      </c>
      <c r="AA13" s="76"/>
    </row>
    <row r="14" spans="2:38" x14ac:dyDescent="0.3">
      <c r="B14" t="s">
        <v>89</v>
      </c>
      <c r="C14" s="71">
        <f>Summary!P12</f>
        <v>137</v>
      </c>
      <c r="D14" s="71">
        <f>SUM(C14:C16)</f>
        <v>843</v>
      </c>
      <c r="E14">
        <f>C14*0.472</f>
        <v>64.664000000000001</v>
      </c>
      <c r="G14" t="str">
        <f>B5</f>
        <v>MD (B-01)</v>
      </c>
      <c r="H14" s="71">
        <f>D14+T15</f>
        <v>1641</v>
      </c>
      <c r="M14" s="71"/>
      <c r="Q14" t="s">
        <v>97</v>
      </c>
      <c r="V14" t="s">
        <v>57</v>
      </c>
      <c r="Y14" t="s">
        <v>98</v>
      </c>
    </row>
    <row r="15" spans="2:38" ht="15.6" x14ac:dyDescent="0.3">
      <c r="B15" t="s">
        <v>90</v>
      </c>
      <c r="C15">
        <f>Summary!P11</f>
        <v>472</v>
      </c>
      <c r="D15" s="71">
        <f>C15+C16</f>
        <v>706</v>
      </c>
      <c r="E15">
        <f>C15*0.472</f>
        <v>222.78399999999999</v>
      </c>
      <c r="G15" t="str">
        <f>B7</f>
        <v>MD (01-02)</v>
      </c>
      <c r="H15" s="71">
        <f>C7</f>
        <v>843</v>
      </c>
      <c r="M15" s="71"/>
      <c r="Q15" s="195" t="s">
        <v>21</v>
      </c>
      <c r="R15" s="195"/>
      <c r="S15" s="71">
        <f>Summary!P13</f>
        <v>131</v>
      </c>
      <c r="T15" s="71">
        <f>SUM(S15:S19)</f>
        <v>798</v>
      </c>
      <c r="V15">
        <f>S15*0.472</f>
        <v>61.831999999999994</v>
      </c>
      <c r="Y15" t="str">
        <f>Q5</f>
        <v>MD (B-01)</v>
      </c>
      <c r="Z15" s="71">
        <f>R5</f>
        <v>1641</v>
      </c>
    </row>
    <row r="16" spans="2:38" ht="15.6" x14ac:dyDescent="0.3">
      <c r="B16" t="s">
        <v>91</v>
      </c>
      <c r="C16" s="71">
        <f>Summary!P10</f>
        <v>234</v>
      </c>
      <c r="E16">
        <f>C16*0.472</f>
        <v>110.44799999999999</v>
      </c>
      <c r="G16" t="str">
        <f>B7</f>
        <v>MD (01-02)</v>
      </c>
      <c r="H16" s="71">
        <f>C8</f>
        <v>706</v>
      </c>
      <c r="M16" s="71"/>
      <c r="Q16" s="73" t="s">
        <v>17</v>
      </c>
      <c r="R16" s="73"/>
      <c r="S16" s="71">
        <f>Summary!P14</f>
        <v>184</v>
      </c>
      <c r="T16" s="71">
        <f>SUM(S16:S19)</f>
        <v>667</v>
      </c>
      <c r="V16">
        <f>S16*0.472</f>
        <v>86.847999999999999</v>
      </c>
      <c r="Y16" t="str">
        <f t="shared" ref="Y16:Z20" si="3">Q7</f>
        <v>MD (01-05)</v>
      </c>
      <c r="Z16" s="71">
        <f t="shared" si="3"/>
        <v>798</v>
      </c>
    </row>
    <row r="17" spans="2:26" ht="15.6" x14ac:dyDescent="0.3">
      <c r="G17" t="str">
        <f>B9</f>
        <v>MD (03-04)</v>
      </c>
      <c r="H17" s="71">
        <f>C9</f>
        <v>234</v>
      </c>
      <c r="M17" s="71"/>
      <c r="Q17" s="73" t="s">
        <v>20</v>
      </c>
      <c r="R17" s="73"/>
      <c r="S17" s="71">
        <f>Summary!P17</f>
        <v>183</v>
      </c>
      <c r="T17" s="71">
        <f>SUM(S17:S19)</f>
        <v>483</v>
      </c>
      <c r="V17">
        <f>S17*0.472</f>
        <v>86.375999999999991</v>
      </c>
      <c r="Y17" t="str">
        <f t="shared" si="3"/>
        <v>MD (05-06)</v>
      </c>
      <c r="Z17" s="71">
        <f t="shared" si="3"/>
        <v>667</v>
      </c>
    </row>
    <row r="18" spans="2:26" ht="15.6" x14ac:dyDescent="0.3">
      <c r="B18" t="s">
        <v>93</v>
      </c>
      <c r="Q18" s="73" t="s">
        <v>19</v>
      </c>
      <c r="R18" s="73"/>
      <c r="S18" s="71">
        <f>Summary!P16</f>
        <v>141</v>
      </c>
      <c r="T18" s="71">
        <f>S18+S19</f>
        <v>300</v>
      </c>
      <c r="V18">
        <f>S18*0.472</f>
        <v>66.551999999999992</v>
      </c>
      <c r="Y18" t="str">
        <f t="shared" si="3"/>
        <v>MD (06-07)</v>
      </c>
      <c r="Z18" s="71">
        <f t="shared" si="3"/>
        <v>483</v>
      </c>
    </row>
    <row r="19" spans="2:26" ht="15.6" x14ac:dyDescent="0.3">
      <c r="B19" t="s">
        <v>131</v>
      </c>
      <c r="C19">
        <v>3.7679999999999998</v>
      </c>
      <c r="D19" t="s">
        <v>94</v>
      </c>
      <c r="Q19" s="73" t="s">
        <v>18</v>
      </c>
      <c r="R19" s="73"/>
      <c r="S19" s="71">
        <f>Summary!P15</f>
        <v>159</v>
      </c>
      <c r="V19">
        <f>S19*0.472</f>
        <v>75.048000000000002</v>
      </c>
      <c r="Y19" t="str">
        <f t="shared" si="3"/>
        <v>MD (07-08)</v>
      </c>
      <c r="Z19" s="71">
        <f t="shared" si="3"/>
        <v>300</v>
      </c>
    </row>
    <row r="20" spans="2:26" x14ac:dyDescent="0.3">
      <c r="C20">
        <f>C19*AH6</f>
        <v>12.359039999999998</v>
      </c>
      <c r="D20" t="s">
        <v>88</v>
      </c>
      <c r="Y20" t="str">
        <f t="shared" si="3"/>
        <v>MD (08-09)</v>
      </c>
      <c r="Z20" s="71">
        <f t="shared" si="3"/>
        <v>159</v>
      </c>
    </row>
    <row r="21" spans="2:26" x14ac:dyDescent="0.3">
      <c r="B21" t="s">
        <v>101</v>
      </c>
      <c r="C21">
        <v>2.2999999999999998</v>
      </c>
      <c r="D21" t="s">
        <v>94</v>
      </c>
      <c r="Q21" t="s">
        <v>93</v>
      </c>
    </row>
    <row r="22" spans="2:26" x14ac:dyDescent="0.3">
      <c r="C22">
        <f>C21*AH6</f>
        <v>7.5439999999999987</v>
      </c>
      <c r="D22" t="s">
        <v>88</v>
      </c>
      <c r="Q22" t="s">
        <v>112</v>
      </c>
      <c r="R22">
        <v>0.7</v>
      </c>
      <c r="S22" t="s">
        <v>94</v>
      </c>
    </row>
    <row r="23" spans="2:26" x14ac:dyDescent="0.3">
      <c r="B23" t="s">
        <v>102</v>
      </c>
      <c r="C23">
        <v>3.79</v>
      </c>
      <c r="D23" t="s">
        <v>94</v>
      </c>
      <c r="R23">
        <f>R22*AH6</f>
        <v>2.2959999999999998</v>
      </c>
      <c r="S23" t="s">
        <v>88</v>
      </c>
    </row>
    <row r="24" spans="2:26" x14ac:dyDescent="0.3">
      <c r="C24">
        <f>C23*AH6</f>
        <v>12.431199999999999</v>
      </c>
      <c r="D24" t="s">
        <v>88</v>
      </c>
      <c r="Q24" t="s">
        <v>113</v>
      </c>
      <c r="R24">
        <v>2.92</v>
      </c>
      <c r="S24" t="s">
        <v>94</v>
      </c>
    </row>
    <row r="25" spans="2:26" x14ac:dyDescent="0.3">
      <c r="B25" t="s">
        <v>111</v>
      </c>
      <c r="C25">
        <v>3.85</v>
      </c>
      <c r="D25" t="s">
        <v>94</v>
      </c>
      <c r="R25">
        <f>R24*AH6</f>
        <v>9.5775999999999986</v>
      </c>
      <c r="S25" t="s">
        <v>88</v>
      </c>
    </row>
    <row r="26" spans="2:26" x14ac:dyDescent="0.3">
      <c r="C26">
        <f>C25*AH6</f>
        <v>12.628</v>
      </c>
      <c r="D26" t="s">
        <v>88</v>
      </c>
      <c r="Q26" t="s">
        <v>114</v>
      </c>
      <c r="R26">
        <f>0.62+7.24+0.58</f>
        <v>8.44</v>
      </c>
      <c r="S26" t="s">
        <v>94</v>
      </c>
      <c r="T26">
        <f>0.62*AH6</f>
        <v>2.0335999999999999</v>
      </c>
      <c r="U26">
        <f>7.24*AH6</f>
        <v>23.747199999999999</v>
      </c>
      <c r="V26">
        <f>0.58*AH6</f>
        <v>1.9023999999999996</v>
      </c>
    </row>
    <row r="27" spans="2:26" x14ac:dyDescent="0.3">
      <c r="B27" t="s">
        <v>175</v>
      </c>
      <c r="D27">
        <v>2</v>
      </c>
      <c r="E27" t="s">
        <v>94</v>
      </c>
      <c r="R27">
        <f>R26*AH6</f>
        <v>27.683199999999996</v>
      </c>
      <c r="S27" t="s">
        <v>88</v>
      </c>
    </row>
    <row r="28" spans="2:26" x14ac:dyDescent="0.3">
      <c r="D28">
        <f>D27*AH6</f>
        <v>6.56</v>
      </c>
      <c r="E28" t="s">
        <v>88</v>
      </c>
      <c r="Q28" t="s">
        <v>115</v>
      </c>
      <c r="R28">
        <v>2.95</v>
      </c>
      <c r="S28" t="s">
        <v>94</v>
      </c>
    </row>
    <row r="29" spans="2:26" x14ac:dyDescent="0.3">
      <c r="B29" t="s">
        <v>190</v>
      </c>
      <c r="D29">
        <v>2.5</v>
      </c>
      <c r="E29" t="s">
        <v>94</v>
      </c>
      <c r="R29">
        <f>R28*AH6</f>
        <v>9.6760000000000002</v>
      </c>
      <c r="S29" t="s">
        <v>88</v>
      </c>
    </row>
    <row r="30" spans="2:26" x14ac:dyDescent="0.3">
      <c r="D30">
        <f>D29*AH6</f>
        <v>8.1999999999999993</v>
      </c>
      <c r="E30" t="s">
        <v>88</v>
      </c>
      <c r="Q30" t="s">
        <v>116</v>
      </c>
      <c r="R30">
        <v>3.16</v>
      </c>
      <c r="S30" t="s">
        <v>94</v>
      </c>
    </row>
    <row r="31" spans="2:26" x14ac:dyDescent="0.3">
      <c r="R31">
        <f>R30*AH6</f>
        <v>10.364800000000001</v>
      </c>
      <c r="S31" t="s">
        <v>88</v>
      </c>
    </row>
    <row r="32" spans="2:26" x14ac:dyDescent="0.3">
      <c r="B32" t="s">
        <v>104</v>
      </c>
      <c r="C32" t="s">
        <v>103</v>
      </c>
    </row>
    <row r="33" spans="2:19" x14ac:dyDescent="0.3">
      <c r="B33" t="s">
        <v>105</v>
      </c>
      <c r="C33" t="s">
        <v>106</v>
      </c>
      <c r="Q33" t="s">
        <v>125</v>
      </c>
      <c r="R33">
        <v>5.3</v>
      </c>
      <c r="S33" t="s">
        <v>88</v>
      </c>
    </row>
    <row r="34" spans="2:19" x14ac:dyDescent="0.3">
      <c r="B34" t="s">
        <v>105</v>
      </c>
      <c r="C34">
        <f>0.24/12</f>
        <v>0.02</v>
      </c>
    </row>
    <row r="35" spans="2:19" x14ac:dyDescent="0.3">
      <c r="B35" t="s">
        <v>104</v>
      </c>
      <c r="C35" t="s">
        <v>103</v>
      </c>
      <c r="G35" s="84"/>
      <c r="H35" s="83" t="s">
        <v>179</v>
      </c>
      <c r="I35" s="83"/>
      <c r="J35" s="83"/>
      <c r="K35" s="192" t="s">
        <v>182</v>
      </c>
      <c r="L35" s="193"/>
      <c r="M35" s="194"/>
      <c r="N35" s="181" t="s">
        <v>181</v>
      </c>
      <c r="O35" s="182"/>
      <c r="P35" s="186" t="s">
        <v>180</v>
      </c>
      <c r="Q35" s="186"/>
      <c r="R35" s="186"/>
    </row>
    <row r="36" spans="2:19" x14ac:dyDescent="0.3">
      <c r="B36" t="s">
        <v>107</v>
      </c>
      <c r="C36" t="s">
        <v>108</v>
      </c>
      <c r="G36" s="1"/>
      <c r="H36" s="70" t="s">
        <v>183</v>
      </c>
      <c r="I36" s="70" t="s">
        <v>186</v>
      </c>
      <c r="J36" s="84" t="s">
        <v>184</v>
      </c>
      <c r="K36" s="1" t="s">
        <v>179</v>
      </c>
      <c r="L36" s="190" t="s">
        <v>180</v>
      </c>
      <c r="M36" s="191"/>
      <c r="N36" s="1" t="s">
        <v>188</v>
      </c>
      <c r="O36" s="84" t="s">
        <v>72</v>
      </c>
      <c r="P36" s="70" t="s">
        <v>183</v>
      </c>
      <c r="Q36" s="70" t="s">
        <v>186</v>
      </c>
      <c r="R36" s="84" t="s">
        <v>184</v>
      </c>
    </row>
    <row r="37" spans="2:19" x14ac:dyDescent="0.3">
      <c r="B37" t="s">
        <v>107</v>
      </c>
      <c r="C37">
        <f>(0.24*J5)/C34</f>
        <v>96</v>
      </c>
      <c r="D37" t="s">
        <v>109</v>
      </c>
      <c r="G37" s="1" t="s">
        <v>101</v>
      </c>
      <c r="H37" s="70">
        <v>179</v>
      </c>
      <c r="I37" s="85">
        <f>C14</f>
        <v>137</v>
      </c>
      <c r="J37" s="86">
        <f>(H37-I37)/I37</f>
        <v>0.30656934306569344</v>
      </c>
      <c r="K37" s="1">
        <f>N7</f>
        <v>4</v>
      </c>
      <c r="L37" s="87">
        <v>2.5</v>
      </c>
      <c r="M37">
        <f>L37*$AH$8</f>
        <v>6.3500000000000001E-2</v>
      </c>
      <c r="N37" s="187" t="s">
        <v>187</v>
      </c>
      <c r="O37" s="70" t="s">
        <v>185</v>
      </c>
      <c r="P37" s="70">
        <v>143</v>
      </c>
      <c r="Q37" s="85">
        <f t="shared" ref="Q37:Q44" si="4">I37</f>
        <v>137</v>
      </c>
      <c r="R37" s="86">
        <f>(P37-Q37)/Q37</f>
        <v>4.3795620437956206E-2</v>
      </c>
    </row>
    <row r="38" spans="2:19" x14ac:dyDescent="0.3">
      <c r="C38">
        <f>C37*AH7</f>
        <v>8.0063999999999993</v>
      </c>
      <c r="D38" t="s">
        <v>88</v>
      </c>
      <c r="G38" s="1" t="s">
        <v>102</v>
      </c>
      <c r="H38" s="70">
        <v>453</v>
      </c>
      <c r="I38" s="85">
        <f>C15</f>
        <v>472</v>
      </c>
      <c r="J38" s="86">
        <f t="shared" ref="J38:J43" si="5">(H38-I38)/I38</f>
        <v>-4.025423728813559E-2</v>
      </c>
      <c r="K38" s="1">
        <f>N8</f>
        <v>6</v>
      </c>
      <c r="L38" s="1">
        <v>5</v>
      </c>
      <c r="M38">
        <f t="shared" ref="M38:M44" si="6">L38*$AH$8</f>
        <v>0.127</v>
      </c>
      <c r="N38" s="188"/>
      <c r="O38" s="70" t="s">
        <v>185</v>
      </c>
      <c r="P38" s="70">
        <v>499</v>
      </c>
      <c r="Q38" s="85">
        <f t="shared" si="4"/>
        <v>472</v>
      </c>
      <c r="R38" s="86">
        <f t="shared" ref="R38:R43" si="7">(P38-Q38)/Q38</f>
        <v>5.7203389830508475E-2</v>
      </c>
    </row>
    <row r="39" spans="2:19" x14ac:dyDescent="0.3">
      <c r="G39" s="1" t="s">
        <v>111</v>
      </c>
      <c r="H39" s="70">
        <v>274</v>
      </c>
      <c r="I39" s="85">
        <f>C16</f>
        <v>234</v>
      </c>
      <c r="J39" s="86">
        <f>(H39-I39)/I39</f>
        <v>0.17094017094017094</v>
      </c>
      <c r="K39" s="1">
        <f>N9</f>
        <v>5</v>
      </c>
      <c r="L39" s="1">
        <v>3</v>
      </c>
      <c r="M39">
        <f t="shared" si="6"/>
        <v>7.619999999999999E-2</v>
      </c>
      <c r="N39" s="188"/>
      <c r="O39" s="70" t="s">
        <v>185</v>
      </c>
      <c r="P39" s="70">
        <v>253</v>
      </c>
      <c r="Q39" s="85">
        <f t="shared" si="4"/>
        <v>234</v>
      </c>
      <c r="R39" s="86">
        <f t="shared" si="7"/>
        <v>8.11965811965812E-2</v>
      </c>
    </row>
    <row r="40" spans="2:19" x14ac:dyDescent="0.3">
      <c r="B40" t="s">
        <v>104</v>
      </c>
      <c r="C40">
        <v>12</v>
      </c>
      <c r="G40" s="1" t="s">
        <v>112</v>
      </c>
      <c r="H40" s="70">
        <v>163</v>
      </c>
      <c r="I40" s="85">
        <f>S15</f>
        <v>131</v>
      </c>
      <c r="J40" s="86">
        <f t="shared" si="5"/>
        <v>0.24427480916030533</v>
      </c>
      <c r="K40" s="1">
        <f>AC7</f>
        <v>4</v>
      </c>
      <c r="L40" s="87">
        <v>2.5</v>
      </c>
      <c r="M40">
        <f t="shared" si="6"/>
        <v>6.3500000000000001E-2</v>
      </c>
      <c r="N40" s="188"/>
      <c r="O40" s="70" t="s">
        <v>185</v>
      </c>
      <c r="P40" s="70">
        <v>127</v>
      </c>
      <c r="Q40" s="85">
        <f t="shared" si="4"/>
        <v>131</v>
      </c>
      <c r="R40" s="86">
        <f t="shared" si="7"/>
        <v>-3.0534351145038167E-2</v>
      </c>
    </row>
    <row r="41" spans="2:19" x14ac:dyDescent="0.3">
      <c r="B41" t="s">
        <v>107</v>
      </c>
      <c r="C41" t="s">
        <v>158</v>
      </c>
      <c r="G41" s="1" t="s">
        <v>113</v>
      </c>
      <c r="H41" s="70">
        <v>146</v>
      </c>
      <c r="I41" s="85">
        <f>S16</f>
        <v>184</v>
      </c>
      <c r="J41" s="86">
        <f t="shared" si="5"/>
        <v>-0.20652173913043478</v>
      </c>
      <c r="K41" s="1">
        <f>AC8</f>
        <v>4</v>
      </c>
      <c r="L41" s="1">
        <v>4</v>
      </c>
      <c r="M41">
        <f t="shared" si="6"/>
        <v>0.1016</v>
      </c>
      <c r="N41" s="188"/>
      <c r="O41" s="70" t="s">
        <v>185</v>
      </c>
      <c r="P41" s="70">
        <v>179</v>
      </c>
      <c r="Q41" s="85">
        <f t="shared" si="4"/>
        <v>184</v>
      </c>
      <c r="R41" s="86">
        <f t="shared" si="7"/>
        <v>-2.717391304347826E-2</v>
      </c>
    </row>
    <row r="42" spans="2:19" x14ac:dyDescent="0.3">
      <c r="B42" t="s">
        <v>107</v>
      </c>
      <c r="C42">
        <f>C40*J5</f>
        <v>96</v>
      </c>
      <c r="D42" t="s">
        <v>109</v>
      </c>
      <c r="G42" s="1" t="s">
        <v>114</v>
      </c>
      <c r="H42" s="70">
        <v>130</v>
      </c>
      <c r="I42" s="85">
        <f>S17</f>
        <v>183</v>
      </c>
      <c r="J42" s="86">
        <f t="shared" si="5"/>
        <v>-0.2896174863387978</v>
      </c>
      <c r="K42" s="1">
        <f>AC9</f>
        <v>4</v>
      </c>
      <c r="L42" s="1">
        <v>4</v>
      </c>
      <c r="M42">
        <f t="shared" si="6"/>
        <v>0.1016</v>
      </c>
      <c r="N42" s="188"/>
      <c r="O42" s="70" t="s">
        <v>185</v>
      </c>
      <c r="P42" s="70">
        <v>160</v>
      </c>
      <c r="Q42" s="85">
        <f t="shared" si="4"/>
        <v>183</v>
      </c>
      <c r="R42" s="86">
        <f t="shared" si="7"/>
        <v>-0.12568306010928962</v>
      </c>
    </row>
    <row r="43" spans="2:19" x14ac:dyDescent="0.3">
      <c r="C43">
        <f>C42*AH7</f>
        <v>8.0063999999999993</v>
      </c>
      <c r="D43" t="s">
        <v>88</v>
      </c>
      <c r="G43" s="1" t="s">
        <v>115</v>
      </c>
      <c r="H43" s="70">
        <v>124</v>
      </c>
      <c r="I43" s="85">
        <f>S18</f>
        <v>141</v>
      </c>
      <c r="J43" s="86">
        <f t="shared" si="5"/>
        <v>-0.12056737588652482</v>
      </c>
      <c r="K43" s="1">
        <f>AC10</f>
        <v>4</v>
      </c>
      <c r="L43" s="1">
        <v>4</v>
      </c>
      <c r="M43">
        <f t="shared" si="6"/>
        <v>0.1016</v>
      </c>
      <c r="N43" s="188"/>
      <c r="O43" s="70" t="s">
        <v>185</v>
      </c>
      <c r="P43" s="70">
        <v>154</v>
      </c>
      <c r="Q43" s="85">
        <f t="shared" si="4"/>
        <v>141</v>
      </c>
      <c r="R43" s="86">
        <f t="shared" si="7"/>
        <v>9.2198581560283682E-2</v>
      </c>
    </row>
    <row r="44" spans="2:19" x14ac:dyDescent="0.3">
      <c r="G44" s="1" t="s">
        <v>116</v>
      </c>
      <c r="H44" s="70">
        <v>126</v>
      </c>
      <c r="I44" s="85">
        <f>S19</f>
        <v>159</v>
      </c>
      <c r="J44" s="86">
        <f t="shared" ref="J44" si="8">(H44-I44)/I44</f>
        <v>-0.20754716981132076</v>
      </c>
      <c r="K44" s="1">
        <f>AC11</f>
        <v>4</v>
      </c>
      <c r="L44" s="1">
        <v>4</v>
      </c>
      <c r="M44">
        <f t="shared" si="6"/>
        <v>0.1016</v>
      </c>
      <c r="N44" s="189"/>
      <c r="O44" s="70" t="s">
        <v>185</v>
      </c>
      <c r="P44" s="70">
        <v>158</v>
      </c>
      <c r="Q44" s="85">
        <f t="shared" si="4"/>
        <v>159</v>
      </c>
      <c r="R44" s="86">
        <f t="shared" ref="R44" si="9">(P44-Q44)/Q44</f>
        <v>-6.2893081761006293E-3</v>
      </c>
    </row>
    <row r="45" spans="2:19" x14ac:dyDescent="0.3">
      <c r="B45" t="s">
        <v>110</v>
      </c>
      <c r="C45">
        <f>C38</f>
        <v>8.0063999999999993</v>
      </c>
      <c r="D45" t="s">
        <v>88</v>
      </c>
    </row>
    <row r="46" spans="2:19" x14ac:dyDescent="0.3">
      <c r="C46">
        <f>12*8</f>
        <v>96</v>
      </c>
    </row>
    <row r="47" spans="2:19" x14ac:dyDescent="0.3">
      <c r="I47" s="88" t="s">
        <v>191</v>
      </c>
      <c r="J47" s="88"/>
      <c r="K47" s="88"/>
      <c r="L47" s="88"/>
      <c r="N47" s="69" t="s">
        <v>196</v>
      </c>
      <c r="P47" s="69" t="s">
        <v>198</v>
      </c>
    </row>
    <row r="48" spans="2:19" x14ac:dyDescent="0.3">
      <c r="I48" s="88" t="s">
        <v>192</v>
      </c>
      <c r="J48" s="88" t="s">
        <v>193</v>
      </c>
      <c r="K48" s="88" t="s">
        <v>194</v>
      </c>
      <c r="L48" s="88" t="s">
        <v>195</v>
      </c>
      <c r="N48" s="88" t="s">
        <v>192</v>
      </c>
      <c r="O48" s="88" t="s">
        <v>197</v>
      </c>
      <c r="P48" s="88" t="s">
        <v>192</v>
      </c>
      <c r="Q48" s="88" t="s">
        <v>197</v>
      </c>
    </row>
    <row r="49" spans="9:21" x14ac:dyDescent="0.3">
      <c r="I49" s="89">
        <v>8</v>
      </c>
      <c r="J49" s="88">
        <f>D5+D7+D8</f>
        <v>40.340639999999993</v>
      </c>
      <c r="K49" s="88">
        <f>J49/$AH$6</f>
        <v>12.298975609756097</v>
      </c>
      <c r="L49" s="88">
        <v>12.5</v>
      </c>
      <c r="N49">
        <v>8</v>
      </c>
      <c r="O49">
        <v>2</v>
      </c>
      <c r="P49">
        <v>8</v>
      </c>
      <c r="Q49">
        <v>1</v>
      </c>
    </row>
    <row r="50" spans="9:21" x14ac:dyDescent="0.3">
      <c r="I50" s="88">
        <v>5</v>
      </c>
      <c r="J50" s="88">
        <f>D9+D28</f>
        <v>19.187999999999999</v>
      </c>
      <c r="K50" s="88">
        <f>J50/$AH$6</f>
        <v>5.85</v>
      </c>
      <c r="L50" s="88">
        <v>6</v>
      </c>
    </row>
    <row r="51" spans="9:21" x14ac:dyDescent="0.3">
      <c r="I51" s="88">
        <v>4</v>
      </c>
      <c r="J51" s="88">
        <f>D28*4</f>
        <v>26.24</v>
      </c>
      <c r="K51" s="88">
        <f>J51/$AH$6</f>
        <v>8</v>
      </c>
      <c r="L51" s="88">
        <v>8</v>
      </c>
    </row>
    <row r="52" spans="9:21" x14ac:dyDescent="0.3">
      <c r="I52" s="88">
        <v>3</v>
      </c>
      <c r="J52" s="88">
        <f>D28</f>
        <v>6.56</v>
      </c>
      <c r="K52" s="88">
        <f>J52/$AH$6</f>
        <v>2</v>
      </c>
      <c r="L52" s="88">
        <v>2</v>
      </c>
    </row>
    <row r="53" spans="9:21" x14ac:dyDescent="0.3">
      <c r="I53" s="89">
        <v>2.5</v>
      </c>
      <c r="J53" s="88">
        <f>D28*2</f>
        <v>13.12</v>
      </c>
      <c r="K53" s="88">
        <f>J53/$AH$6</f>
        <v>4</v>
      </c>
      <c r="L53" s="88">
        <v>4</v>
      </c>
    </row>
    <row r="57" spans="9:21" x14ac:dyDescent="0.3">
      <c r="T57" s="184"/>
      <c r="U57" s="184"/>
    </row>
    <row r="59" spans="9:21" x14ac:dyDescent="0.3">
      <c r="O59" s="71"/>
      <c r="R59" s="71"/>
    </row>
    <row r="60" spans="9:21" x14ac:dyDescent="0.3">
      <c r="O60" s="71"/>
      <c r="R60" s="71"/>
    </row>
    <row r="61" spans="9:21" x14ac:dyDescent="0.3">
      <c r="O61" s="71"/>
      <c r="R61" s="71"/>
    </row>
  </sheetData>
  <mergeCells count="33">
    <mergeCell ref="E3:F3"/>
    <mergeCell ref="B3:B4"/>
    <mergeCell ref="C3:C4"/>
    <mergeCell ref="D3:D4"/>
    <mergeCell ref="G3:G4"/>
    <mergeCell ref="H3:H4"/>
    <mergeCell ref="X3:X4"/>
    <mergeCell ref="AA3:AA4"/>
    <mergeCell ref="Q15:R15"/>
    <mergeCell ref="Q3:Q4"/>
    <mergeCell ref="R3:R4"/>
    <mergeCell ref="S3:S4"/>
    <mergeCell ref="T3:U3"/>
    <mergeCell ref="V3:V4"/>
    <mergeCell ref="W3:W4"/>
    <mergeCell ref="M3:M4"/>
    <mergeCell ref="I3:I4"/>
    <mergeCell ref="L3:L4"/>
    <mergeCell ref="J3:K3"/>
    <mergeCell ref="Y3:Z3"/>
    <mergeCell ref="J2:K2"/>
    <mergeCell ref="Y2:Z2"/>
    <mergeCell ref="AB3:AB4"/>
    <mergeCell ref="T57:U57"/>
    <mergeCell ref="AC2:AD2"/>
    <mergeCell ref="AC3:AD3"/>
    <mergeCell ref="N2:O2"/>
    <mergeCell ref="N3:O3"/>
    <mergeCell ref="P35:R35"/>
    <mergeCell ref="N35:O35"/>
    <mergeCell ref="N37:N44"/>
    <mergeCell ref="L36:M36"/>
    <mergeCell ref="K35:M35"/>
  </mergeCells>
  <phoneticPr fontId="1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0CCB8-0CA7-4C75-BCE7-1E1B26DE6FFE}">
  <dimension ref="B2:AB40"/>
  <sheetViews>
    <sheetView topLeftCell="G9" zoomScale="87" zoomScaleNormal="80" workbookViewId="0">
      <selection activeCell="K5" sqref="K5"/>
    </sheetView>
  </sheetViews>
  <sheetFormatPr defaultRowHeight="14.4" x14ac:dyDescent="0.3"/>
  <cols>
    <col min="2" max="2" width="10.109375" customWidth="1"/>
    <col min="3" max="3" width="9.33203125" customWidth="1"/>
    <col min="4" max="4" width="10.21875" customWidth="1"/>
    <col min="9" max="9" width="9.5546875" customWidth="1"/>
  </cols>
  <sheetData>
    <row r="2" spans="2:28" x14ac:dyDescent="0.3">
      <c r="B2" s="70">
        <v>1</v>
      </c>
      <c r="C2" s="70">
        <v>2</v>
      </c>
      <c r="D2" s="70">
        <v>3</v>
      </c>
      <c r="E2" s="70">
        <v>4</v>
      </c>
      <c r="F2" s="70">
        <v>5</v>
      </c>
      <c r="G2" s="70">
        <v>6</v>
      </c>
      <c r="H2" s="70">
        <v>7</v>
      </c>
      <c r="I2" s="70">
        <v>8</v>
      </c>
      <c r="J2" s="181">
        <v>9</v>
      </c>
      <c r="K2" s="182"/>
      <c r="L2" s="70">
        <v>10</v>
      </c>
      <c r="M2" s="70">
        <v>11</v>
      </c>
      <c r="N2" s="185">
        <v>12</v>
      </c>
      <c r="O2" s="185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</row>
    <row r="3" spans="2:28" ht="72" customHeight="1" x14ac:dyDescent="0.3">
      <c r="B3" s="183" t="s">
        <v>76</v>
      </c>
      <c r="C3" s="183" t="s">
        <v>77</v>
      </c>
      <c r="D3" s="183" t="s">
        <v>78</v>
      </c>
      <c r="E3" s="183" t="s">
        <v>79</v>
      </c>
      <c r="F3" s="183"/>
      <c r="G3" s="183" t="s">
        <v>82</v>
      </c>
      <c r="H3" s="183" t="s">
        <v>83</v>
      </c>
      <c r="I3" s="183" t="s">
        <v>84</v>
      </c>
      <c r="J3" s="196" t="s">
        <v>166</v>
      </c>
      <c r="K3" s="197"/>
      <c r="L3" s="183" t="s">
        <v>86</v>
      </c>
      <c r="M3" s="183" t="s">
        <v>118</v>
      </c>
      <c r="N3" s="183" t="s">
        <v>162</v>
      </c>
      <c r="O3" s="183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</row>
    <row r="4" spans="2:28" x14ac:dyDescent="0.3">
      <c r="B4" s="183"/>
      <c r="C4" s="183"/>
      <c r="D4" s="183"/>
      <c r="E4" s="1" t="s">
        <v>80</v>
      </c>
      <c r="F4" s="1" t="s">
        <v>81</v>
      </c>
      <c r="G4" s="183"/>
      <c r="H4" s="183"/>
      <c r="I4" s="183"/>
      <c r="J4" s="81" t="s">
        <v>164</v>
      </c>
      <c r="K4" s="79" t="s">
        <v>165</v>
      </c>
      <c r="L4" s="183"/>
      <c r="M4" s="183"/>
      <c r="N4" s="81" t="s">
        <v>164</v>
      </c>
      <c r="O4" s="79" t="s">
        <v>167</v>
      </c>
      <c r="Q4" s="198"/>
      <c r="R4" s="198"/>
      <c r="S4" s="198"/>
      <c r="V4" s="198"/>
      <c r="W4" s="198"/>
      <c r="X4" s="198"/>
      <c r="Y4" s="198"/>
      <c r="Z4" s="198"/>
      <c r="AA4" s="198"/>
      <c r="AB4" s="198"/>
    </row>
    <row r="5" spans="2:28" x14ac:dyDescent="0.3">
      <c r="B5" s="1" t="str">
        <f>B24</f>
        <v>PD (A-01)</v>
      </c>
      <c r="C5" s="72">
        <f>D15</f>
        <v>827</v>
      </c>
      <c r="D5" s="75">
        <f>C25</f>
        <v>11.3324</v>
      </c>
      <c r="E5" s="1"/>
      <c r="F5" s="1"/>
      <c r="G5" s="1">
        <v>1.2</v>
      </c>
      <c r="H5" s="75">
        <f>G5+G6</f>
        <v>1.6759607999999999</v>
      </c>
      <c r="I5" s="1">
        <v>1.5</v>
      </c>
      <c r="J5" s="1">
        <v>6</v>
      </c>
      <c r="K5" s="1">
        <f>J5*$S$8</f>
        <v>0.15239999999999998</v>
      </c>
      <c r="L5" s="1">
        <v>4300</v>
      </c>
      <c r="M5" s="1">
        <v>0.17499999999999999</v>
      </c>
      <c r="N5" s="1">
        <v>4</v>
      </c>
      <c r="O5" s="1">
        <f>N5*$S$9</f>
        <v>101.6</v>
      </c>
      <c r="R5" s="71"/>
      <c r="W5" s="76"/>
    </row>
    <row r="6" spans="2:28" x14ac:dyDescent="0.3">
      <c r="B6" s="1"/>
      <c r="C6" s="1"/>
      <c r="D6" s="1"/>
      <c r="E6" s="1"/>
      <c r="F6" s="1"/>
      <c r="G6" s="1">
        <f>V7</f>
        <v>0.47596080000000002</v>
      </c>
      <c r="H6" s="75"/>
      <c r="I6" s="1">
        <v>1.5</v>
      </c>
      <c r="J6" s="1"/>
      <c r="K6" s="1"/>
      <c r="L6" s="1"/>
      <c r="N6" s="1"/>
      <c r="O6" s="1"/>
      <c r="Q6" s="69">
        <v>1</v>
      </c>
      <c r="R6" s="69" t="s">
        <v>87</v>
      </c>
      <c r="S6" s="69">
        <v>3.28</v>
      </c>
      <c r="T6" s="69" t="s">
        <v>88</v>
      </c>
      <c r="U6" t="s">
        <v>100</v>
      </c>
      <c r="V6">
        <v>4.2</v>
      </c>
      <c r="W6" t="s">
        <v>95</v>
      </c>
    </row>
    <row r="7" spans="2:28" x14ac:dyDescent="0.3">
      <c r="B7" s="1" t="str">
        <f>B26</f>
        <v>PD (01-02)</v>
      </c>
      <c r="C7" s="72">
        <f>D16</f>
        <v>735</v>
      </c>
      <c r="D7" s="75">
        <f>C27+C39</f>
        <v>8.2392000000000003</v>
      </c>
      <c r="E7" s="1">
        <v>1.1000000000000001</v>
      </c>
      <c r="F7" s="1">
        <v>1.3</v>
      </c>
      <c r="G7" s="1">
        <f>E7-F7</f>
        <v>-0.19999999999999996</v>
      </c>
      <c r="H7" s="75">
        <f>H5-G7</f>
        <v>1.8759607999999999</v>
      </c>
      <c r="I7" s="1">
        <v>1.5</v>
      </c>
      <c r="J7" s="1">
        <v>6</v>
      </c>
      <c r="K7" s="1">
        <f t="shared" ref="K7:K12" si="0">J7*$S$8</f>
        <v>0.15239999999999998</v>
      </c>
      <c r="L7" s="1">
        <v>3700</v>
      </c>
      <c r="M7" s="1">
        <v>0.22500000000000001</v>
      </c>
      <c r="N7" s="1">
        <v>3</v>
      </c>
      <c r="O7" s="1">
        <f t="shared" ref="O7:O12" si="1">N7*$S$9</f>
        <v>76.199999999999989</v>
      </c>
      <c r="Q7" s="74">
        <v>1</v>
      </c>
      <c r="R7" s="74" t="s">
        <v>99</v>
      </c>
      <c r="S7" s="74">
        <v>8.3400000000000002E-2</v>
      </c>
      <c r="T7" s="69" t="s">
        <v>88</v>
      </c>
      <c r="U7" t="s">
        <v>92</v>
      </c>
      <c r="V7">
        <f>(D5*V6)/100</f>
        <v>0.47596080000000002</v>
      </c>
      <c r="W7" t="s">
        <v>95</v>
      </c>
    </row>
    <row r="8" spans="2:28" x14ac:dyDescent="0.3">
      <c r="B8" s="1" t="str">
        <f>B28</f>
        <v>PD (02-03)</v>
      </c>
      <c r="C8" s="72">
        <f>D17</f>
        <v>683</v>
      </c>
      <c r="D8" s="1">
        <f>C29+C39</f>
        <v>11.158399999999999</v>
      </c>
      <c r="E8">
        <v>0.82</v>
      </c>
      <c r="F8" s="1">
        <v>1.2</v>
      </c>
      <c r="G8" s="1">
        <f>E8-F8</f>
        <v>-0.38</v>
      </c>
      <c r="H8" s="75">
        <f>H7-G8</f>
        <v>2.2559608</v>
      </c>
      <c r="I8" s="1">
        <v>1.5</v>
      </c>
      <c r="J8" s="1">
        <v>6</v>
      </c>
      <c r="K8" s="1">
        <f t="shared" si="0"/>
        <v>0.15239999999999998</v>
      </c>
      <c r="L8" s="1">
        <v>3400</v>
      </c>
      <c r="M8" s="1">
        <v>0.45</v>
      </c>
      <c r="N8" s="1">
        <v>3</v>
      </c>
      <c r="O8" s="1">
        <f t="shared" si="1"/>
        <v>76.199999999999989</v>
      </c>
      <c r="Q8" s="74">
        <v>1</v>
      </c>
      <c r="R8" s="74" t="s">
        <v>99</v>
      </c>
      <c r="S8" s="74">
        <v>2.5399999999999999E-2</v>
      </c>
      <c r="T8" s="74" t="s">
        <v>94</v>
      </c>
    </row>
    <row r="9" spans="2:28" x14ac:dyDescent="0.3">
      <c r="B9" s="1" t="str">
        <f>B30</f>
        <v>PD (03-04)</v>
      </c>
      <c r="C9" s="72">
        <f>D18</f>
        <v>603</v>
      </c>
      <c r="D9" s="1">
        <f>C31</f>
        <v>11.316000000000001</v>
      </c>
      <c r="E9" s="1">
        <v>0.7</v>
      </c>
      <c r="F9" s="1">
        <v>0.9</v>
      </c>
      <c r="G9" s="1">
        <f>E9-F9</f>
        <v>-0.20000000000000007</v>
      </c>
      <c r="H9" s="75">
        <f>H8-G9</f>
        <v>2.4559608000000002</v>
      </c>
      <c r="I9" s="1">
        <v>1.5</v>
      </c>
      <c r="J9" s="1">
        <v>6</v>
      </c>
      <c r="K9" s="1">
        <f t="shared" si="0"/>
        <v>0.15239999999999998</v>
      </c>
      <c r="L9" s="1">
        <v>3000</v>
      </c>
      <c r="M9" s="1">
        <v>0.57499999999999996</v>
      </c>
      <c r="N9" s="1">
        <v>4</v>
      </c>
      <c r="O9" s="1">
        <f t="shared" si="1"/>
        <v>101.6</v>
      </c>
      <c r="P9" s="76">
        <f>H9+I9+M9</f>
        <v>4.5309607999999999</v>
      </c>
      <c r="Q9" s="74">
        <v>1</v>
      </c>
      <c r="R9" s="74" t="s">
        <v>99</v>
      </c>
      <c r="S9">
        <f>S8*1000</f>
        <v>25.4</v>
      </c>
      <c r="T9" t="s">
        <v>163</v>
      </c>
    </row>
    <row r="10" spans="2:28" x14ac:dyDescent="0.3">
      <c r="B10" s="1" t="str">
        <f>B32</f>
        <v>PD (04-05)</v>
      </c>
      <c r="C10" s="1">
        <f>D19</f>
        <v>432</v>
      </c>
      <c r="D10" s="1">
        <f>C33</f>
        <v>11.808</v>
      </c>
      <c r="E10" s="1">
        <v>0.55000000000000004</v>
      </c>
      <c r="F10" s="1">
        <v>0.45</v>
      </c>
      <c r="G10" s="1">
        <f t="shared" ref="G10:G12" si="2">E10-F10</f>
        <v>0.10000000000000003</v>
      </c>
      <c r="H10" s="75">
        <f>H9-G10</f>
        <v>2.3559608000000001</v>
      </c>
      <c r="I10" s="1">
        <v>1.5</v>
      </c>
      <c r="J10" s="1">
        <v>6</v>
      </c>
      <c r="K10" s="1">
        <f t="shared" si="0"/>
        <v>0.15239999999999998</v>
      </c>
      <c r="L10" s="1">
        <v>2200</v>
      </c>
      <c r="M10" s="1">
        <v>0.46</v>
      </c>
      <c r="N10" s="1">
        <v>3</v>
      </c>
      <c r="O10" s="1">
        <f t="shared" si="1"/>
        <v>76.199999999999989</v>
      </c>
      <c r="P10" s="76">
        <f>H10+I10+M10</f>
        <v>4.3159608</v>
      </c>
      <c r="R10" s="71"/>
      <c r="W10" s="76"/>
    </row>
    <row r="11" spans="2:28" x14ac:dyDescent="0.3">
      <c r="B11" s="1" t="str">
        <f>B34</f>
        <v>PD (05-06)</v>
      </c>
      <c r="C11" s="1">
        <f>D20</f>
        <v>351</v>
      </c>
      <c r="D11" s="1">
        <f>C35+C40</f>
        <v>22.093599999999999</v>
      </c>
      <c r="E11" s="1">
        <v>0.215</v>
      </c>
      <c r="F11" s="1">
        <v>0.185</v>
      </c>
      <c r="G11" s="1">
        <f t="shared" si="2"/>
        <v>0.03</v>
      </c>
      <c r="H11" s="75">
        <f t="shared" ref="H11:H12" si="3">H10-G11</f>
        <v>2.3259608000000003</v>
      </c>
      <c r="I11" s="1">
        <v>1.5</v>
      </c>
      <c r="J11" s="1">
        <v>7</v>
      </c>
      <c r="K11" s="1">
        <f t="shared" si="0"/>
        <v>0.17779999999999999</v>
      </c>
      <c r="L11" s="1">
        <v>1400</v>
      </c>
      <c r="M11" s="1">
        <v>0.28000000000000003</v>
      </c>
      <c r="N11" s="1">
        <v>5</v>
      </c>
      <c r="O11" s="1">
        <f t="shared" si="1"/>
        <v>127</v>
      </c>
      <c r="R11" s="71"/>
      <c r="W11" s="76"/>
    </row>
    <row r="12" spans="2:28" x14ac:dyDescent="0.3">
      <c r="B12" s="1" t="str">
        <f>B36</f>
        <v>PD (06-07)</v>
      </c>
      <c r="C12" s="72">
        <f>C21</f>
        <v>152</v>
      </c>
      <c r="D12" s="1">
        <f>C37</f>
        <v>10.8568</v>
      </c>
      <c r="E12" s="1">
        <v>0.115</v>
      </c>
      <c r="F12" s="1">
        <v>0.14099999999999999</v>
      </c>
      <c r="G12" s="1">
        <f t="shared" si="2"/>
        <v>-2.5999999999999981E-2</v>
      </c>
      <c r="H12" s="75">
        <f t="shared" si="3"/>
        <v>2.3519608000000001</v>
      </c>
      <c r="I12" s="1">
        <v>1.5</v>
      </c>
      <c r="J12" s="1">
        <v>5</v>
      </c>
      <c r="K12" s="1">
        <f t="shared" si="0"/>
        <v>0.127</v>
      </c>
      <c r="L12" s="1">
        <v>1100</v>
      </c>
      <c r="M12" s="1">
        <v>0.45</v>
      </c>
      <c r="N12" s="1">
        <v>4</v>
      </c>
      <c r="O12" s="1">
        <f t="shared" si="1"/>
        <v>101.6</v>
      </c>
      <c r="P12" s="76">
        <f>+H12+I12+M12</f>
        <v>4.3019607999999998</v>
      </c>
    </row>
    <row r="13" spans="2:28" x14ac:dyDescent="0.3">
      <c r="C13" t="s">
        <v>142</v>
      </c>
      <c r="G13" s="78">
        <f>H9</f>
        <v>2.4559608000000002</v>
      </c>
      <c r="H13" s="74" t="s">
        <v>141</v>
      </c>
      <c r="I13" s="74">
        <f>I9</f>
        <v>1.5</v>
      </c>
      <c r="J13" s="74" t="s">
        <v>141</v>
      </c>
      <c r="K13" s="74"/>
      <c r="L13" s="74">
        <f>M9</f>
        <v>0.57499999999999996</v>
      </c>
      <c r="M13" s="74" t="s">
        <v>143</v>
      </c>
      <c r="N13" s="78">
        <f>G13+I13+L13</f>
        <v>4.5309607999999999</v>
      </c>
      <c r="O13" s="78"/>
      <c r="Z13" s="76"/>
    </row>
    <row r="14" spans="2:28" x14ac:dyDescent="0.3">
      <c r="F14" t="s">
        <v>57</v>
      </c>
      <c r="M14" s="71"/>
      <c r="N14" s="71"/>
      <c r="O14" s="71"/>
    </row>
    <row r="15" spans="2:28" x14ac:dyDescent="0.3">
      <c r="B15" t="str">
        <f>Summary!B21</f>
        <v>Musholla</v>
      </c>
      <c r="C15" s="71">
        <f>Summary!P21</f>
        <v>92</v>
      </c>
      <c r="D15" s="71">
        <f>SUM(C15:C21)</f>
        <v>827</v>
      </c>
      <c r="F15">
        <f t="shared" ref="F15:F21" si="4">C15*0.472</f>
        <v>43.423999999999999</v>
      </c>
      <c r="J15" t="s">
        <v>98</v>
      </c>
      <c r="M15" s="71"/>
    </row>
    <row r="16" spans="2:28" x14ac:dyDescent="0.3">
      <c r="B16" t="str">
        <f>Summary!B22</f>
        <v>Electrician Room</v>
      </c>
      <c r="C16" s="71">
        <f>Summary!P22</f>
        <v>52</v>
      </c>
      <c r="D16" s="71">
        <f>SUM(C16:C21)</f>
        <v>735</v>
      </c>
      <c r="F16">
        <f t="shared" si="4"/>
        <v>24.543999999999997</v>
      </c>
      <c r="J16" t="str">
        <f>B5</f>
        <v>PD (A-01)</v>
      </c>
      <c r="L16" s="71">
        <f>D15</f>
        <v>827</v>
      </c>
      <c r="M16" s="71"/>
      <c r="N16" s="84"/>
      <c r="O16" s="83" t="s">
        <v>179</v>
      </c>
      <c r="P16" s="83"/>
      <c r="Q16" s="83"/>
      <c r="R16" s="83" t="s">
        <v>182</v>
      </c>
      <c r="S16" s="83"/>
      <c r="T16" s="83"/>
      <c r="U16" s="84" t="s">
        <v>181</v>
      </c>
      <c r="V16" s="83" t="s">
        <v>180</v>
      </c>
      <c r="W16" s="83"/>
      <c r="X16" s="83"/>
    </row>
    <row r="17" spans="2:24" x14ac:dyDescent="0.3">
      <c r="B17" t="str">
        <f>Summary!B23</f>
        <v>Second Engineer Room</v>
      </c>
      <c r="C17" s="71">
        <f>Summary!P23</f>
        <v>80</v>
      </c>
      <c r="D17" s="71">
        <f>SUM(C17:C21)</f>
        <v>683</v>
      </c>
      <c r="F17">
        <f t="shared" si="4"/>
        <v>37.76</v>
      </c>
      <c r="J17" t="str">
        <f>B7</f>
        <v>PD (01-02)</v>
      </c>
      <c r="L17" s="71">
        <f t="shared" ref="L17:L22" si="5">C7</f>
        <v>735</v>
      </c>
      <c r="M17" s="71"/>
      <c r="N17" s="1"/>
      <c r="O17" s="70" t="s">
        <v>183</v>
      </c>
      <c r="P17" s="70" t="s">
        <v>186</v>
      </c>
      <c r="Q17" s="84" t="s">
        <v>184</v>
      </c>
      <c r="R17" s="1" t="s">
        <v>179</v>
      </c>
      <c r="S17" s="192" t="s">
        <v>180</v>
      </c>
      <c r="T17" s="194"/>
      <c r="U17" s="84"/>
      <c r="V17" s="70" t="s">
        <v>183</v>
      </c>
      <c r="W17" s="70" t="s">
        <v>186</v>
      </c>
      <c r="X17" s="84" t="s">
        <v>184</v>
      </c>
    </row>
    <row r="18" spans="2:24" x14ac:dyDescent="0.3">
      <c r="B18" t="str">
        <f>Summary!B24</f>
        <v>Smoking Room</v>
      </c>
      <c r="C18" s="71">
        <f>Summary!P24</f>
        <v>171</v>
      </c>
      <c r="D18" s="71">
        <f>SUM(C18:C21)</f>
        <v>603</v>
      </c>
      <c r="F18">
        <f t="shared" si="4"/>
        <v>80.711999999999989</v>
      </c>
      <c r="H18" t="s">
        <v>177</v>
      </c>
      <c r="J18" t="str">
        <f>B7</f>
        <v>PD (01-02)</v>
      </c>
      <c r="L18" s="71">
        <f t="shared" si="5"/>
        <v>683</v>
      </c>
      <c r="N18" s="1" t="s">
        <v>130</v>
      </c>
      <c r="O18" s="70">
        <v>328</v>
      </c>
      <c r="P18" s="85">
        <f t="shared" ref="P18:P24" si="6">C15</f>
        <v>92</v>
      </c>
      <c r="Q18" s="86">
        <f t="shared" ref="Q18:Q24" si="7">(O18-P18)/P18</f>
        <v>2.5652173913043477</v>
      </c>
      <c r="R18" s="1">
        <f>N5</f>
        <v>4</v>
      </c>
      <c r="S18" s="1">
        <v>4</v>
      </c>
      <c r="T18" s="1">
        <f>S18*$S$8</f>
        <v>0.1016</v>
      </c>
      <c r="U18" s="70" t="s">
        <v>187</v>
      </c>
      <c r="V18" s="70">
        <v>92</v>
      </c>
      <c r="W18" s="85">
        <f t="shared" ref="W18:W24" si="8">P18</f>
        <v>92</v>
      </c>
      <c r="X18" s="86">
        <f t="shared" ref="X18:X24" si="9">(V18-W18)/W18</f>
        <v>0</v>
      </c>
    </row>
    <row r="19" spans="2:24" x14ac:dyDescent="0.3">
      <c r="B19" t="str">
        <f>Summary!B20</f>
        <v>Chief Cook Room</v>
      </c>
      <c r="C19">
        <f>Summary!P20</f>
        <v>81</v>
      </c>
      <c r="D19">
        <f>SUM(C19:C21)</f>
        <v>432</v>
      </c>
      <c r="F19">
        <f t="shared" si="4"/>
        <v>38.231999999999999</v>
      </c>
      <c r="J19" t="str">
        <f>B9</f>
        <v>PD (03-04)</v>
      </c>
      <c r="L19" s="71">
        <f t="shared" si="5"/>
        <v>603</v>
      </c>
      <c r="N19" s="1" t="s">
        <v>123</v>
      </c>
      <c r="O19" s="70">
        <v>206</v>
      </c>
      <c r="P19" s="85">
        <f t="shared" si="6"/>
        <v>52</v>
      </c>
      <c r="Q19" s="86">
        <f t="shared" si="7"/>
        <v>2.9615384615384617</v>
      </c>
      <c r="R19" s="1">
        <f t="shared" ref="R19:R24" si="10">N7</f>
        <v>3</v>
      </c>
      <c r="S19" s="1">
        <v>3</v>
      </c>
      <c r="T19" s="1">
        <f t="shared" ref="T19:T24" si="11">S19*$S$8</f>
        <v>7.619999999999999E-2</v>
      </c>
      <c r="U19" s="70" t="s">
        <v>187</v>
      </c>
      <c r="V19" s="70">
        <v>52</v>
      </c>
      <c r="W19" s="85">
        <f t="shared" si="8"/>
        <v>52</v>
      </c>
      <c r="X19" s="86">
        <f t="shared" si="9"/>
        <v>0</v>
      </c>
    </row>
    <row r="20" spans="2:24" x14ac:dyDescent="0.3">
      <c r="B20" t="str">
        <f>Summary!B19</f>
        <v>Mess Room</v>
      </c>
      <c r="C20">
        <f>Summary!P19</f>
        <v>199</v>
      </c>
      <c r="D20">
        <f>SUM(C20:C21)</f>
        <v>351</v>
      </c>
      <c r="F20">
        <f t="shared" si="4"/>
        <v>93.927999999999997</v>
      </c>
      <c r="J20" t="str">
        <f>B10</f>
        <v>PD (04-05)</v>
      </c>
      <c r="L20" s="71">
        <f t="shared" si="5"/>
        <v>432</v>
      </c>
      <c r="N20" s="1" t="s">
        <v>119</v>
      </c>
      <c r="O20" s="70">
        <v>51.5</v>
      </c>
      <c r="P20" s="85">
        <f t="shared" si="6"/>
        <v>80</v>
      </c>
      <c r="Q20" s="86">
        <f t="shared" si="7"/>
        <v>-0.35625000000000001</v>
      </c>
      <c r="R20" s="1">
        <f t="shared" si="10"/>
        <v>3</v>
      </c>
      <c r="S20" s="1">
        <v>2</v>
      </c>
      <c r="T20" s="1">
        <f t="shared" si="11"/>
        <v>5.0799999999999998E-2</v>
      </c>
      <c r="U20" s="70" t="s">
        <v>185</v>
      </c>
      <c r="V20" s="70">
        <v>78.78</v>
      </c>
      <c r="W20" s="85">
        <f t="shared" si="8"/>
        <v>80</v>
      </c>
      <c r="X20" s="86">
        <f t="shared" si="9"/>
        <v>-1.5249999999999986E-2</v>
      </c>
    </row>
    <row r="21" spans="2:24" x14ac:dyDescent="0.3">
      <c r="B21" t="str">
        <f>Summary!B18</f>
        <v>Pantry</v>
      </c>
      <c r="C21" s="71">
        <f>Summary!P18</f>
        <v>152</v>
      </c>
      <c r="F21">
        <f t="shared" si="4"/>
        <v>71.744</v>
      </c>
      <c r="J21" t="str">
        <f>B11</f>
        <v>PD (05-06)</v>
      </c>
      <c r="L21" s="71">
        <f t="shared" si="5"/>
        <v>351</v>
      </c>
      <c r="N21" s="1" t="s">
        <v>121</v>
      </c>
      <c r="O21" s="70">
        <v>51.14</v>
      </c>
      <c r="P21" s="85">
        <f t="shared" si="6"/>
        <v>171</v>
      </c>
      <c r="Q21" s="86">
        <f t="shared" si="7"/>
        <v>-0.70093567251461986</v>
      </c>
      <c r="R21" s="1">
        <f t="shared" si="10"/>
        <v>4</v>
      </c>
      <c r="S21" s="1">
        <v>4</v>
      </c>
      <c r="T21" s="1">
        <f t="shared" si="11"/>
        <v>0.1016</v>
      </c>
      <c r="U21" s="70" t="s">
        <v>185</v>
      </c>
      <c r="V21" s="70">
        <v>159</v>
      </c>
      <c r="W21" s="85">
        <f t="shared" si="8"/>
        <v>171</v>
      </c>
      <c r="X21" s="86">
        <f t="shared" si="9"/>
        <v>-7.0175438596491224E-2</v>
      </c>
    </row>
    <row r="22" spans="2:24" x14ac:dyDescent="0.3">
      <c r="J22" t="str">
        <f>B12</f>
        <v>PD (06-07)</v>
      </c>
      <c r="L22" s="71">
        <f t="shared" si="5"/>
        <v>152</v>
      </c>
      <c r="N22" s="1" t="s">
        <v>124</v>
      </c>
      <c r="O22" s="70">
        <v>34.99</v>
      </c>
      <c r="P22" s="85">
        <f t="shared" si="6"/>
        <v>81</v>
      </c>
      <c r="Q22" s="86">
        <f t="shared" si="7"/>
        <v>-0.56802469135802469</v>
      </c>
      <c r="R22" s="1">
        <f t="shared" si="10"/>
        <v>3</v>
      </c>
      <c r="S22" s="87">
        <v>2.5</v>
      </c>
      <c r="T22" s="1">
        <f t="shared" si="11"/>
        <v>6.3500000000000001E-2</v>
      </c>
      <c r="U22" s="70" t="s">
        <v>185</v>
      </c>
      <c r="V22" s="70">
        <v>84.35</v>
      </c>
      <c r="W22" s="85">
        <f t="shared" si="8"/>
        <v>81</v>
      </c>
      <c r="X22" s="86">
        <f t="shared" si="9"/>
        <v>4.1358024691357957E-2</v>
      </c>
    </row>
    <row r="23" spans="2:24" x14ac:dyDescent="0.3">
      <c r="B23" t="s">
        <v>93</v>
      </c>
      <c r="E23" t="s">
        <v>175</v>
      </c>
      <c r="G23">
        <v>2</v>
      </c>
      <c r="H23" t="s">
        <v>94</v>
      </c>
      <c r="N23" s="1" t="s">
        <v>120</v>
      </c>
      <c r="O23" s="70">
        <v>75.239999999999995</v>
      </c>
      <c r="P23" s="85">
        <f t="shared" si="6"/>
        <v>199</v>
      </c>
      <c r="Q23" s="86">
        <f t="shared" si="7"/>
        <v>-0.62190954773869345</v>
      </c>
      <c r="R23" s="1">
        <f t="shared" si="10"/>
        <v>5</v>
      </c>
      <c r="S23" s="1">
        <v>4</v>
      </c>
      <c r="T23" s="1">
        <f t="shared" si="11"/>
        <v>0.1016</v>
      </c>
      <c r="U23" s="70" t="s">
        <v>185</v>
      </c>
      <c r="V23" s="70">
        <v>210</v>
      </c>
      <c r="W23" s="85">
        <f t="shared" si="8"/>
        <v>199</v>
      </c>
      <c r="X23" s="86">
        <f t="shared" si="9"/>
        <v>5.5276381909547742E-2</v>
      </c>
    </row>
    <row r="24" spans="2:24" x14ac:dyDescent="0.3">
      <c r="B24" t="s">
        <v>130</v>
      </c>
      <c r="C24">
        <v>3.4550000000000001</v>
      </c>
      <c r="D24" t="s">
        <v>94</v>
      </c>
      <c r="G24">
        <f>G23*S6</f>
        <v>6.56</v>
      </c>
      <c r="H24" t="s">
        <v>88</v>
      </c>
      <c r="N24" s="1" t="s">
        <v>122</v>
      </c>
      <c r="O24" s="70">
        <v>41.24</v>
      </c>
      <c r="P24" s="85">
        <f t="shared" si="6"/>
        <v>152</v>
      </c>
      <c r="Q24" s="86">
        <f t="shared" si="7"/>
        <v>-0.72868421052631571</v>
      </c>
      <c r="R24" s="1">
        <f t="shared" si="10"/>
        <v>4</v>
      </c>
      <c r="S24" s="1">
        <v>4</v>
      </c>
      <c r="T24" s="1">
        <f t="shared" si="11"/>
        <v>0.1016</v>
      </c>
      <c r="U24" s="70" t="s">
        <v>185</v>
      </c>
      <c r="V24" s="70">
        <v>143</v>
      </c>
      <c r="W24" s="85">
        <f t="shared" si="8"/>
        <v>152</v>
      </c>
      <c r="X24" s="86">
        <f t="shared" si="9"/>
        <v>-5.921052631578947E-2</v>
      </c>
    </row>
    <row r="25" spans="2:24" x14ac:dyDescent="0.3">
      <c r="C25">
        <f>C24*S6</f>
        <v>11.3324</v>
      </c>
      <c r="D25" t="s">
        <v>88</v>
      </c>
      <c r="E25" t="s">
        <v>190</v>
      </c>
      <c r="G25">
        <v>2.4</v>
      </c>
      <c r="H25" t="s">
        <v>94</v>
      </c>
      <c r="N25" s="1"/>
      <c r="O25" s="70"/>
      <c r="P25" s="85"/>
      <c r="Q25" s="86"/>
      <c r="R25" s="1"/>
      <c r="S25" s="1"/>
      <c r="T25" s="70"/>
      <c r="U25" s="70"/>
      <c r="V25" s="85"/>
      <c r="W25" s="86"/>
    </row>
    <row r="26" spans="2:24" x14ac:dyDescent="0.3">
      <c r="B26" t="s">
        <v>123</v>
      </c>
      <c r="C26">
        <f>0.37+0.77</f>
        <v>1.1400000000000001</v>
      </c>
      <c r="D26" t="s">
        <v>94</v>
      </c>
      <c r="G26">
        <f>G25*S6</f>
        <v>7.871999999999999</v>
      </c>
      <c r="H26" t="s">
        <v>88</v>
      </c>
    </row>
    <row r="27" spans="2:24" x14ac:dyDescent="0.3">
      <c r="C27">
        <f>C26*S6</f>
        <v>3.7392000000000003</v>
      </c>
      <c r="D27" t="s">
        <v>88</v>
      </c>
      <c r="F27" s="76"/>
      <c r="N27" s="88" t="s">
        <v>191</v>
      </c>
      <c r="O27" s="88"/>
      <c r="P27" s="88"/>
      <c r="Q27" s="88"/>
      <c r="S27" s="69" t="s">
        <v>196</v>
      </c>
      <c r="U27" s="69"/>
    </row>
    <row r="28" spans="2:24" x14ac:dyDescent="0.3">
      <c r="B28" t="s">
        <v>119</v>
      </c>
      <c r="C28">
        <f>1.66+0.37</f>
        <v>2.0299999999999998</v>
      </c>
      <c r="D28" t="s">
        <v>94</v>
      </c>
      <c r="F28" s="76"/>
      <c r="N28" s="88" t="s">
        <v>192</v>
      </c>
      <c r="O28" s="88" t="s">
        <v>193</v>
      </c>
      <c r="P28" s="88" t="s">
        <v>194</v>
      </c>
      <c r="Q28" s="88" t="s">
        <v>195</v>
      </c>
      <c r="S28" s="88" t="s">
        <v>192</v>
      </c>
      <c r="T28" s="88" t="s">
        <v>197</v>
      </c>
      <c r="U28" s="88"/>
      <c r="V28" s="88"/>
    </row>
    <row r="29" spans="2:24" x14ac:dyDescent="0.3">
      <c r="C29">
        <f>C28*S6</f>
        <v>6.6583999999999985</v>
      </c>
      <c r="D29" t="s">
        <v>88</v>
      </c>
      <c r="F29" s="76"/>
      <c r="N29" s="89">
        <v>8</v>
      </c>
      <c r="O29" s="90">
        <f>D11</f>
        <v>22.093599999999999</v>
      </c>
      <c r="P29" s="88">
        <f>O29/$S$6</f>
        <v>6.7358536585365849</v>
      </c>
      <c r="Q29" s="88">
        <v>7</v>
      </c>
      <c r="S29">
        <v>8</v>
      </c>
      <c r="T29">
        <v>1</v>
      </c>
    </row>
    <row r="30" spans="2:24" x14ac:dyDescent="0.3">
      <c r="B30" t="s">
        <v>121</v>
      </c>
      <c r="C30">
        <v>3.45</v>
      </c>
      <c r="D30" t="s">
        <v>94</v>
      </c>
      <c r="N30" s="89">
        <v>6</v>
      </c>
      <c r="O30" s="90">
        <f>D5+D7+D8+D9+D10</f>
        <v>53.853999999999999</v>
      </c>
      <c r="P30" s="88">
        <f>O30/$S$6</f>
        <v>16.418902439024389</v>
      </c>
      <c r="Q30" s="88">
        <v>16.5</v>
      </c>
      <c r="S30">
        <v>6</v>
      </c>
      <c r="T30">
        <v>1</v>
      </c>
    </row>
    <row r="31" spans="2:24" x14ac:dyDescent="0.3">
      <c r="C31">
        <f>C30*S6</f>
        <v>11.316000000000001</v>
      </c>
      <c r="D31" t="s">
        <v>88</v>
      </c>
      <c r="N31" s="88">
        <v>5</v>
      </c>
      <c r="O31" s="88">
        <f>D12</f>
        <v>10.8568</v>
      </c>
      <c r="P31" s="88">
        <f t="shared" ref="P31:P32" si="12">O31/$S$6</f>
        <v>3.31</v>
      </c>
      <c r="Q31" s="88">
        <v>3.5</v>
      </c>
    </row>
    <row r="32" spans="2:24" x14ac:dyDescent="0.3">
      <c r="B32" t="s">
        <v>124</v>
      </c>
      <c r="C32">
        <v>3.6</v>
      </c>
      <c r="D32" t="s">
        <v>94</v>
      </c>
      <c r="N32" s="88">
        <v>4</v>
      </c>
      <c r="O32" s="88">
        <f>G24*4</f>
        <v>26.24</v>
      </c>
      <c r="P32" s="88">
        <f t="shared" si="12"/>
        <v>8</v>
      </c>
      <c r="Q32" s="88">
        <v>8</v>
      </c>
    </row>
    <row r="33" spans="2:17" x14ac:dyDescent="0.3">
      <c r="C33">
        <f>C32*S6</f>
        <v>11.808</v>
      </c>
      <c r="D33" t="s">
        <v>88</v>
      </c>
      <c r="N33" s="88">
        <v>3</v>
      </c>
      <c r="O33" s="88">
        <f>G24</f>
        <v>6.56</v>
      </c>
      <c r="P33" s="88">
        <f>O33/$S$6</f>
        <v>2</v>
      </c>
      <c r="Q33" s="88">
        <v>2</v>
      </c>
    </row>
    <row r="34" spans="2:17" x14ac:dyDescent="0.3">
      <c r="B34" t="s">
        <v>120</v>
      </c>
      <c r="C34">
        <f>0.6+4.52</f>
        <v>5.1199999999999992</v>
      </c>
      <c r="D34" t="s">
        <v>94</v>
      </c>
      <c r="N34" s="89">
        <v>2.5</v>
      </c>
      <c r="O34" s="88">
        <f>G24</f>
        <v>6.56</v>
      </c>
      <c r="P34" s="88">
        <f>O34/$S$6</f>
        <v>2</v>
      </c>
      <c r="Q34" s="88">
        <v>2</v>
      </c>
    </row>
    <row r="35" spans="2:17" x14ac:dyDescent="0.3">
      <c r="C35">
        <f>C34*S6</f>
        <v>16.793599999999998</v>
      </c>
      <c r="D35" t="s">
        <v>88</v>
      </c>
      <c r="F35" s="76"/>
      <c r="N35" s="89">
        <v>2</v>
      </c>
      <c r="O35" s="88">
        <f>G24</f>
        <v>6.56</v>
      </c>
      <c r="P35" s="88">
        <f>O35/$S$6</f>
        <v>2</v>
      </c>
      <c r="Q35" s="88">
        <v>2</v>
      </c>
    </row>
    <row r="36" spans="2:17" x14ac:dyDescent="0.3">
      <c r="B36" t="s">
        <v>122</v>
      </c>
      <c r="C36">
        <v>3.31</v>
      </c>
      <c r="D36" t="s">
        <v>94</v>
      </c>
    </row>
    <row r="37" spans="2:17" x14ac:dyDescent="0.3">
      <c r="C37" s="76">
        <f>C36*S6</f>
        <v>10.8568</v>
      </c>
      <c r="D37" t="s">
        <v>88</v>
      </c>
    </row>
    <row r="39" spans="2:17" x14ac:dyDescent="0.3">
      <c r="B39" t="s">
        <v>117</v>
      </c>
      <c r="C39">
        <v>4.5</v>
      </c>
      <c r="D39" t="s">
        <v>88</v>
      </c>
    </row>
    <row r="40" spans="2:17" x14ac:dyDescent="0.3">
      <c r="B40" t="s">
        <v>125</v>
      </c>
      <c r="C40">
        <v>5.3</v>
      </c>
      <c r="D40" t="s">
        <v>88</v>
      </c>
    </row>
  </sheetData>
  <mergeCells count="25">
    <mergeCell ref="Y3:Y4"/>
    <mergeCell ref="Z3:Z4"/>
    <mergeCell ref="AA3:AA4"/>
    <mergeCell ref="AB3:AB4"/>
    <mergeCell ref="R3:R4"/>
    <mergeCell ref="S3:S4"/>
    <mergeCell ref="T3:U3"/>
    <mergeCell ref="V3:V4"/>
    <mergeCell ref="W3:W4"/>
    <mergeCell ref="X3:X4"/>
    <mergeCell ref="B3:B4"/>
    <mergeCell ref="C3:C4"/>
    <mergeCell ref="D3:D4"/>
    <mergeCell ref="E3:F3"/>
    <mergeCell ref="G3:G4"/>
    <mergeCell ref="S17:T17"/>
    <mergeCell ref="J2:K2"/>
    <mergeCell ref="N2:O2"/>
    <mergeCell ref="N3:O3"/>
    <mergeCell ref="H3:H4"/>
    <mergeCell ref="I3:I4"/>
    <mergeCell ref="L3:L4"/>
    <mergeCell ref="M3:M4"/>
    <mergeCell ref="J3:K3"/>
    <mergeCell ref="Q3:Q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33E5F-DB08-4A2F-B18B-D8BF2E077833}">
  <dimension ref="B2:AB35"/>
  <sheetViews>
    <sheetView topLeftCell="H7" zoomScale="92" workbookViewId="0">
      <selection activeCell="T19" sqref="T19"/>
    </sheetView>
  </sheetViews>
  <sheetFormatPr defaultRowHeight="14.4" x14ac:dyDescent="0.3"/>
  <cols>
    <col min="2" max="2" width="15.33203125" customWidth="1"/>
    <col min="3" max="3" width="9.33203125" customWidth="1"/>
    <col min="4" max="4" width="10.21875" customWidth="1"/>
    <col min="9" max="9" width="9.5546875" customWidth="1"/>
  </cols>
  <sheetData>
    <row r="2" spans="2:28" x14ac:dyDescent="0.3">
      <c r="B2" s="70">
        <v>1</v>
      </c>
      <c r="C2" s="70">
        <v>2</v>
      </c>
      <c r="D2" s="70">
        <v>3</v>
      </c>
      <c r="E2" s="70">
        <v>4</v>
      </c>
      <c r="F2" s="70">
        <v>5</v>
      </c>
      <c r="G2" s="70">
        <v>6</v>
      </c>
      <c r="H2" s="70">
        <v>7</v>
      </c>
      <c r="I2" s="70">
        <v>8</v>
      </c>
      <c r="J2" s="70">
        <v>9</v>
      </c>
      <c r="K2" s="70"/>
      <c r="L2" s="70">
        <v>10</v>
      </c>
      <c r="M2" s="70">
        <v>11</v>
      </c>
      <c r="N2" s="199">
        <v>12</v>
      </c>
      <c r="O2" s="200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</row>
    <row r="3" spans="2:28" ht="72" customHeight="1" x14ac:dyDescent="0.3">
      <c r="B3" s="183" t="s">
        <v>76</v>
      </c>
      <c r="C3" s="183" t="s">
        <v>77</v>
      </c>
      <c r="D3" s="183" t="s">
        <v>78</v>
      </c>
      <c r="E3" s="183" t="s">
        <v>79</v>
      </c>
      <c r="F3" s="183"/>
      <c r="G3" s="183" t="s">
        <v>82</v>
      </c>
      <c r="H3" s="183" t="s">
        <v>83</v>
      </c>
      <c r="I3" s="183" t="s">
        <v>84</v>
      </c>
      <c r="J3" s="196" t="s">
        <v>166</v>
      </c>
      <c r="K3" s="197"/>
      <c r="L3" s="183" t="s">
        <v>86</v>
      </c>
      <c r="M3" s="183" t="s">
        <v>118</v>
      </c>
      <c r="N3" s="204" t="s">
        <v>162</v>
      </c>
      <c r="O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</row>
    <row r="4" spans="2:28" x14ac:dyDescent="0.3">
      <c r="B4" s="183"/>
      <c r="C4" s="183"/>
      <c r="D4" s="183"/>
      <c r="E4" s="1" t="s">
        <v>80</v>
      </c>
      <c r="F4" s="1" t="s">
        <v>81</v>
      </c>
      <c r="G4" s="183"/>
      <c r="H4" s="183"/>
      <c r="I4" s="183"/>
      <c r="J4" s="81" t="s">
        <v>164</v>
      </c>
      <c r="K4" s="79" t="s">
        <v>165</v>
      </c>
      <c r="L4" s="183"/>
      <c r="M4" s="183"/>
      <c r="N4" s="81" t="s">
        <v>164</v>
      </c>
      <c r="O4" s="80" t="s">
        <v>165</v>
      </c>
      <c r="Q4" s="198"/>
      <c r="R4" s="198"/>
      <c r="S4" s="198"/>
      <c r="V4" s="198"/>
      <c r="W4" s="198"/>
      <c r="X4" s="198"/>
      <c r="Y4" s="198"/>
      <c r="Z4" s="198"/>
      <c r="AA4" s="198"/>
      <c r="AB4" s="198"/>
    </row>
    <row r="5" spans="2:28" x14ac:dyDescent="0.3">
      <c r="B5" s="1" t="str">
        <f>B23</f>
        <v>BD (C-01)</v>
      </c>
      <c r="C5" s="72">
        <f>D15</f>
        <v>730</v>
      </c>
      <c r="D5" s="75">
        <f>C24</f>
        <v>10.883039999999999</v>
      </c>
      <c r="E5" s="1"/>
      <c r="F5" s="1"/>
      <c r="G5" s="1">
        <v>1.35</v>
      </c>
      <c r="H5" s="75">
        <f>G5+G6</f>
        <v>1.8832689600000001</v>
      </c>
      <c r="I5" s="1">
        <v>1.5</v>
      </c>
      <c r="J5" s="1">
        <v>6</v>
      </c>
      <c r="K5" s="1">
        <f>J5*$S$8</f>
        <v>0.15239999999999998</v>
      </c>
      <c r="L5" s="1">
        <v>4650</v>
      </c>
      <c r="M5" s="1">
        <v>0.41</v>
      </c>
      <c r="N5" s="1">
        <v>4</v>
      </c>
      <c r="O5">
        <f>N5*$S$9</f>
        <v>101.6</v>
      </c>
      <c r="R5" s="71"/>
      <c r="W5" s="76"/>
    </row>
    <row r="6" spans="2:28" x14ac:dyDescent="0.3">
      <c r="B6" s="1"/>
      <c r="C6" s="1"/>
      <c r="D6" s="1"/>
      <c r="E6" s="1"/>
      <c r="F6" s="1"/>
      <c r="G6" s="1">
        <f>V7</f>
        <v>0.53326896000000001</v>
      </c>
      <c r="H6" s="75"/>
      <c r="I6" s="1">
        <v>1.5</v>
      </c>
      <c r="J6" s="1"/>
      <c r="K6" s="1"/>
      <c r="L6" s="1"/>
      <c r="N6" s="1"/>
      <c r="Q6" s="69">
        <v>1</v>
      </c>
      <c r="R6" s="69" t="s">
        <v>87</v>
      </c>
      <c r="S6" s="69">
        <v>3.28</v>
      </c>
      <c r="T6" s="69" t="s">
        <v>88</v>
      </c>
      <c r="U6" t="s">
        <v>100</v>
      </c>
      <c r="V6">
        <v>4.9000000000000004</v>
      </c>
      <c r="W6" t="s">
        <v>95</v>
      </c>
    </row>
    <row r="7" spans="2:28" x14ac:dyDescent="0.3">
      <c r="B7" s="1" t="str">
        <f>B25</f>
        <v>BD (01-02)</v>
      </c>
      <c r="C7" s="72">
        <f>D16</f>
        <v>585</v>
      </c>
      <c r="D7" s="1">
        <f>C26+(C35*2)</f>
        <v>19.955199999999998</v>
      </c>
      <c r="E7" s="1">
        <v>1.1499999999999999</v>
      </c>
      <c r="F7" s="1">
        <v>1.4</v>
      </c>
      <c r="G7" s="1">
        <f>E7-F7</f>
        <v>-0.25</v>
      </c>
      <c r="H7" s="75">
        <f>H5-G7</f>
        <v>2.1332689600000001</v>
      </c>
      <c r="I7" s="1">
        <v>1.5</v>
      </c>
      <c r="J7" s="1">
        <v>6</v>
      </c>
      <c r="K7" s="1">
        <f>J7*$S$8</f>
        <v>0.15239999999999998</v>
      </c>
      <c r="L7" s="1">
        <v>3800</v>
      </c>
      <c r="M7" s="1">
        <v>0.74</v>
      </c>
      <c r="N7" s="1">
        <v>4</v>
      </c>
      <c r="O7">
        <f t="shared" ref="O7:O9" si="0">N7*$S$9</f>
        <v>101.6</v>
      </c>
      <c r="P7" s="76">
        <f>H7+I7+M7</f>
        <v>4.3732689599999999</v>
      </c>
      <c r="Q7" s="74">
        <v>1</v>
      </c>
      <c r="R7" s="74" t="s">
        <v>99</v>
      </c>
      <c r="S7" s="74">
        <v>8.3400000000000002E-2</v>
      </c>
      <c r="T7" s="69" t="s">
        <v>88</v>
      </c>
      <c r="U7" t="s">
        <v>92</v>
      </c>
      <c r="V7">
        <f>(D5*V6)/100</f>
        <v>0.53326896000000001</v>
      </c>
      <c r="W7" t="s">
        <v>95</v>
      </c>
    </row>
    <row r="8" spans="2:28" x14ac:dyDescent="0.3">
      <c r="B8" s="1" t="str">
        <f>B27</f>
        <v>BD (02-03)</v>
      </c>
      <c r="C8" s="72">
        <f>D17</f>
        <v>387</v>
      </c>
      <c r="D8" s="1">
        <f>C28</f>
        <v>12.267200000000001</v>
      </c>
      <c r="E8">
        <v>0.82</v>
      </c>
      <c r="F8" s="1">
        <v>0.88</v>
      </c>
      <c r="G8" s="1">
        <f>E8-F8</f>
        <v>-6.0000000000000053E-2</v>
      </c>
      <c r="H8" s="75">
        <f>H7-G8</f>
        <v>2.1932689600000002</v>
      </c>
      <c r="I8" s="1">
        <v>1.5</v>
      </c>
      <c r="J8" s="1">
        <v>6</v>
      </c>
      <c r="K8" s="1">
        <f>J8*$S$8</f>
        <v>0.15239999999999998</v>
      </c>
      <c r="L8" s="1">
        <v>3000</v>
      </c>
      <c r="M8" s="1">
        <v>0.72</v>
      </c>
      <c r="N8" s="1">
        <v>4</v>
      </c>
      <c r="O8">
        <f t="shared" si="0"/>
        <v>101.6</v>
      </c>
      <c r="P8" s="76">
        <f>H8+I8+M8</f>
        <v>4.4132689599999999</v>
      </c>
      <c r="Q8" s="74">
        <v>1</v>
      </c>
      <c r="R8" s="74" t="s">
        <v>99</v>
      </c>
      <c r="S8" s="74">
        <v>2.5399999999999999E-2</v>
      </c>
      <c r="T8" s="74" t="s">
        <v>94</v>
      </c>
    </row>
    <row r="9" spans="2:28" x14ac:dyDescent="0.3">
      <c r="B9" s="1" t="str">
        <f>B29</f>
        <v>BD (03-04)</v>
      </c>
      <c r="C9" s="72">
        <f>C18</f>
        <v>192</v>
      </c>
      <c r="D9" s="1">
        <f>C30</f>
        <v>8.8887999999999998</v>
      </c>
      <c r="E9" s="1">
        <v>0.55000000000000004</v>
      </c>
      <c r="F9" s="1">
        <v>0.4</v>
      </c>
      <c r="G9" s="1">
        <f>E9-F9</f>
        <v>0.15000000000000002</v>
      </c>
      <c r="H9" s="75">
        <f>H8-G9</f>
        <v>2.0432689600000002</v>
      </c>
      <c r="I9" s="1">
        <v>1.5</v>
      </c>
      <c r="J9" s="1">
        <v>6</v>
      </c>
      <c r="K9" s="1">
        <f>J9*$S$8</f>
        <v>0.15239999999999998</v>
      </c>
      <c r="L9" s="1">
        <v>1950</v>
      </c>
      <c r="M9" s="1">
        <v>0.7</v>
      </c>
      <c r="N9" s="1">
        <v>4</v>
      </c>
      <c r="O9">
        <f t="shared" si="0"/>
        <v>101.6</v>
      </c>
      <c r="Q9" s="74">
        <v>1</v>
      </c>
      <c r="R9" s="74" t="s">
        <v>99</v>
      </c>
      <c r="S9">
        <f>S8*1000</f>
        <v>25.4</v>
      </c>
      <c r="T9" t="s">
        <v>163</v>
      </c>
    </row>
    <row r="10" spans="2:28" x14ac:dyDescent="0.3">
      <c r="B10" s="1"/>
      <c r="C10" s="72"/>
      <c r="D10" s="1"/>
      <c r="E10" s="1"/>
      <c r="F10" s="1"/>
      <c r="G10" s="1"/>
      <c r="H10" s="75"/>
      <c r="I10" s="1"/>
      <c r="J10" s="1"/>
      <c r="K10" s="1"/>
      <c r="L10" s="1"/>
      <c r="M10" s="1"/>
      <c r="N10" s="1"/>
      <c r="P10" s="76"/>
      <c r="R10" s="71"/>
      <c r="W10" s="76"/>
    </row>
    <row r="11" spans="2:28" x14ac:dyDescent="0.3">
      <c r="B11" s="1"/>
      <c r="C11" s="1"/>
      <c r="D11" s="1"/>
      <c r="E11" s="1"/>
      <c r="F11" s="1"/>
      <c r="G11" s="1"/>
      <c r="H11" s="75"/>
      <c r="I11" s="1"/>
      <c r="J11" s="1"/>
      <c r="K11" s="1"/>
      <c r="L11" s="1"/>
      <c r="M11" s="1"/>
      <c r="N11" s="1"/>
      <c r="R11" s="71"/>
      <c r="W11" s="76"/>
    </row>
    <row r="12" spans="2:28" x14ac:dyDescent="0.3">
      <c r="B12" s="1"/>
      <c r="C12" s="72"/>
      <c r="D12" s="1"/>
      <c r="E12" s="1"/>
      <c r="F12" s="1"/>
      <c r="G12" s="1"/>
      <c r="H12" s="75"/>
      <c r="I12" s="1"/>
      <c r="J12" s="1"/>
      <c r="K12" s="1"/>
      <c r="L12" s="1"/>
      <c r="M12" s="1"/>
      <c r="N12" s="1"/>
    </row>
    <row r="13" spans="2:28" x14ac:dyDescent="0.3">
      <c r="C13" t="s">
        <v>144</v>
      </c>
      <c r="G13" s="78">
        <f>H8</f>
        <v>2.1932689600000002</v>
      </c>
      <c r="H13" s="74" t="s">
        <v>141</v>
      </c>
      <c r="I13" s="74">
        <f>I8</f>
        <v>1.5</v>
      </c>
      <c r="J13" s="74" t="s">
        <v>141</v>
      </c>
      <c r="K13" s="74"/>
      <c r="L13" s="74">
        <f>M8</f>
        <v>0.72</v>
      </c>
      <c r="M13" s="74" t="s">
        <v>143</v>
      </c>
      <c r="N13" s="78">
        <f>G13+I13+L13</f>
        <v>4.4132689599999999</v>
      </c>
      <c r="O13" s="78"/>
      <c r="Z13" s="76"/>
    </row>
    <row r="14" spans="2:28" x14ac:dyDescent="0.3">
      <c r="F14" t="s">
        <v>57</v>
      </c>
      <c r="M14" s="71"/>
      <c r="N14" s="71"/>
      <c r="O14" s="71"/>
    </row>
    <row r="15" spans="2:28" x14ac:dyDescent="0.3">
      <c r="B15" t="str">
        <f>Summary!B25</f>
        <v>Second Officer Room</v>
      </c>
      <c r="C15" s="71">
        <f>Summary!P25</f>
        <v>145</v>
      </c>
      <c r="D15" s="71">
        <f>SUM(C15:C19)</f>
        <v>730</v>
      </c>
      <c r="F15">
        <f>C15*0.472</f>
        <v>68.44</v>
      </c>
      <c r="J15" t="s">
        <v>98</v>
      </c>
      <c r="M15" s="71"/>
      <c r="N15" s="84"/>
      <c r="O15" s="83" t="s">
        <v>179</v>
      </c>
      <c r="P15" s="83"/>
      <c r="Q15" s="83"/>
      <c r="R15" s="192" t="s">
        <v>182</v>
      </c>
      <c r="S15" s="193"/>
      <c r="T15" s="194"/>
      <c r="U15" s="181" t="s">
        <v>181</v>
      </c>
      <c r="V15" s="182"/>
      <c r="W15" s="186" t="s">
        <v>180</v>
      </c>
      <c r="X15" s="186"/>
      <c r="Y15" s="186"/>
    </row>
    <row r="16" spans="2:28" x14ac:dyDescent="0.3">
      <c r="B16" t="str">
        <f>Summary!B26</f>
        <v>Chief Engineer Room</v>
      </c>
      <c r="C16" s="71">
        <f>Summary!P26</f>
        <v>198</v>
      </c>
      <c r="D16" s="71">
        <f>SUM(C16:C19)</f>
        <v>585</v>
      </c>
      <c r="F16">
        <f>C16*0.472</f>
        <v>93.455999999999989</v>
      </c>
      <c r="J16" t="str">
        <f>B5</f>
        <v>BD (C-01)</v>
      </c>
      <c r="L16" s="71">
        <f>D15</f>
        <v>730</v>
      </c>
      <c r="M16" s="71"/>
      <c r="N16" s="1"/>
      <c r="O16" s="70" t="s">
        <v>183</v>
      </c>
      <c r="P16" s="70" t="s">
        <v>186</v>
      </c>
      <c r="Q16" s="84" t="s">
        <v>184</v>
      </c>
      <c r="R16" s="1" t="s">
        <v>179</v>
      </c>
      <c r="S16" s="190" t="s">
        <v>180</v>
      </c>
      <c r="T16" s="191"/>
      <c r="U16" s="1" t="s">
        <v>188</v>
      </c>
      <c r="V16" s="84" t="s">
        <v>189</v>
      </c>
      <c r="W16" s="70" t="s">
        <v>183</v>
      </c>
      <c r="X16" s="70" t="s">
        <v>186</v>
      </c>
      <c r="Y16" s="84" t="s">
        <v>184</v>
      </c>
    </row>
    <row r="17" spans="2:25" x14ac:dyDescent="0.3">
      <c r="B17" t="str">
        <f>Summary!B27</f>
        <v>Chief Officer &amp; Engineer Office</v>
      </c>
      <c r="C17" s="71">
        <f>Summary!P27</f>
        <v>195</v>
      </c>
      <c r="D17" s="71">
        <f>SUM(C17:C19)</f>
        <v>387</v>
      </c>
      <c r="F17">
        <f>C17*0.472</f>
        <v>92.039999999999992</v>
      </c>
      <c r="J17" t="str">
        <f>B7</f>
        <v>BD (01-02)</v>
      </c>
      <c r="L17" s="71">
        <f>C7</f>
        <v>585</v>
      </c>
      <c r="M17" s="71"/>
      <c r="N17" s="1" t="s">
        <v>129</v>
      </c>
      <c r="O17" s="70">
        <v>280</v>
      </c>
      <c r="P17" s="85">
        <f>C15</f>
        <v>145</v>
      </c>
      <c r="Q17" s="86">
        <f>(O17-P17)/P17</f>
        <v>0.93103448275862066</v>
      </c>
      <c r="R17" s="1">
        <f>N5</f>
        <v>4</v>
      </c>
      <c r="S17" s="87">
        <v>2.5</v>
      </c>
      <c r="T17">
        <f>S17*$S$8</f>
        <v>6.3500000000000001E-2</v>
      </c>
      <c r="U17" s="201" t="s">
        <v>187</v>
      </c>
      <c r="V17" s="70" t="s">
        <v>185</v>
      </c>
      <c r="W17" s="70">
        <v>159</v>
      </c>
      <c r="X17" s="85">
        <f>P17</f>
        <v>145</v>
      </c>
      <c r="Y17" s="86">
        <f>(W17-X17)/X17</f>
        <v>9.6551724137931033E-2</v>
      </c>
    </row>
    <row r="18" spans="2:25" x14ac:dyDescent="0.3">
      <c r="B18" t="str">
        <f>Summary!B29</f>
        <v>Chief Officer Room</v>
      </c>
      <c r="C18" s="71">
        <f>Summary!P29</f>
        <v>192</v>
      </c>
      <c r="D18" s="71"/>
      <c r="F18">
        <f>C18*0.472</f>
        <v>90.623999999999995</v>
      </c>
      <c r="J18" t="str">
        <f>B7</f>
        <v>BD (01-02)</v>
      </c>
      <c r="L18" s="71">
        <f>C8</f>
        <v>387</v>
      </c>
      <c r="N18" s="1" t="s">
        <v>126</v>
      </c>
      <c r="O18" s="70">
        <v>219</v>
      </c>
      <c r="P18" s="85">
        <f>C16</f>
        <v>198</v>
      </c>
      <c r="Q18" s="86">
        <f>(O18-P18)/P18</f>
        <v>0.10606060606060606</v>
      </c>
      <c r="R18" s="1">
        <f>N7</f>
        <v>4</v>
      </c>
      <c r="S18" s="1">
        <v>3</v>
      </c>
      <c r="T18">
        <f t="shared" ref="T18:T20" si="1">S18*$S$8</f>
        <v>7.619999999999999E-2</v>
      </c>
      <c r="U18" s="202"/>
      <c r="V18" s="70" t="s">
        <v>185</v>
      </c>
      <c r="W18" s="70">
        <v>228</v>
      </c>
      <c r="X18" s="85">
        <f>P18</f>
        <v>198</v>
      </c>
      <c r="Y18" s="86">
        <f>(W18-X18)/X18</f>
        <v>0.15151515151515152</v>
      </c>
    </row>
    <row r="19" spans="2:25" x14ac:dyDescent="0.3">
      <c r="C19" s="71"/>
      <c r="J19" t="str">
        <f>B9</f>
        <v>BD (03-04)</v>
      </c>
      <c r="L19" s="71">
        <f>C9</f>
        <v>192</v>
      </c>
      <c r="N19" s="1" t="s">
        <v>127</v>
      </c>
      <c r="O19" s="70">
        <v>148</v>
      </c>
      <c r="P19" s="85">
        <f>C17</f>
        <v>195</v>
      </c>
      <c r="Q19" s="86">
        <f>(O19-P19)/P19</f>
        <v>-0.24102564102564103</v>
      </c>
      <c r="R19" s="1">
        <f>N8</f>
        <v>4</v>
      </c>
      <c r="S19" s="1">
        <v>3</v>
      </c>
      <c r="T19">
        <f t="shared" si="1"/>
        <v>7.619999999999999E-2</v>
      </c>
      <c r="U19" s="202"/>
      <c r="V19" s="70" t="s">
        <v>185</v>
      </c>
      <c r="W19" s="70">
        <v>208</v>
      </c>
      <c r="X19" s="85">
        <f>P19</f>
        <v>195</v>
      </c>
      <c r="Y19" s="86">
        <f>(W19-X19)/X19</f>
        <v>6.6666666666666666E-2</v>
      </c>
    </row>
    <row r="20" spans="2:25" x14ac:dyDescent="0.3">
      <c r="L20" s="71"/>
      <c r="N20" s="1" t="s">
        <v>128</v>
      </c>
      <c r="O20" s="70">
        <v>238</v>
      </c>
      <c r="P20" s="85">
        <f>C18</f>
        <v>192</v>
      </c>
      <c r="Q20" s="86">
        <f>(O20-P20)/P20</f>
        <v>0.23958333333333334</v>
      </c>
      <c r="R20" s="1">
        <f>N9</f>
        <v>4</v>
      </c>
      <c r="S20" s="87">
        <v>2.5</v>
      </c>
      <c r="T20">
        <f t="shared" si="1"/>
        <v>6.3500000000000001E-2</v>
      </c>
      <c r="U20" s="203"/>
      <c r="V20" s="70" t="s">
        <v>185</v>
      </c>
      <c r="W20" s="70">
        <v>176</v>
      </c>
      <c r="X20" s="85">
        <f>P20</f>
        <v>192</v>
      </c>
      <c r="Y20" s="86">
        <f>(W20-X20)/X20</f>
        <v>-8.3333333333333329E-2</v>
      </c>
    </row>
    <row r="21" spans="2:25" x14ac:dyDescent="0.3">
      <c r="C21" s="71"/>
      <c r="L21" s="71"/>
    </row>
    <row r="22" spans="2:25" x14ac:dyDescent="0.3">
      <c r="B22" t="s">
        <v>93</v>
      </c>
      <c r="E22" t="s">
        <v>175</v>
      </c>
      <c r="G22">
        <v>2</v>
      </c>
      <c r="H22" t="s">
        <v>94</v>
      </c>
      <c r="N22" s="88" t="s">
        <v>191</v>
      </c>
      <c r="O22" s="88"/>
      <c r="P22" s="88"/>
      <c r="Q22" s="88"/>
      <c r="S22" s="69" t="s">
        <v>196</v>
      </c>
    </row>
    <row r="23" spans="2:25" x14ac:dyDescent="0.3">
      <c r="B23" t="s">
        <v>129</v>
      </c>
      <c r="C23">
        <v>3.3180000000000001</v>
      </c>
      <c r="D23" t="s">
        <v>94</v>
      </c>
      <c r="G23">
        <f>G22*S6</f>
        <v>6.56</v>
      </c>
      <c r="H23" t="s">
        <v>88</v>
      </c>
      <c r="N23" s="88" t="s">
        <v>192</v>
      </c>
      <c r="O23" s="88" t="s">
        <v>193</v>
      </c>
      <c r="P23" s="88" t="s">
        <v>194</v>
      </c>
      <c r="Q23" s="88" t="s">
        <v>195</v>
      </c>
      <c r="S23" s="88" t="s">
        <v>192</v>
      </c>
      <c r="T23" s="88" t="s">
        <v>197</v>
      </c>
    </row>
    <row r="24" spans="2:25" x14ac:dyDescent="0.3">
      <c r="C24">
        <f>C23*S6</f>
        <v>10.883039999999999</v>
      </c>
      <c r="D24" t="s">
        <v>88</v>
      </c>
      <c r="E24" t="s">
        <v>190</v>
      </c>
      <c r="G24">
        <v>2.4</v>
      </c>
      <c r="H24" t="s">
        <v>94</v>
      </c>
      <c r="N24" s="89">
        <v>6</v>
      </c>
      <c r="O24" s="90">
        <f>D5+D7+D8+D9</f>
        <v>51.994240000000005</v>
      </c>
      <c r="P24" s="88">
        <f>O24/$S$6</f>
        <v>15.851902439024393</v>
      </c>
      <c r="Q24" s="88">
        <v>16</v>
      </c>
      <c r="S24">
        <v>6</v>
      </c>
      <c r="T24">
        <v>2</v>
      </c>
    </row>
    <row r="25" spans="2:25" x14ac:dyDescent="0.3">
      <c r="B25" t="s">
        <v>126</v>
      </c>
      <c r="C25">
        <f>0.54+2.26+0.54</f>
        <v>3.34</v>
      </c>
      <c r="D25" t="s">
        <v>94</v>
      </c>
      <c r="G25">
        <f>G24*S6</f>
        <v>7.871999999999999</v>
      </c>
      <c r="H25" t="s">
        <v>88</v>
      </c>
      <c r="N25" s="88">
        <v>3</v>
      </c>
      <c r="O25" s="88">
        <f>G23*2</f>
        <v>13.12</v>
      </c>
      <c r="P25" s="88">
        <f>O25/$S$6</f>
        <v>4</v>
      </c>
      <c r="Q25" s="88">
        <v>4</v>
      </c>
    </row>
    <row r="26" spans="2:25" x14ac:dyDescent="0.3">
      <c r="C26">
        <f>C25*S6</f>
        <v>10.9552</v>
      </c>
      <c r="D26" t="s">
        <v>88</v>
      </c>
      <c r="N26" s="89">
        <v>2.5</v>
      </c>
      <c r="O26" s="88">
        <f>G23*2</f>
        <v>13.12</v>
      </c>
      <c r="P26" s="88">
        <f>O26/$S$6</f>
        <v>4</v>
      </c>
      <c r="Q26" s="88">
        <v>4</v>
      </c>
    </row>
    <row r="27" spans="2:25" x14ac:dyDescent="0.3">
      <c r="B27" t="s">
        <v>127</v>
      </c>
      <c r="C27">
        <v>3.74</v>
      </c>
      <c r="D27" t="s">
        <v>94</v>
      </c>
    </row>
    <row r="28" spans="2:25" x14ac:dyDescent="0.3">
      <c r="C28" s="76">
        <f>C27*S6</f>
        <v>12.267200000000001</v>
      </c>
      <c r="D28" t="s">
        <v>88</v>
      </c>
      <c r="G28" s="69"/>
      <c r="H28" s="91"/>
      <c r="I28" s="92"/>
      <c r="L28" s="69"/>
      <c r="M28" s="69"/>
    </row>
    <row r="29" spans="2:25" x14ac:dyDescent="0.3">
      <c r="B29" t="s">
        <v>128</v>
      </c>
      <c r="C29">
        <v>2.71</v>
      </c>
      <c r="D29" t="s">
        <v>94</v>
      </c>
      <c r="G29" s="69"/>
      <c r="H29" s="91"/>
      <c r="I29" s="92"/>
      <c r="L29" s="69"/>
      <c r="M29" s="69"/>
      <c r="N29" s="89"/>
      <c r="O29" s="88"/>
      <c r="P29" s="88"/>
      <c r="Q29" s="88"/>
    </row>
    <row r="30" spans="2:25" x14ac:dyDescent="0.3">
      <c r="C30">
        <f>C29*S6</f>
        <v>8.8887999999999998</v>
      </c>
      <c r="D30" t="s">
        <v>88</v>
      </c>
      <c r="G30" s="69"/>
      <c r="H30" s="91"/>
      <c r="I30" s="92"/>
      <c r="L30" s="69"/>
      <c r="M30" s="69"/>
    </row>
    <row r="34" spans="2:4" ht="28.8" x14ac:dyDescent="0.3">
      <c r="B34" s="77" t="s">
        <v>132</v>
      </c>
      <c r="C34">
        <v>3.8</v>
      </c>
      <c r="D34" t="s">
        <v>88</v>
      </c>
    </row>
    <row r="35" spans="2:4" ht="28.8" x14ac:dyDescent="0.3">
      <c r="B35" s="77" t="s">
        <v>117</v>
      </c>
      <c r="C35">
        <v>4.5</v>
      </c>
      <c r="D35" t="s">
        <v>88</v>
      </c>
    </row>
  </sheetData>
  <mergeCells count="28">
    <mergeCell ref="U17:U20"/>
    <mergeCell ref="H3:H4"/>
    <mergeCell ref="B3:B4"/>
    <mergeCell ref="C3:C4"/>
    <mergeCell ref="D3:D4"/>
    <mergeCell ref="E3:F3"/>
    <mergeCell ref="G3:G4"/>
    <mergeCell ref="I3:I4"/>
    <mergeCell ref="L3:L4"/>
    <mergeCell ref="M3:M4"/>
    <mergeCell ref="J3:K3"/>
    <mergeCell ref="N3:O3"/>
    <mergeCell ref="Q3:Q4"/>
    <mergeCell ref="S16:T16"/>
    <mergeCell ref="AB3:AB4"/>
    <mergeCell ref="W3:W4"/>
    <mergeCell ref="X3:X4"/>
    <mergeCell ref="R3:R4"/>
    <mergeCell ref="S3:S4"/>
    <mergeCell ref="T3:U3"/>
    <mergeCell ref="V3:V4"/>
    <mergeCell ref="W15:Y15"/>
    <mergeCell ref="N2:O2"/>
    <mergeCell ref="Y3:Y4"/>
    <mergeCell ref="Z3:Z4"/>
    <mergeCell ref="AA3:AA4"/>
    <mergeCell ref="U15:V15"/>
    <mergeCell ref="R15:T1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EE59-2716-4957-9EF8-8C60CDDA4472}">
  <dimension ref="B2:AB35"/>
  <sheetViews>
    <sheetView topLeftCell="L14" zoomScale="124" workbookViewId="0">
      <selection activeCell="Q28" sqref="Q28"/>
    </sheetView>
  </sheetViews>
  <sheetFormatPr defaultRowHeight="14.4" x14ac:dyDescent="0.3"/>
  <cols>
    <col min="2" max="2" width="10.109375" customWidth="1"/>
    <col min="3" max="3" width="9.33203125" customWidth="1"/>
    <col min="4" max="4" width="10.21875" customWidth="1"/>
    <col min="9" max="9" width="9.5546875" customWidth="1"/>
  </cols>
  <sheetData>
    <row r="2" spans="2:28" x14ac:dyDescent="0.3">
      <c r="B2" s="70">
        <v>1</v>
      </c>
      <c r="C2" s="70">
        <v>2</v>
      </c>
      <c r="D2" s="70">
        <v>3</v>
      </c>
      <c r="E2" s="70">
        <v>4</v>
      </c>
      <c r="F2" s="70">
        <v>5</v>
      </c>
      <c r="G2" s="70">
        <v>6</v>
      </c>
      <c r="H2" s="70">
        <v>7</v>
      </c>
      <c r="I2" s="70">
        <v>8</v>
      </c>
      <c r="J2" s="181">
        <v>9</v>
      </c>
      <c r="K2" s="182"/>
      <c r="L2" s="70">
        <v>10</v>
      </c>
      <c r="M2" s="70">
        <v>11</v>
      </c>
      <c r="N2" s="199">
        <v>12</v>
      </c>
      <c r="O2" s="200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</row>
    <row r="3" spans="2:28" ht="72" customHeight="1" x14ac:dyDescent="0.3">
      <c r="B3" s="183" t="s">
        <v>76</v>
      </c>
      <c r="C3" s="183" t="s">
        <v>77</v>
      </c>
      <c r="D3" s="183" t="s">
        <v>78</v>
      </c>
      <c r="E3" s="183" t="s">
        <v>79</v>
      </c>
      <c r="F3" s="183"/>
      <c r="G3" s="183" t="s">
        <v>82</v>
      </c>
      <c r="H3" s="183" t="s">
        <v>83</v>
      </c>
      <c r="I3" s="183" t="s">
        <v>84</v>
      </c>
      <c r="J3" s="196" t="s">
        <v>166</v>
      </c>
      <c r="K3" s="197"/>
      <c r="L3" s="183" t="s">
        <v>86</v>
      </c>
      <c r="M3" s="183" t="s">
        <v>118</v>
      </c>
      <c r="N3" s="204" t="s">
        <v>162</v>
      </c>
      <c r="O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</row>
    <row r="4" spans="2:28" x14ac:dyDescent="0.3">
      <c r="B4" s="183"/>
      <c r="C4" s="183"/>
      <c r="D4" s="183"/>
      <c r="E4" s="1" t="s">
        <v>80</v>
      </c>
      <c r="F4" s="1" t="s">
        <v>81</v>
      </c>
      <c r="G4" s="183"/>
      <c r="H4" s="183"/>
      <c r="I4" s="183"/>
      <c r="J4" s="81" t="s">
        <v>164</v>
      </c>
      <c r="K4" s="79" t="s">
        <v>165</v>
      </c>
      <c r="L4" s="183"/>
      <c r="M4" s="183"/>
      <c r="N4" s="81" t="s">
        <v>164</v>
      </c>
      <c r="O4" s="80" t="s">
        <v>167</v>
      </c>
      <c r="Q4" s="198"/>
      <c r="R4" s="198"/>
      <c r="S4" s="198"/>
      <c r="V4" s="198"/>
      <c r="W4" s="198"/>
      <c r="X4" s="198"/>
      <c r="Y4" s="198"/>
      <c r="Z4" s="198"/>
      <c r="AA4" s="198"/>
      <c r="AB4" s="198"/>
    </row>
    <row r="5" spans="2:28" x14ac:dyDescent="0.3">
      <c r="B5" s="1" t="str">
        <f>B23</f>
        <v>BRD (D-01)</v>
      </c>
      <c r="C5" s="72">
        <f>D15</f>
        <v>778</v>
      </c>
      <c r="D5" s="1">
        <f>C24+C35</f>
        <v>22.41864</v>
      </c>
      <c r="E5" s="1"/>
      <c r="F5" s="1"/>
      <c r="G5" s="1">
        <v>1.25</v>
      </c>
      <c r="H5" s="75">
        <f>G5+G6</f>
        <v>2.3260947199999999</v>
      </c>
      <c r="I5" s="1">
        <v>1.5</v>
      </c>
      <c r="J5" s="1">
        <v>6</v>
      </c>
      <c r="K5" s="1">
        <f>J5*$S$8</f>
        <v>0.15239999999999998</v>
      </c>
      <c r="L5" s="1">
        <v>4500</v>
      </c>
      <c r="M5" s="1">
        <v>0.38</v>
      </c>
      <c r="N5" s="1">
        <v>5</v>
      </c>
      <c r="O5">
        <f>N5*$S$9</f>
        <v>127</v>
      </c>
      <c r="R5" s="71"/>
      <c r="W5" s="76"/>
    </row>
    <row r="6" spans="2:28" x14ac:dyDescent="0.3">
      <c r="B6" s="1"/>
      <c r="C6" s="1"/>
      <c r="D6" s="1"/>
      <c r="E6" s="1"/>
      <c r="F6" s="1"/>
      <c r="G6" s="1">
        <f>V7</f>
        <v>1.0760947199999999</v>
      </c>
      <c r="H6" s="75"/>
      <c r="I6" s="1">
        <v>1.5</v>
      </c>
      <c r="J6" s="1"/>
      <c r="K6" s="1"/>
      <c r="L6" s="1"/>
      <c r="N6" s="1"/>
      <c r="Q6" s="69">
        <v>1</v>
      </c>
      <c r="R6" s="69" t="s">
        <v>87</v>
      </c>
      <c r="S6" s="69">
        <v>3.28</v>
      </c>
      <c r="T6" s="69" t="s">
        <v>88</v>
      </c>
      <c r="U6" t="s">
        <v>100</v>
      </c>
      <c r="V6">
        <v>4.8</v>
      </c>
      <c r="W6" t="s">
        <v>95</v>
      </c>
    </row>
    <row r="7" spans="2:28" x14ac:dyDescent="0.3">
      <c r="B7" s="1" t="str">
        <f>B25</f>
        <v>BRD (01-02)</v>
      </c>
      <c r="C7" s="72">
        <f>D16</f>
        <v>537</v>
      </c>
      <c r="D7" s="1">
        <f>C26+C34</f>
        <v>13.377599999999997</v>
      </c>
      <c r="E7" s="1">
        <v>1.2</v>
      </c>
      <c r="F7" s="1">
        <v>1.51</v>
      </c>
      <c r="G7" s="1">
        <f>E7-F7</f>
        <v>-0.31000000000000005</v>
      </c>
      <c r="H7" s="75">
        <f>H5-G7</f>
        <v>2.63609472</v>
      </c>
      <c r="I7" s="1">
        <v>1.5</v>
      </c>
      <c r="J7" s="1">
        <v>5</v>
      </c>
      <c r="K7" s="1">
        <f t="shared" ref="K7:K10" si="0">J7*$S$8</f>
        <v>0.127</v>
      </c>
      <c r="L7" s="1">
        <v>3850</v>
      </c>
      <c r="M7" s="1">
        <v>0.33</v>
      </c>
      <c r="N7" s="1">
        <v>4</v>
      </c>
      <c r="O7">
        <f t="shared" ref="O7:O10" si="1">N7*$S$9</f>
        <v>101.6</v>
      </c>
      <c r="Q7" s="74">
        <v>1</v>
      </c>
      <c r="R7" s="74" t="s">
        <v>99</v>
      </c>
      <c r="S7" s="74">
        <v>8.3400000000000002E-2</v>
      </c>
      <c r="T7" s="69" t="s">
        <v>88</v>
      </c>
      <c r="U7" t="s">
        <v>92</v>
      </c>
      <c r="V7">
        <f>(D5*V6)/100</f>
        <v>1.0760947199999999</v>
      </c>
      <c r="W7" t="s">
        <v>95</v>
      </c>
    </row>
    <row r="8" spans="2:28" x14ac:dyDescent="0.3">
      <c r="B8" s="1" t="str">
        <f>B27</f>
        <v>BRD (02-03)</v>
      </c>
      <c r="C8" s="72">
        <f>D17</f>
        <v>406</v>
      </c>
      <c r="D8" s="1">
        <f>C28</f>
        <v>10.496</v>
      </c>
      <c r="E8">
        <v>0.92</v>
      </c>
      <c r="F8" s="1">
        <v>0.92</v>
      </c>
      <c r="G8" s="1">
        <f>E8-F8</f>
        <v>0</v>
      </c>
      <c r="H8" s="75">
        <f>H7-G8</f>
        <v>2.63609472</v>
      </c>
      <c r="I8" s="1">
        <v>1.5</v>
      </c>
      <c r="J8" s="1">
        <v>5</v>
      </c>
      <c r="K8" s="1">
        <f t="shared" si="0"/>
        <v>0.127</v>
      </c>
      <c r="L8" s="1">
        <v>3000</v>
      </c>
      <c r="M8" s="1">
        <v>0.55000000000000004</v>
      </c>
      <c r="N8" s="1">
        <v>4</v>
      </c>
      <c r="O8">
        <f t="shared" si="1"/>
        <v>101.6</v>
      </c>
      <c r="Q8" s="74">
        <v>1</v>
      </c>
      <c r="R8" s="74" t="s">
        <v>99</v>
      </c>
      <c r="S8" s="74">
        <v>2.5399999999999999E-2</v>
      </c>
      <c r="T8" s="74" t="s">
        <v>94</v>
      </c>
    </row>
    <row r="9" spans="2:28" x14ac:dyDescent="0.3">
      <c r="B9" s="1" t="str">
        <f>B29</f>
        <v>BRD (03-04)</v>
      </c>
      <c r="C9" s="72">
        <f>D18</f>
        <v>241</v>
      </c>
      <c r="D9" s="1">
        <f>C30+C34</f>
        <v>13.344799999999999</v>
      </c>
      <c r="E9" s="1">
        <v>0.54</v>
      </c>
      <c r="F9" s="1">
        <v>0.32</v>
      </c>
      <c r="G9" s="1">
        <f>E9-F9</f>
        <v>0.22000000000000003</v>
      </c>
      <c r="H9" s="75">
        <f>H8-G9</f>
        <v>2.4160947199999998</v>
      </c>
      <c r="I9" s="1">
        <v>1.5</v>
      </c>
      <c r="J9" s="1">
        <v>5</v>
      </c>
      <c r="K9" s="1">
        <f t="shared" si="0"/>
        <v>0.127</v>
      </c>
      <c r="L9" s="1">
        <v>1700</v>
      </c>
      <c r="M9" s="1">
        <v>0.31</v>
      </c>
      <c r="N9" s="1">
        <v>4</v>
      </c>
      <c r="O9">
        <f t="shared" si="1"/>
        <v>101.6</v>
      </c>
      <c r="Q9" s="74">
        <v>1</v>
      </c>
      <c r="R9" s="74" t="s">
        <v>99</v>
      </c>
      <c r="S9">
        <f>S8*1000</f>
        <v>25.4</v>
      </c>
      <c r="T9" t="s">
        <v>163</v>
      </c>
    </row>
    <row r="10" spans="2:28" x14ac:dyDescent="0.3">
      <c r="B10" s="1" t="str">
        <f>B31</f>
        <v>BRD (04-05)</v>
      </c>
      <c r="C10" s="72">
        <f>C19</f>
        <v>122</v>
      </c>
      <c r="D10" s="1">
        <f>C32</f>
        <v>7.5439999999999987</v>
      </c>
      <c r="E10" s="1">
        <v>0.17</v>
      </c>
      <c r="F10" s="1">
        <v>0.22</v>
      </c>
      <c r="G10" s="1">
        <f t="shared" ref="G10" si="2">E10-F10</f>
        <v>-4.9999999999999989E-2</v>
      </c>
      <c r="H10" s="75">
        <f>H9-G10</f>
        <v>2.4660947199999996</v>
      </c>
      <c r="I10" s="1">
        <v>1.5</v>
      </c>
      <c r="J10" s="1">
        <v>4</v>
      </c>
      <c r="K10" s="1">
        <f t="shared" si="0"/>
        <v>0.1016</v>
      </c>
      <c r="L10" s="1">
        <v>1300</v>
      </c>
      <c r="M10" s="1">
        <v>0.3</v>
      </c>
      <c r="N10" s="1">
        <v>4</v>
      </c>
      <c r="O10">
        <f t="shared" si="1"/>
        <v>101.6</v>
      </c>
      <c r="R10" s="71"/>
      <c r="W10" s="76"/>
    </row>
    <row r="11" spans="2:28" x14ac:dyDescent="0.3">
      <c r="B11" s="1"/>
      <c r="C11" s="1"/>
      <c r="D11" s="1"/>
      <c r="E11" s="1"/>
      <c r="F11" s="1"/>
      <c r="G11" s="1"/>
      <c r="H11" s="75"/>
      <c r="I11" s="1"/>
      <c r="J11" s="1"/>
      <c r="K11" s="1"/>
      <c r="L11" s="1"/>
      <c r="M11" s="1"/>
      <c r="N11" s="1"/>
      <c r="R11" s="71"/>
      <c r="W11" s="76"/>
    </row>
    <row r="12" spans="2:28" x14ac:dyDescent="0.3">
      <c r="B12" s="1"/>
      <c r="C12" s="72"/>
      <c r="D12" s="1"/>
      <c r="E12" s="1"/>
      <c r="F12" s="1"/>
      <c r="G12" s="1"/>
      <c r="H12" s="75"/>
      <c r="I12" s="1"/>
      <c r="J12" s="1"/>
      <c r="K12" s="1"/>
      <c r="L12" s="1"/>
      <c r="M12" s="1"/>
      <c r="N12" s="1"/>
    </row>
    <row r="13" spans="2:28" x14ac:dyDescent="0.3">
      <c r="C13" t="s">
        <v>145</v>
      </c>
      <c r="G13" s="78">
        <f>H8</f>
        <v>2.63609472</v>
      </c>
      <c r="H13" s="74" t="s">
        <v>141</v>
      </c>
      <c r="I13" s="74">
        <f>I8</f>
        <v>1.5</v>
      </c>
      <c r="J13" s="74" t="s">
        <v>141</v>
      </c>
      <c r="K13" s="74"/>
      <c r="L13" s="74">
        <f>M8</f>
        <v>0.55000000000000004</v>
      </c>
      <c r="M13" s="74" t="s">
        <v>143</v>
      </c>
      <c r="N13" s="78">
        <f>G13+I13+L13</f>
        <v>4.6860947199999998</v>
      </c>
      <c r="O13" s="78"/>
      <c r="Z13" s="76"/>
    </row>
    <row r="14" spans="2:28" x14ac:dyDescent="0.3">
      <c r="F14" t="s">
        <v>57</v>
      </c>
      <c r="M14" s="71"/>
      <c r="N14" s="71"/>
      <c r="O14" s="71"/>
    </row>
    <row r="15" spans="2:28" x14ac:dyDescent="0.3">
      <c r="B15" t="str">
        <f>Summary!B34</f>
        <v>Master Room</v>
      </c>
      <c r="C15" s="71">
        <f>Summary!P34</f>
        <v>241</v>
      </c>
      <c r="D15" s="71">
        <f>SUM(C15:C19)</f>
        <v>778</v>
      </c>
      <c r="F15">
        <f>C15*0.472</f>
        <v>113.752</v>
      </c>
      <c r="J15" t="s">
        <v>98</v>
      </c>
      <c r="M15" s="71"/>
      <c r="N15" s="84"/>
      <c r="O15" s="83" t="s">
        <v>179</v>
      </c>
      <c r="P15" s="83"/>
      <c r="Q15" s="83"/>
      <c r="R15" s="83" t="s">
        <v>182</v>
      </c>
      <c r="S15" s="83"/>
      <c r="T15" s="181" t="s">
        <v>181</v>
      </c>
      <c r="U15" s="182"/>
      <c r="V15" s="186" t="s">
        <v>180</v>
      </c>
      <c r="W15" s="186"/>
      <c r="X15" s="186"/>
    </row>
    <row r="16" spans="2:28" x14ac:dyDescent="0.3">
      <c r="B16" t="str">
        <f>Summary!B33</f>
        <v>Master Office</v>
      </c>
      <c r="C16" s="71">
        <f>Summary!P33</f>
        <v>131</v>
      </c>
      <c r="D16" s="71">
        <f>SUM(C16:C19)</f>
        <v>537</v>
      </c>
      <c r="F16">
        <f>C16*0.472</f>
        <v>61.831999999999994</v>
      </c>
      <c r="J16" t="str">
        <f>B5</f>
        <v>BRD (D-01)</v>
      </c>
      <c r="L16" s="71">
        <f>D15</f>
        <v>778</v>
      </c>
      <c r="M16" s="71"/>
      <c r="N16" s="1"/>
      <c r="O16" s="70" t="s">
        <v>183</v>
      </c>
      <c r="P16" s="70" t="s">
        <v>186</v>
      </c>
      <c r="Q16" s="84" t="s">
        <v>184</v>
      </c>
      <c r="R16" s="1" t="s">
        <v>179</v>
      </c>
      <c r="S16" s="1" t="s">
        <v>180</v>
      </c>
      <c r="T16" s="1" t="s">
        <v>188</v>
      </c>
      <c r="U16" s="84" t="s">
        <v>72</v>
      </c>
      <c r="V16" s="70" t="s">
        <v>183</v>
      </c>
      <c r="W16" s="70" t="s">
        <v>186</v>
      </c>
      <c r="X16" s="84" t="s">
        <v>184</v>
      </c>
    </row>
    <row r="17" spans="2:24" x14ac:dyDescent="0.3">
      <c r="B17" t="str">
        <f>Summary!B32</f>
        <v>Meeting Room</v>
      </c>
      <c r="C17" s="71">
        <f>Summary!P32</f>
        <v>165</v>
      </c>
      <c r="D17" s="71">
        <f>SUM(C17:C19)</f>
        <v>406</v>
      </c>
      <c r="F17">
        <f>C17*0.472</f>
        <v>77.88</v>
      </c>
      <c r="J17" t="str">
        <f>B7</f>
        <v>BRD (01-02)</v>
      </c>
      <c r="L17" s="71">
        <f>C7</f>
        <v>537</v>
      </c>
      <c r="M17" s="71"/>
      <c r="N17" s="1" t="s">
        <v>137</v>
      </c>
      <c r="O17" s="70">
        <v>310</v>
      </c>
      <c r="P17" s="85">
        <f>C15</f>
        <v>241</v>
      </c>
      <c r="Q17" s="86">
        <f>(O17-P17)/P17</f>
        <v>0.2863070539419087</v>
      </c>
      <c r="R17" s="1">
        <f>N5</f>
        <v>5</v>
      </c>
      <c r="S17" s="1">
        <v>3</v>
      </c>
      <c r="T17" s="201" t="s">
        <v>187</v>
      </c>
      <c r="U17" s="70" t="s">
        <v>185</v>
      </c>
      <c r="V17" s="70">
        <v>286</v>
      </c>
      <c r="W17" s="85">
        <f>P17</f>
        <v>241</v>
      </c>
      <c r="X17" s="86">
        <f>(V17-W17)/W17</f>
        <v>0.18672199170124482</v>
      </c>
    </row>
    <row r="18" spans="2:24" x14ac:dyDescent="0.3">
      <c r="B18" t="str">
        <f>Summary!B31</f>
        <v>Radio Operator Room</v>
      </c>
      <c r="C18" s="71">
        <f>Summary!P31</f>
        <v>119</v>
      </c>
      <c r="D18" s="71">
        <f>SUM(C18:C19)</f>
        <v>241</v>
      </c>
      <c r="F18">
        <f>C18*0.472</f>
        <v>56.167999999999999</v>
      </c>
      <c r="J18" t="str">
        <f>B7</f>
        <v>BRD (01-02)</v>
      </c>
      <c r="L18" s="71">
        <f>C8</f>
        <v>406</v>
      </c>
      <c r="N18" s="1" t="s">
        <v>133</v>
      </c>
      <c r="O18" s="70">
        <v>136</v>
      </c>
      <c r="P18" s="85">
        <f>C16</f>
        <v>131</v>
      </c>
      <c r="Q18" s="86">
        <f>(O18-P18)/P18</f>
        <v>3.8167938931297711E-2</v>
      </c>
      <c r="R18" s="1">
        <f>N7</f>
        <v>4</v>
      </c>
      <c r="S18" s="87">
        <v>2.5</v>
      </c>
      <c r="T18" s="202"/>
      <c r="U18" s="70" t="s">
        <v>185</v>
      </c>
      <c r="V18" s="70">
        <v>145</v>
      </c>
      <c r="W18" s="85">
        <f>P18</f>
        <v>131</v>
      </c>
      <c r="X18" s="86">
        <f>(V18-W18)/W18</f>
        <v>0.10687022900763359</v>
      </c>
    </row>
    <row r="19" spans="2:24" x14ac:dyDescent="0.3">
      <c r="B19" t="str">
        <f>Summary!B30</f>
        <v>Library</v>
      </c>
      <c r="C19" s="71">
        <f>Summary!P30</f>
        <v>122</v>
      </c>
      <c r="F19">
        <f>C19*0.472</f>
        <v>57.583999999999996</v>
      </c>
      <c r="J19" t="str">
        <f>B9</f>
        <v>BRD (03-04)</v>
      </c>
      <c r="L19" s="71">
        <f>C9</f>
        <v>241</v>
      </c>
      <c r="N19" s="1" t="s">
        <v>134</v>
      </c>
      <c r="O19" s="70">
        <v>111</v>
      </c>
      <c r="P19" s="85">
        <f>C17</f>
        <v>165</v>
      </c>
      <c r="Q19" s="86">
        <f>(O19-P19)/P19</f>
        <v>-0.32727272727272727</v>
      </c>
      <c r="R19" s="1">
        <f>N8</f>
        <v>4</v>
      </c>
      <c r="S19" s="1">
        <v>3</v>
      </c>
      <c r="T19" s="202"/>
      <c r="U19" s="70" t="s">
        <v>185</v>
      </c>
      <c r="V19" s="70">
        <v>169</v>
      </c>
      <c r="W19" s="85">
        <f>P19</f>
        <v>165</v>
      </c>
      <c r="X19" s="86">
        <f>(V19-W19)/W19</f>
        <v>2.4242424242424242E-2</v>
      </c>
    </row>
    <row r="20" spans="2:24" x14ac:dyDescent="0.3">
      <c r="J20" t="str">
        <f>B10</f>
        <v>BRD (04-05)</v>
      </c>
      <c r="L20" s="71">
        <f>C10</f>
        <v>122</v>
      </c>
      <c r="N20" s="1" t="s">
        <v>135</v>
      </c>
      <c r="O20" s="70">
        <v>98.74</v>
      </c>
      <c r="P20" s="85">
        <f>C18</f>
        <v>119</v>
      </c>
      <c r="Q20" s="86">
        <f>(O20-P20)/P20</f>
        <v>-0.17025210084033618</v>
      </c>
      <c r="R20" s="1">
        <f>N9</f>
        <v>4</v>
      </c>
      <c r="S20" s="87">
        <v>2.5</v>
      </c>
      <c r="T20" s="202"/>
      <c r="U20" s="70" t="s">
        <v>185</v>
      </c>
      <c r="V20" s="70">
        <v>119</v>
      </c>
      <c r="W20" s="85">
        <f>P20</f>
        <v>119</v>
      </c>
      <c r="X20" s="86">
        <f>(V20-W20)/W20</f>
        <v>0</v>
      </c>
    </row>
    <row r="21" spans="2:24" x14ac:dyDescent="0.3">
      <c r="C21" s="71"/>
      <c r="L21" s="71"/>
      <c r="N21" s="1" t="s">
        <v>136</v>
      </c>
      <c r="O21" s="70">
        <v>98.84</v>
      </c>
      <c r="P21" s="85">
        <f>C19</f>
        <v>122</v>
      </c>
      <c r="Q21" s="86">
        <f>(O21-P21)/P21</f>
        <v>-0.18983606557377047</v>
      </c>
      <c r="R21" s="1">
        <f>N10</f>
        <v>4</v>
      </c>
      <c r="S21" s="87">
        <v>2.5</v>
      </c>
      <c r="T21" s="203"/>
      <c r="U21" s="70" t="s">
        <v>185</v>
      </c>
      <c r="V21" s="70">
        <v>131</v>
      </c>
      <c r="W21" s="85">
        <f>P21</f>
        <v>122</v>
      </c>
      <c r="X21" s="86">
        <f>(V21-W21)/W21</f>
        <v>7.3770491803278687E-2</v>
      </c>
    </row>
    <row r="22" spans="2:24" x14ac:dyDescent="0.3">
      <c r="B22" t="s">
        <v>93</v>
      </c>
      <c r="E22" t="s">
        <v>175</v>
      </c>
      <c r="G22">
        <v>2</v>
      </c>
      <c r="H22" t="s">
        <v>94</v>
      </c>
      <c r="L22" s="71"/>
    </row>
    <row r="23" spans="2:24" x14ac:dyDescent="0.3">
      <c r="B23" t="s">
        <v>137</v>
      </c>
      <c r="C23">
        <f>3.713+1.75</f>
        <v>5.4630000000000001</v>
      </c>
      <c r="D23" t="s">
        <v>94</v>
      </c>
      <c r="G23">
        <f>G22*S6</f>
        <v>6.56</v>
      </c>
      <c r="H23" t="s">
        <v>88</v>
      </c>
      <c r="N23" s="88" t="s">
        <v>191</v>
      </c>
      <c r="O23" s="88"/>
      <c r="P23" s="88"/>
      <c r="Q23" s="88"/>
      <c r="S23" s="69" t="s">
        <v>196</v>
      </c>
    </row>
    <row r="24" spans="2:24" x14ac:dyDescent="0.3">
      <c r="C24">
        <f>C23*S6</f>
        <v>17.91864</v>
      </c>
      <c r="D24" t="s">
        <v>88</v>
      </c>
      <c r="E24" t="s">
        <v>190</v>
      </c>
      <c r="G24">
        <v>2.4</v>
      </c>
      <c r="H24" t="s">
        <v>94</v>
      </c>
      <c r="N24" s="88" t="s">
        <v>192</v>
      </c>
      <c r="O24" s="88" t="s">
        <v>193</v>
      </c>
      <c r="P24" s="88" t="s">
        <v>194</v>
      </c>
      <c r="Q24" s="88" t="s">
        <v>195</v>
      </c>
      <c r="S24" s="88" t="s">
        <v>192</v>
      </c>
      <c r="T24" s="88" t="s">
        <v>197</v>
      </c>
    </row>
    <row r="25" spans="2:24" x14ac:dyDescent="0.3">
      <c r="B25" t="s">
        <v>133</v>
      </c>
      <c r="C25">
        <f>0.81+2.11</f>
        <v>2.92</v>
      </c>
      <c r="D25" t="s">
        <v>94</v>
      </c>
      <c r="G25">
        <f>G24*S6</f>
        <v>7.871999999999999</v>
      </c>
      <c r="H25" t="s">
        <v>88</v>
      </c>
      <c r="N25" s="89">
        <v>6</v>
      </c>
      <c r="O25" s="90">
        <f>D5</f>
        <v>22.41864</v>
      </c>
      <c r="P25" s="88">
        <f>O25/$S$6</f>
        <v>6.8349512195121953</v>
      </c>
      <c r="Q25" s="88">
        <v>7</v>
      </c>
      <c r="S25">
        <v>6</v>
      </c>
      <c r="T25">
        <v>1</v>
      </c>
    </row>
    <row r="26" spans="2:24" x14ac:dyDescent="0.3">
      <c r="C26">
        <f>C25*S6</f>
        <v>9.5775999999999986</v>
      </c>
      <c r="D26" t="s">
        <v>88</v>
      </c>
      <c r="N26" s="89">
        <v>5</v>
      </c>
      <c r="O26" s="90">
        <f>D7+D8+D9</f>
        <v>37.218399999999995</v>
      </c>
      <c r="P26" s="88">
        <f t="shared" ref="P26:P27" si="3">O26/$S$6</f>
        <v>11.347073170731706</v>
      </c>
      <c r="Q26" s="88">
        <v>11.5</v>
      </c>
      <c r="S26">
        <v>5</v>
      </c>
      <c r="T26">
        <v>1</v>
      </c>
    </row>
    <row r="27" spans="2:24" x14ac:dyDescent="0.3">
      <c r="B27" t="s">
        <v>134</v>
      </c>
      <c r="C27">
        <v>3.2</v>
      </c>
      <c r="D27" t="s">
        <v>94</v>
      </c>
      <c r="N27" s="89">
        <v>4</v>
      </c>
      <c r="O27" s="90">
        <f>D10</f>
        <v>7.5439999999999987</v>
      </c>
      <c r="P27" s="88">
        <f t="shared" si="3"/>
        <v>2.2999999999999998</v>
      </c>
      <c r="Q27" s="88">
        <v>2.5</v>
      </c>
    </row>
    <row r="28" spans="2:24" x14ac:dyDescent="0.3">
      <c r="C28">
        <f>C27*S6</f>
        <v>10.496</v>
      </c>
      <c r="D28" t="s">
        <v>88</v>
      </c>
      <c r="N28" s="88">
        <v>3</v>
      </c>
      <c r="O28" s="88">
        <f>G23*2</f>
        <v>13.12</v>
      </c>
      <c r="P28" s="88">
        <f>O28/$S$6</f>
        <v>4</v>
      </c>
      <c r="Q28" s="88">
        <v>4</v>
      </c>
    </row>
    <row r="29" spans="2:24" x14ac:dyDescent="0.3">
      <c r="B29" t="s">
        <v>135</v>
      </c>
      <c r="C29">
        <f>2.35+0.56</f>
        <v>2.91</v>
      </c>
      <c r="D29" t="s">
        <v>94</v>
      </c>
      <c r="N29" s="89">
        <v>2.5</v>
      </c>
      <c r="O29" s="88">
        <f>G23*3</f>
        <v>19.68</v>
      </c>
      <c r="P29" s="88">
        <f>O29/$S$6</f>
        <v>6</v>
      </c>
      <c r="Q29" s="88">
        <v>6</v>
      </c>
    </row>
    <row r="30" spans="2:24" x14ac:dyDescent="0.3">
      <c r="C30">
        <f>C29*S6</f>
        <v>9.5448000000000004</v>
      </c>
      <c r="D30" t="s">
        <v>88</v>
      </c>
    </row>
    <row r="31" spans="2:24" x14ac:dyDescent="0.3">
      <c r="B31" t="s">
        <v>136</v>
      </c>
      <c r="C31">
        <v>2.2999999999999998</v>
      </c>
      <c r="D31" t="s">
        <v>94</v>
      </c>
    </row>
    <row r="32" spans="2:24" x14ac:dyDescent="0.3">
      <c r="C32">
        <f>C31*S6</f>
        <v>7.5439999999999987</v>
      </c>
      <c r="D32" t="s">
        <v>88</v>
      </c>
    </row>
    <row r="34" spans="2:4" ht="43.2" x14ac:dyDescent="0.3">
      <c r="B34" s="77" t="s">
        <v>132</v>
      </c>
      <c r="C34">
        <v>3.8</v>
      </c>
      <c r="D34" t="s">
        <v>88</v>
      </c>
    </row>
    <row r="35" spans="2:4" ht="43.2" x14ac:dyDescent="0.3">
      <c r="B35" s="77" t="s">
        <v>117</v>
      </c>
      <c r="C35">
        <v>4.5</v>
      </c>
      <c r="D35" t="s">
        <v>88</v>
      </c>
    </row>
  </sheetData>
  <mergeCells count="27">
    <mergeCell ref="Z3:Z4"/>
    <mergeCell ref="AA3:AA4"/>
    <mergeCell ref="AB3:AB4"/>
    <mergeCell ref="R3:R4"/>
    <mergeCell ref="S3:S4"/>
    <mergeCell ref="T3:U3"/>
    <mergeCell ref="V3:V4"/>
    <mergeCell ref="W3:W4"/>
    <mergeCell ref="X3:X4"/>
    <mergeCell ref="H3:H4"/>
    <mergeCell ref="I3:I4"/>
    <mergeCell ref="L3:L4"/>
    <mergeCell ref="M3:M4"/>
    <mergeCell ref="Y3:Y4"/>
    <mergeCell ref="B3:B4"/>
    <mergeCell ref="C3:C4"/>
    <mergeCell ref="D3:D4"/>
    <mergeCell ref="E3:F3"/>
    <mergeCell ref="G3:G4"/>
    <mergeCell ref="T17:T21"/>
    <mergeCell ref="V15:X15"/>
    <mergeCell ref="J2:K2"/>
    <mergeCell ref="J3:K3"/>
    <mergeCell ref="N2:O2"/>
    <mergeCell ref="N3:O3"/>
    <mergeCell ref="T15:U15"/>
    <mergeCell ref="Q3:Q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4825-50A4-4BF1-B931-AC13C8A23F73}">
  <dimension ref="B2:AA26"/>
  <sheetViews>
    <sheetView topLeftCell="G4" zoomScale="88" workbookViewId="0">
      <selection activeCell="Q12" sqref="Q12"/>
    </sheetView>
  </sheetViews>
  <sheetFormatPr defaultRowHeight="14.4" x14ac:dyDescent="0.3"/>
  <cols>
    <col min="2" max="2" width="10.109375" customWidth="1"/>
    <col min="3" max="3" width="9.33203125" customWidth="1"/>
    <col min="4" max="4" width="10.21875" customWidth="1"/>
    <col min="9" max="9" width="9.5546875" customWidth="1"/>
  </cols>
  <sheetData>
    <row r="2" spans="2:27" x14ac:dyDescent="0.3">
      <c r="B2" s="70">
        <v>1</v>
      </c>
      <c r="C2" s="70">
        <v>2</v>
      </c>
      <c r="D2" s="70">
        <v>3</v>
      </c>
      <c r="E2" s="70">
        <v>4</v>
      </c>
      <c r="F2" s="70">
        <v>5</v>
      </c>
      <c r="G2" s="70">
        <v>6</v>
      </c>
      <c r="H2" s="70">
        <v>7</v>
      </c>
      <c r="I2" s="70">
        <v>8</v>
      </c>
      <c r="J2" s="70">
        <v>9</v>
      </c>
      <c r="K2" s="70"/>
      <c r="L2" s="70">
        <v>10</v>
      </c>
      <c r="M2" s="70">
        <v>11</v>
      </c>
      <c r="N2" s="199">
        <v>12</v>
      </c>
      <c r="O2" s="200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</row>
    <row r="3" spans="2:27" ht="72" customHeight="1" x14ac:dyDescent="0.3">
      <c r="B3" s="183" t="s">
        <v>76</v>
      </c>
      <c r="C3" s="183" t="s">
        <v>77</v>
      </c>
      <c r="D3" s="183" t="s">
        <v>78</v>
      </c>
      <c r="E3" s="183" t="s">
        <v>79</v>
      </c>
      <c r="F3" s="183"/>
      <c r="G3" s="183" t="s">
        <v>82</v>
      </c>
      <c r="H3" s="183" t="s">
        <v>83</v>
      </c>
      <c r="I3" s="183" t="s">
        <v>84</v>
      </c>
      <c r="J3" s="196" t="s">
        <v>166</v>
      </c>
      <c r="K3" s="197"/>
      <c r="L3" s="183" t="s">
        <v>86</v>
      </c>
      <c r="M3" s="183" t="s">
        <v>118</v>
      </c>
      <c r="N3" s="204" t="s">
        <v>162</v>
      </c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</row>
    <row r="4" spans="2:27" x14ac:dyDescent="0.3">
      <c r="B4" s="183"/>
      <c r="C4" s="183"/>
      <c r="D4" s="183"/>
      <c r="E4" s="1" t="s">
        <v>80</v>
      </c>
      <c r="F4" s="1" t="s">
        <v>81</v>
      </c>
      <c r="G4" s="183"/>
      <c r="H4" s="183"/>
      <c r="I4" s="183"/>
      <c r="J4" s="81" t="s">
        <v>164</v>
      </c>
      <c r="K4" s="79" t="s">
        <v>165</v>
      </c>
      <c r="L4" s="183"/>
      <c r="M4" s="183"/>
      <c r="N4" s="81" t="s">
        <v>164</v>
      </c>
      <c r="O4" t="s">
        <v>167</v>
      </c>
      <c r="P4" s="198"/>
      <c r="Q4" s="198"/>
      <c r="R4" s="198"/>
      <c r="U4" s="198"/>
      <c r="V4" s="198"/>
      <c r="W4" s="198"/>
      <c r="X4" s="198"/>
      <c r="Y4" s="198"/>
      <c r="Z4" s="198"/>
      <c r="AA4" s="198"/>
    </row>
    <row r="5" spans="2:27" x14ac:dyDescent="0.3">
      <c r="B5" s="1" t="str">
        <f>B18</f>
        <v>ND (E-01)</v>
      </c>
      <c r="C5" s="72">
        <f>C15</f>
        <v>1294</v>
      </c>
      <c r="D5" s="1">
        <f>C19</f>
        <v>8.9084800000000008</v>
      </c>
      <c r="E5" s="1"/>
      <c r="F5" s="1"/>
      <c r="G5" s="1">
        <v>1.4</v>
      </c>
      <c r="H5" s="75">
        <f>G5+G6</f>
        <v>1.8008815999999999</v>
      </c>
      <c r="I5" s="1">
        <v>1.5</v>
      </c>
      <c r="J5" s="1">
        <v>7</v>
      </c>
      <c r="K5" s="1">
        <f>J5*R8</f>
        <v>0.17779999999999999</v>
      </c>
      <c r="L5" s="1">
        <v>4800</v>
      </c>
      <c r="M5" s="1">
        <v>0.75</v>
      </c>
      <c r="N5" s="1">
        <v>7</v>
      </c>
      <c r="O5">
        <f>N5*R9</f>
        <v>177.79999999999998</v>
      </c>
      <c r="Q5" s="71"/>
      <c r="V5" s="76"/>
    </row>
    <row r="6" spans="2:27" x14ac:dyDescent="0.3">
      <c r="B6" s="1"/>
      <c r="C6" s="1"/>
      <c r="D6" s="1"/>
      <c r="E6" s="1"/>
      <c r="F6" s="1"/>
      <c r="G6" s="1">
        <f>U7</f>
        <v>0.4008816</v>
      </c>
      <c r="H6" s="75"/>
      <c r="I6" s="1">
        <v>1.5</v>
      </c>
      <c r="J6" s="1"/>
      <c r="K6" s="1"/>
      <c r="L6" s="1"/>
      <c r="N6" s="1"/>
      <c r="P6" s="69">
        <v>1</v>
      </c>
      <c r="Q6" s="69" t="s">
        <v>87</v>
      </c>
      <c r="R6" s="69">
        <v>3.28</v>
      </c>
      <c r="S6" s="69" t="s">
        <v>88</v>
      </c>
      <c r="T6" t="s">
        <v>100</v>
      </c>
      <c r="U6">
        <v>4.5</v>
      </c>
      <c r="V6" t="s">
        <v>95</v>
      </c>
    </row>
    <row r="7" spans="2:27" x14ac:dyDescent="0.3">
      <c r="B7" s="1"/>
      <c r="C7" s="72"/>
      <c r="D7" s="1"/>
      <c r="E7" s="1"/>
      <c r="F7" s="1"/>
      <c r="G7" s="1"/>
      <c r="H7" s="75"/>
      <c r="I7" s="1"/>
      <c r="J7" s="1"/>
      <c r="K7" s="1"/>
      <c r="L7" s="1"/>
      <c r="M7" s="1"/>
      <c r="N7" s="1"/>
      <c r="P7" s="74">
        <v>1</v>
      </c>
      <c r="Q7" s="74" t="s">
        <v>99</v>
      </c>
      <c r="R7" s="74">
        <v>8.3400000000000002E-2</v>
      </c>
      <c r="S7" s="69" t="s">
        <v>88</v>
      </c>
      <c r="T7" t="s">
        <v>92</v>
      </c>
      <c r="U7">
        <f>(D5*U6)/100</f>
        <v>0.4008816</v>
      </c>
      <c r="V7" t="s">
        <v>95</v>
      </c>
    </row>
    <row r="8" spans="2:27" x14ac:dyDescent="0.3">
      <c r="B8" s="1" t="str">
        <f>B18</f>
        <v>ND (E-01)</v>
      </c>
      <c r="C8" s="72">
        <f>C15</f>
        <v>1294</v>
      </c>
      <c r="D8" s="1">
        <f>C19</f>
        <v>8.9084800000000008</v>
      </c>
      <c r="E8" s="1"/>
      <c r="F8" s="1"/>
      <c r="G8" s="1">
        <v>1.4</v>
      </c>
      <c r="H8" s="75">
        <f>G8+G9</f>
        <v>1.8008815999999999</v>
      </c>
      <c r="I8" s="1">
        <v>1.5</v>
      </c>
      <c r="J8" s="1">
        <v>7</v>
      </c>
      <c r="K8" s="1">
        <f>J8*R8</f>
        <v>0.17779999999999999</v>
      </c>
      <c r="L8" s="1">
        <v>4800</v>
      </c>
      <c r="M8" s="1">
        <v>0.18</v>
      </c>
      <c r="N8" s="1">
        <v>5</v>
      </c>
      <c r="O8">
        <f>N8*R9</f>
        <v>127</v>
      </c>
      <c r="P8" s="74">
        <v>1</v>
      </c>
      <c r="Q8" s="74" t="s">
        <v>99</v>
      </c>
      <c r="R8" s="74">
        <v>2.5399999999999999E-2</v>
      </c>
      <c r="S8" s="74" t="s">
        <v>94</v>
      </c>
    </row>
    <row r="9" spans="2:27" x14ac:dyDescent="0.3">
      <c r="B9" s="1"/>
      <c r="C9" s="1"/>
      <c r="D9" s="1"/>
      <c r="E9" s="1"/>
      <c r="F9" s="1"/>
      <c r="G9" s="1">
        <f>U7</f>
        <v>0.4008816</v>
      </c>
      <c r="H9" s="75"/>
      <c r="I9" s="1">
        <v>1.5</v>
      </c>
      <c r="J9" s="1"/>
      <c r="K9" s="1"/>
      <c r="L9" s="1"/>
      <c r="N9" s="1"/>
      <c r="P9" s="74">
        <v>1</v>
      </c>
      <c r="Q9" s="74" t="s">
        <v>99</v>
      </c>
      <c r="R9">
        <f>R8*1000</f>
        <v>25.4</v>
      </c>
      <c r="S9" t="s">
        <v>163</v>
      </c>
    </row>
    <row r="10" spans="2:27" x14ac:dyDescent="0.3">
      <c r="B10" s="1"/>
      <c r="C10" s="72"/>
      <c r="D10" s="1"/>
      <c r="E10" s="1"/>
      <c r="F10" s="1"/>
      <c r="G10" s="1"/>
      <c r="H10" s="75"/>
      <c r="I10" s="1"/>
      <c r="J10" s="1"/>
      <c r="K10" s="1"/>
      <c r="L10" s="1"/>
      <c r="M10" s="1"/>
      <c r="N10" s="1"/>
      <c r="Q10" s="71"/>
      <c r="V10" s="76"/>
    </row>
    <row r="11" spans="2:27" x14ac:dyDescent="0.3">
      <c r="B11" s="1"/>
      <c r="C11" s="1"/>
      <c r="D11" s="1"/>
      <c r="E11" s="1"/>
      <c r="F11" s="1"/>
      <c r="G11" s="1"/>
      <c r="H11" s="75"/>
      <c r="I11" s="1"/>
      <c r="J11" s="1"/>
      <c r="K11" s="1"/>
      <c r="L11" s="1"/>
      <c r="M11" s="1"/>
      <c r="N11" s="1"/>
      <c r="Q11" s="71"/>
      <c r="V11" s="76"/>
    </row>
    <row r="12" spans="2:27" x14ac:dyDescent="0.3">
      <c r="B12" s="1"/>
      <c r="C12" s="72"/>
      <c r="D12" s="1"/>
      <c r="E12" s="1"/>
      <c r="F12" s="1"/>
      <c r="G12" s="1"/>
      <c r="H12" s="75"/>
      <c r="I12" s="1"/>
      <c r="J12" s="1"/>
      <c r="K12" s="1"/>
      <c r="L12" s="1"/>
      <c r="M12" s="1"/>
      <c r="N12" s="1"/>
    </row>
    <row r="13" spans="2:27" x14ac:dyDescent="0.3">
      <c r="C13" t="s">
        <v>146</v>
      </c>
      <c r="G13" s="78">
        <f>H5</f>
        <v>1.8008815999999999</v>
      </c>
      <c r="H13" s="74" t="s">
        <v>141</v>
      </c>
      <c r="I13" s="74">
        <f>I5</f>
        <v>1.5</v>
      </c>
      <c r="J13" s="74" t="s">
        <v>141</v>
      </c>
      <c r="K13" s="74"/>
      <c r="L13" s="74">
        <f>M5</f>
        <v>0.75</v>
      </c>
      <c r="M13" s="74" t="s">
        <v>143</v>
      </c>
      <c r="N13" s="78">
        <f>G13+I13+L13</f>
        <v>4.0508816000000003</v>
      </c>
      <c r="Y13" s="76"/>
    </row>
    <row r="14" spans="2:27" x14ac:dyDescent="0.3">
      <c r="G14" t="s">
        <v>57</v>
      </c>
      <c r="M14" s="71"/>
      <c r="N14" s="71"/>
    </row>
    <row r="15" spans="2:27" x14ac:dyDescent="0.3">
      <c r="B15" t="str">
        <f>Summary!B35</f>
        <v>Navigation Room</v>
      </c>
      <c r="C15" s="71">
        <f>Summary!P35</f>
        <v>1294</v>
      </c>
      <c r="D15" t="s">
        <v>139</v>
      </c>
      <c r="E15" s="71">
        <f>C15/2</f>
        <v>647</v>
      </c>
      <c r="G15">
        <f>E15*0.472</f>
        <v>305.38399999999996</v>
      </c>
      <c r="J15" t="s">
        <v>98</v>
      </c>
      <c r="M15" s="71"/>
      <c r="N15" s="84"/>
      <c r="O15" s="83" t="s">
        <v>179</v>
      </c>
      <c r="P15" s="83"/>
      <c r="Q15" s="83"/>
      <c r="R15" s="83" t="s">
        <v>182</v>
      </c>
      <c r="S15" s="83"/>
      <c r="T15" s="84" t="s">
        <v>181</v>
      </c>
      <c r="U15" s="186" t="s">
        <v>180</v>
      </c>
      <c r="V15" s="186"/>
      <c r="W15" s="186"/>
    </row>
    <row r="16" spans="2:27" x14ac:dyDescent="0.3">
      <c r="C16" s="71"/>
      <c r="D16" t="s">
        <v>178</v>
      </c>
      <c r="E16" s="71">
        <f>C15/4</f>
        <v>323.5</v>
      </c>
      <c r="G16">
        <f>E16*0.472</f>
        <v>152.69199999999998</v>
      </c>
      <c r="J16" t="str">
        <f>B5</f>
        <v>ND (E-01)</v>
      </c>
      <c r="L16" s="71">
        <f>C15</f>
        <v>1294</v>
      </c>
      <c r="M16" s="71"/>
      <c r="N16" s="1"/>
      <c r="O16" s="70" t="s">
        <v>183</v>
      </c>
      <c r="P16" s="70" t="s">
        <v>186</v>
      </c>
      <c r="Q16" s="84" t="s">
        <v>184</v>
      </c>
      <c r="R16" s="1" t="s">
        <v>179</v>
      </c>
      <c r="S16" s="1" t="s">
        <v>180</v>
      </c>
      <c r="T16" s="84"/>
      <c r="U16" s="70" t="s">
        <v>183</v>
      </c>
      <c r="V16" s="70" t="s">
        <v>186</v>
      </c>
      <c r="W16" s="84" t="s">
        <v>184</v>
      </c>
    </row>
    <row r="17" spans="2:23" x14ac:dyDescent="0.3">
      <c r="B17" t="s">
        <v>93</v>
      </c>
      <c r="L17" s="71"/>
      <c r="M17" s="71"/>
      <c r="N17" s="1" t="s">
        <v>138</v>
      </c>
      <c r="O17">
        <v>346</v>
      </c>
      <c r="P17" s="85">
        <f>E16</f>
        <v>323.5</v>
      </c>
      <c r="Q17" s="86">
        <f>(O17-P17)/P17</f>
        <v>6.9551777434312206E-2</v>
      </c>
      <c r="R17" s="1">
        <f>N8</f>
        <v>5</v>
      </c>
      <c r="S17" s="1">
        <v>5</v>
      </c>
      <c r="T17" s="70" t="s">
        <v>187</v>
      </c>
      <c r="U17" s="70">
        <f>324</f>
        <v>324</v>
      </c>
      <c r="V17" s="85">
        <f>P17</f>
        <v>323.5</v>
      </c>
      <c r="W17" s="86">
        <f>(U17-V17)/V17</f>
        <v>1.5455950540958269E-3</v>
      </c>
    </row>
    <row r="18" spans="2:23" x14ac:dyDescent="0.3">
      <c r="B18" t="s">
        <v>138</v>
      </c>
      <c r="C18">
        <v>2.7160000000000002</v>
      </c>
      <c r="D18" t="s">
        <v>94</v>
      </c>
      <c r="L18" s="71"/>
      <c r="N18" s="1"/>
      <c r="O18" s="70"/>
      <c r="P18" s="85"/>
      <c r="Q18" s="86"/>
      <c r="R18" s="1"/>
      <c r="S18" s="1"/>
      <c r="T18" s="70"/>
      <c r="U18" s="70"/>
      <c r="V18" s="85"/>
      <c r="W18" s="86"/>
    </row>
    <row r="19" spans="2:23" x14ac:dyDescent="0.3">
      <c r="C19">
        <f>C18*R6</f>
        <v>8.9084800000000008</v>
      </c>
      <c r="D19" t="s">
        <v>88</v>
      </c>
      <c r="L19" s="71"/>
      <c r="N19" s="1"/>
      <c r="O19" s="70"/>
      <c r="P19" s="85"/>
      <c r="Q19" s="86"/>
      <c r="R19" s="1"/>
      <c r="S19" s="1"/>
      <c r="T19" s="70"/>
      <c r="U19" s="70"/>
      <c r="V19" s="85"/>
      <c r="W19" s="86"/>
    </row>
    <row r="20" spans="2:23" x14ac:dyDescent="0.3">
      <c r="L20" s="71"/>
      <c r="N20" s="1"/>
      <c r="O20" s="70"/>
      <c r="P20" s="85"/>
      <c r="Q20" s="86"/>
      <c r="R20" s="1"/>
      <c r="S20" s="1"/>
      <c r="T20" s="70"/>
      <c r="U20" s="70"/>
      <c r="V20" s="85"/>
      <c r="W20" s="86"/>
    </row>
    <row r="21" spans="2:23" x14ac:dyDescent="0.3">
      <c r="B21" t="s">
        <v>175</v>
      </c>
      <c r="D21">
        <v>1</v>
      </c>
      <c r="E21" t="s">
        <v>94</v>
      </c>
      <c r="L21" s="71"/>
    </row>
    <row r="22" spans="2:23" x14ac:dyDescent="0.3">
      <c r="D22">
        <f>D21*R6</f>
        <v>3.28</v>
      </c>
      <c r="E22" t="s">
        <v>88</v>
      </c>
      <c r="F22" t="s">
        <v>199</v>
      </c>
      <c r="L22" s="71"/>
      <c r="N22" s="88" t="s">
        <v>191</v>
      </c>
      <c r="O22" s="88"/>
      <c r="P22" s="88"/>
      <c r="Q22" s="88"/>
      <c r="S22" s="69" t="s">
        <v>198</v>
      </c>
    </row>
    <row r="23" spans="2:23" x14ac:dyDescent="0.3">
      <c r="D23">
        <v>3.5110000000000001</v>
      </c>
      <c r="E23" t="s">
        <v>94</v>
      </c>
      <c r="N23" s="88" t="s">
        <v>192</v>
      </c>
      <c r="O23" s="88" t="s">
        <v>193</v>
      </c>
      <c r="P23" s="88" t="s">
        <v>194</v>
      </c>
      <c r="Q23" s="88" t="s">
        <v>195</v>
      </c>
      <c r="S23" s="88" t="s">
        <v>192</v>
      </c>
      <c r="T23" s="88" t="s">
        <v>197</v>
      </c>
    </row>
    <row r="24" spans="2:23" x14ac:dyDescent="0.3">
      <c r="D24">
        <f>D23*R6</f>
        <v>11.516080000000001</v>
      </c>
      <c r="E24" t="s">
        <v>88</v>
      </c>
      <c r="F24" t="s">
        <v>200</v>
      </c>
      <c r="N24" s="89">
        <v>8</v>
      </c>
      <c r="O24" s="90">
        <f>D8</f>
        <v>8.9084800000000008</v>
      </c>
      <c r="P24" s="88">
        <f>O24/$R$6</f>
        <v>2.7160000000000006</v>
      </c>
      <c r="Q24" s="88">
        <v>3</v>
      </c>
      <c r="S24">
        <v>5</v>
      </c>
      <c r="T24">
        <v>3</v>
      </c>
    </row>
    <row r="25" spans="2:23" x14ac:dyDescent="0.3">
      <c r="B25" t="s">
        <v>190</v>
      </c>
      <c r="D25">
        <v>2.4</v>
      </c>
      <c r="E25" t="s">
        <v>94</v>
      </c>
      <c r="N25" s="89">
        <v>5</v>
      </c>
      <c r="O25" s="90">
        <f>D22*4+(D24*2)</f>
        <v>36.152160000000002</v>
      </c>
      <c r="P25" s="88">
        <f>O25/$R$6</f>
        <v>11.022000000000002</v>
      </c>
      <c r="Q25" s="88">
        <v>11.5</v>
      </c>
    </row>
    <row r="26" spans="2:23" x14ac:dyDescent="0.3">
      <c r="D26">
        <f>D25*R6</f>
        <v>7.871999999999999</v>
      </c>
      <c r="E26" t="s">
        <v>88</v>
      </c>
    </row>
  </sheetData>
  <mergeCells count="24">
    <mergeCell ref="H3:H4"/>
    <mergeCell ref="B3:B4"/>
    <mergeCell ref="C3:C4"/>
    <mergeCell ref="D3:D4"/>
    <mergeCell ref="E3:F3"/>
    <mergeCell ref="G3:G4"/>
    <mergeCell ref="AA3:AA4"/>
    <mergeCell ref="Q3:Q4"/>
    <mergeCell ref="R3:R4"/>
    <mergeCell ref="S3:T3"/>
    <mergeCell ref="U3:U4"/>
    <mergeCell ref="V3:V4"/>
    <mergeCell ref="W3:W4"/>
    <mergeCell ref="I3:I4"/>
    <mergeCell ref="L3:L4"/>
    <mergeCell ref="M3:M4"/>
    <mergeCell ref="J3:K3"/>
    <mergeCell ref="Z3:Z4"/>
    <mergeCell ref="P3:P4"/>
    <mergeCell ref="U15:W15"/>
    <mergeCell ref="N2:O2"/>
    <mergeCell ref="N3:O3"/>
    <mergeCell ref="X3:X4"/>
    <mergeCell ref="Y3:Y4"/>
  </mergeCells>
  <phoneticPr fontId="1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C08F-D5A8-4F2B-8899-63FB33004012}">
  <dimension ref="B2:AH39"/>
  <sheetViews>
    <sheetView topLeftCell="A22" zoomScale="93" zoomScaleNormal="40" workbookViewId="0">
      <selection activeCell="A27" sqref="A27"/>
    </sheetView>
  </sheetViews>
  <sheetFormatPr defaultRowHeight="14.4" x14ac:dyDescent="0.3"/>
  <cols>
    <col min="2" max="2" width="10.109375" customWidth="1"/>
    <col min="3" max="3" width="9.33203125" customWidth="1"/>
    <col min="4" max="4" width="10.21875" customWidth="1"/>
    <col min="9" max="9" width="9.5546875" customWidth="1"/>
  </cols>
  <sheetData>
    <row r="2" spans="2:34" x14ac:dyDescent="0.3">
      <c r="B2" s="70">
        <v>1</v>
      </c>
      <c r="C2" s="70">
        <v>2</v>
      </c>
      <c r="D2" s="70">
        <v>3</v>
      </c>
      <c r="E2" s="70">
        <v>4</v>
      </c>
      <c r="F2" s="70">
        <v>5</v>
      </c>
      <c r="G2" s="70">
        <v>6</v>
      </c>
      <c r="H2" s="70">
        <v>7</v>
      </c>
      <c r="I2" s="70">
        <v>8</v>
      </c>
      <c r="J2" s="70">
        <v>9</v>
      </c>
      <c r="K2" s="70">
        <v>10</v>
      </c>
      <c r="L2" s="70"/>
      <c r="M2" s="70"/>
      <c r="O2" s="70">
        <v>1</v>
      </c>
      <c r="P2" s="70">
        <v>2</v>
      </c>
      <c r="Q2" s="70">
        <v>3</v>
      </c>
      <c r="R2" s="70">
        <v>4</v>
      </c>
      <c r="S2" s="70">
        <v>5</v>
      </c>
      <c r="T2" s="70">
        <v>6</v>
      </c>
      <c r="U2" s="70">
        <v>7</v>
      </c>
      <c r="V2" s="70">
        <v>8</v>
      </c>
      <c r="W2" s="70">
        <v>9</v>
      </c>
      <c r="X2" s="70">
        <v>10</v>
      </c>
      <c r="Y2" s="70"/>
      <c r="Z2" s="70"/>
    </row>
    <row r="3" spans="2:34" ht="72" customHeight="1" x14ac:dyDescent="0.3">
      <c r="B3" s="183" t="s">
        <v>76</v>
      </c>
      <c r="C3" s="183" t="s">
        <v>77</v>
      </c>
      <c r="D3" s="183" t="s">
        <v>78</v>
      </c>
      <c r="E3" s="183" t="s">
        <v>79</v>
      </c>
      <c r="F3" s="183"/>
      <c r="G3" s="183" t="s">
        <v>82</v>
      </c>
      <c r="H3" s="183" t="s">
        <v>83</v>
      </c>
      <c r="I3" s="183" t="s">
        <v>147</v>
      </c>
      <c r="J3" s="183" t="s">
        <v>85</v>
      </c>
      <c r="K3" s="183" t="s">
        <v>86</v>
      </c>
      <c r="L3" s="183"/>
      <c r="M3" s="205"/>
      <c r="O3" s="183" t="s">
        <v>76</v>
      </c>
      <c r="P3" s="183" t="s">
        <v>77</v>
      </c>
      <c r="Q3" s="183" t="s">
        <v>78</v>
      </c>
      <c r="R3" s="183" t="s">
        <v>79</v>
      </c>
      <c r="S3" s="183"/>
      <c r="T3" s="183" t="s">
        <v>82</v>
      </c>
      <c r="U3" s="183" t="s">
        <v>83</v>
      </c>
      <c r="V3" s="183" t="s">
        <v>148</v>
      </c>
      <c r="W3" s="183" t="s">
        <v>85</v>
      </c>
      <c r="X3" s="183" t="s">
        <v>86</v>
      </c>
      <c r="Y3" s="183"/>
      <c r="Z3" s="205"/>
    </row>
    <row r="4" spans="2:34" x14ac:dyDescent="0.3">
      <c r="B4" s="183"/>
      <c r="C4" s="183"/>
      <c r="D4" s="183"/>
      <c r="E4" s="1" t="s">
        <v>80</v>
      </c>
      <c r="F4" s="1" t="s">
        <v>81</v>
      </c>
      <c r="G4" s="183"/>
      <c r="H4" s="183"/>
      <c r="I4" s="183"/>
      <c r="J4" s="183"/>
      <c r="K4" s="183"/>
      <c r="L4" s="183"/>
      <c r="M4" s="206"/>
      <c r="O4" s="183"/>
      <c r="P4" s="183"/>
      <c r="Q4" s="183"/>
      <c r="R4" s="1" t="s">
        <v>80</v>
      </c>
      <c r="S4" s="1" t="s">
        <v>81</v>
      </c>
      <c r="T4" s="183"/>
      <c r="U4" s="183"/>
      <c r="V4" s="183"/>
      <c r="W4" s="183"/>
      <c r="X4" s="183"/>
      <c r="Y4" s="183"/>
      <c r="Z4" s="206"/>
    </row>
    <row r="5" spans="2:34" x14ac:dyDescent="0.3">
      <c r="B5" s="1" t="str">
        <f>B19</f>
        <v>H (01-02)</v>
      </c>
      <c r="C5" s="72">
        <f>K14</f>
        <v>5270</v>
      </c>
      <c r="D5" s="1">
        <f>C20+C39</f>
        <v>21.828239999999997</v>
      </c>
      <c r="E5" s="1"/>
      <c r="F5" s="1"/>
      <c r="G5" s="1"/>
      <c r="H5" s="75">
        <f>AG7</f>
        <v>0.24011063999999999</v>
      </c>
      <c r="I5" s="1"/>
      <c r="J5" s="1">
        <v>16</v>
      </c>
      <c r="K5" s="1">
        <v>3800</v>
      </c>
      <c r="L5" s="1"/>
      <c r="M5" s="1"/>
      <c r="O5" s="1" t="str">
        <f>B5</f>
        <v>H (01-02)</v>
      </c>
      <c r="P5" s="72">
        <f>C5</f>
        <v>5270</v>
      </c>
      <c r="Q5" s="1">
        <f>D5</f>
        <v>21.828239999999997</v>
      </c>
      <c r="R5" s="1"/>
      <c r="S5" s="1"/>
      <c r="T5" s="1"/>
      <c r="U5" s="75">
        <f>H5</f>
        <v>0.24011063999999999</v>
      </c>
      <c r="V5" s="1"/>
      <c r="W5" s="1">
        <f>J5</f>
        <v>16</v>
      </c>
      <c r="X5" s="1">
        <f>K5</f>
        <v>3800</v>
      </c>
      <c r="Y5" s="1"/>
      <c r="Z5" s="1"/>
    </row>
    <row r="6" spans="2:34" x14ac:dyDescent="0.3">
      <c r="B6" s="1"/>
      <c r="C6" s="1"/>
      <c r="D6" s="1"/>
      <c r="E6" s="1"/>
      <c r="F6" s="1"/>
      <c r="G6" s="1"/>
      <c r="H6" s="75"/>
      <c r="I6" s="1"/>
      <c r="J6" s="1"/>
      <c r="K6" s="1"/>
      <c r="L6" s="1"/>
      <c r="M6" s="1"/>
      <c r="O6" s="1"/>
      <c r="P6" s="1"/>
      <c r="Q6" s="1"/>
      <c r="R6" s="1"/>
      <c r="S6" s="1"/>
      <c r="T6" s="1"/>
      <c r="U6" s="75"/>
      <c r="V6" s="1"/>
      <c r="W6" s="1"/>
      <c r="X6" s="1"/>
      <c r="Y6" s="1"/>
      <c r="Z6" s="1"/>
      <c r="AB6" s="69">
        <v>1</v>
      </c>
      <c r="AC6" s="69" t="s">
        <v>87</v>
      </c>
      <c r="AD6" s="69">
        <v>3.28</v>
      </c>
      <c r="AE6" s="69" t="s">
        <v>88</v>
      </c>
      <c r="AF6" t="s">
        <v>100</v>
      </c>
      <c r="AG6">
        <v>1.1000000000000001</v>
      </c>
      <c r="AH6" t="s">
        <v>95</v>
      </c>
    </row>
    <row r="7" spans="2:34" x14ac:dyDescent="0.3">
      <c r="B7" s="1" t="str">
        <f>B21</f>
        <v>H (02-B)</v>
      </c>
      <c r="C7" s="72">
        <f>C14</f>
        <v>1641</v>
      </c>
      <c r="D7" s="1">
        <f>C22</f>
        <v>5.8384</v>
      </c>
      <c r="E7" s="1">
        <v>0.9</v>
      </c>
      <c r="F7" s="1">
        <v>0.8</v>
      </c>
      <c r="G7" s="1">
        <f>E7-F7</f>
        <v>9.9999999999999978E-2</v>
      </c>
      <c r="H7" s="75">
        <f>H5-G7</f>
        <v>0.14011064000000001</v>
      </c>
      <c r="I7" s="1">
        <f>'Main Deck'!AC12</f>
        <v>4.5124249599999997</v>
      </c>
      <c r="J7" s="1">
        <v>10</v>
      </c>
      <c r="K7" s="1">
        <v>2700</v>
      </c>
      <c r="L7" s="1"/>
      <c r="M7" s="1"/>
      <c r="O7" s="1" t="str">
        <f>O22</f>
        <v>H (02-A)</v>
      </c>
      <c r="P7" s="72">
        <f>R15</f>
        <v>3629</v>
      </c>
      <c r="Q7" s="1">
        <f>P23</f>
        <v>2.0335999999999999</v>
      </c>
      <c r="R7" s="1">
        <v>0.9</v>
      </c>
      <c r="S7" s="1">
        <v>0.95</v>
      </c>
      <c r="T7" s="1">
        <f>R7-S7</f>
        <v>-4.9999999999999933E-2</v>
      </c>
      <c r="U7" s="75">
        <f>U5-T7</f>
        <v>0.29011063999999992</v>
      </c>
      <c r="V7" s="1">
        <f>'Poop Deck '!N13</f>
        <v>4.5309607999999999</v>
      </c>
      <c r="W7" s="1">
        <v>14</v>
      </c>
      <c r="X7" s="1">
        <v>3400</v>
      </c>
      <c r="Y7" s="1"/>
      <c r="Z7" s="1"/>
      <c r="AB7" s="74">
        <v>1</v>
      </c>
      <c r="AC7" s="74" t="s">
        <v>99</v>
      </c>
      <c r="AD7" s="74">
        <v>8.3400000000000002E-2</v>
      </c>
      <c r="AE7" s="69" t="s">
        <v>88</v>
      </c>
      <c r="AF7" t="s">
        <v>92</v>
      </c>
      <c r="AG7">
        <f>(D5*AG6)/100</f>
        <v>0.24011063999999999</v>
      </c>
      <c r="AH7" t="s">
        <v>95</v>
      </c>
    </row>
    <row r="8" spans="2:34" x14ac:dyDescent="0.3">
      <c r="B8" s="1"/>
      <c r="C8" s="72"/>
      <c r="D8" s="1"/>
      <c r="E8" s="1"/>
      <c r="F8" s="1"/>
      <c r="G8" s="1"/>
      <c r="H8" s="75"/>
      <c r="I8" s="1"/>
      <c r="J8" s="1"/>
      <c r="K8" s="1"/>
      <c r="L8" s="1"/>
      <c r="M8" s="1"/>
      <c r="O8" s="1" t="str">
        <f>O24</f>
        <v>H (A-C)</v>
      </c>
      <c r="P8" s="72">
        <f>R16</f>
        <v>2802</v>
      </c>
      <c r="Q8" s="1">
        <f>P25</f>
        <v>7.871999999999999</v>
      </c>
      <c r="R8" s="1">
        <v>0.75</v>
      </c>
      <c r="S8" s="1">
        <v>0.65</v>
      </c>
      <c r="T8" s="1">
        <f>R8-S8</f>
        <v>9.9999999999999978E-2</v>
      </c>
      <c r="U8" s="75">
        <f>U7-T8</f>
        <v>0.19011063999999994</v>
      </c>
      <c r="V8" s="1">
        <f>'Boat Deck '!N13</f>
        <v>4.4132689599999999</v>
      </c>
      <c r="W8" s="1">
        <v>14</v>
      </c>
      <c r="X8" s="1">
        <v>2800</v>
      </c>
      <c r="Y8" s="1"/>
      <c r="Z8" s="1"/>
      <c r="AB8" s="74">
        <v>1</v>
      </c>
      <c r="AC8" s="74" t="s">
        <v>99</v>
      </c>
      <c r="AD8" s="74">
        <v>2.5399999999999999E-2</v>
      </c>
      <c r="AE8" t="s">
        <v>94</v>
      </c>
    </row>
    <row r="9" spans="2:34" x14ac:dyDescent="0.3">
      <c r="B9" s="1"/>
      <c r="C9" s="72"/>
      <c r="D9" s="1"/>
      <c r="E9" s="1"/>
      <c r="F9" s="1"/>
      <c r="G9" s="1"/>
      <c r="H9" s="75"/>
      <c r="I9" s="1"/>
      <c r="J9" s="1"/>
      <c r="K9" s="1"/>
      <c r="L9" s="1"/>
      <c r="M9" s="1"/>
      <c r="O9" s="1" t="str">
        <f>O26</f>
        <v>H (C-D)</v>
      </c>
      <c r="P9" s="72">
        <f>R17</f>
        <v>2072</v>
      </c>
      <c r="Q9" s="1">
        <f>P27</f>
        <v>7.871999999999999</v>
      </c>
      <c r="R9" s="1">
        <v>0.45</v>
      </c>
      <c r="S9" s="1">
        <v>0.6</v>
      </c>
      <c r="T9" s="1">
        <f>R9-S9</f>
        <v>-0.14999999999999997</v>
      </c>
      <c r="U9" s="75">
        <f>U8-T9</f>
        <v>0.34011063999999991</v>
      </c>
      <c r="V9" s="1">
        <f>'Bridge Deck'!N13</f>
        <v>4.6860947199999998</v>
      </c>
      <c r="W9" s="1">
        <v>12</v>
      </c>
      <c r="X9" s="1">
        <v>2600</v>
      </c>
      <c r="Y9" s="1"/>
      <c r="Z9" s="1"/>
      <c r="AA9" s="76">
        <f>U9+V9+Y9</f>
        <v>5.0262053599999996</v>
      </c>
      <c r="AD9">
        <f>AD8*8</f>
        <v>0.20319999999999999</v>
      </c>
    </row>
    <row r="10" spans="2:34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O10" s="1" t="str">
        <f>O28</f>
        <v>H (D-E)</v>
      </c>
      <c r="P10" s="72">
        <f>Q18</f>
        <v>1294</v>
      </c>
      <c r="Q10" s="1">
        <f>P29</f>
        <v>7.871999999999999</v>
      </c>
      <c r="R10" s="1">
        <v>0.42</v>
      </c>
      <c r="S10" s="1">
        <v>0.36</v>
      </c>
      <c r="T10" s="1">
        <f>R10-S10</f>
        <v>0.06</v>
      </c>
      <c r="U10" s="75">
        <f>U9-T10</f>
        <v>0.28011063999999991</v>
      </c>
      <c r="V10" s="1">
        <f>'Nav Deck'!N13</f>
        <v>4.0508816000000003</v>
      </c>
      <c r="W10" s="1">
        <v>11</v>
      </c>
      <c r="X10" s="1">
        <v>1900</v>
      </c>
      <c r="Y10" s="1"/>
      <c r="Z10" s="1"/>
      <c r="AA10" s="76">
        <f>U10+V10+Y10</f>
        <v>4.3309922400000005</v>
      </c>
    </row>
    <row r="11" spans="2:34" x14ac:dyDescent="0.3">
      <c r="O11" s="1"/>
      <c r="P11" s="72"/>
      <c r="Q11" s="1"/>
      <c r="R11" s="1"/>
      <c r="S11" s="1"/>
      <c r="T11" s="1"/>
      <c r="U11" s="75"/>
      <c r="V11" s="1"/>
      <c r="W11" s="1"/>
      <c r="X11" s="1"/>
      <c r="Y11" s="1"/>
      <c r="Z11" s="1"/>
      <c r="AA11" s="76"/>
    </row>
    <row r="12" spans="2:34" x14ac:dyDescent="0.3">
      <c r="P12" t="s">
        <v>159</v>
      </c>
      <c r="T12" s="78">
        <f>U9</f>
        <v>0.34011063999999991</v>
      </c>
      <c r="U12" s="74" t="s">
        <v>141</v>
      </c>
      <c r="V12" s="74">
        <f>+V9</f>
        <v>4.6860947199999998</v>
      </c>
      <c r="W12" s="74" t="s">
        <v>143</v>
      </c>
      <c r="X12" s="78">
        <f>T12+V12</f>
        <v>5.0262053599999996</v>
      </c>
      <c r="Y12" s="74"/>
    </row>
    <row r="13" spans="2:34" x14ac:dyDescent="0.3">
      <c r="B13" t="s">
        <v>155</v>
      </c>
      <c r="J13" t="s">
        <v>98</v>
      </c>
      <c r="X13" s="76"/>
    </row>
    <row r="14" spans="2:34" x14ac:dyDescent="0.3">
      <c r="B14" t="s">
        <v>15</v>
      </c>
      <c r="C14" s="71">
        <f>'Main Deck'!H14</f>
        <v>1641</v>
      </c>
      <c r="D14" s="71"/>
      <c r="J14" t="str">
        <f>B5</f>
        <v>H (01-02)</v>
      </c>
      <c r="K14" s="71">
        <f>C14+R15</f>
        <v>5270</v>
      </c>
      <c r="L14" s="71"/>
      <c r="M14" s="71"/>
      <c r="O14" t="s">
        <v>156</v>
      </c>
      <c r="T14" t="s">
        <v>98</v>
      </c>
    </row>
    <row r="15" spans="2:34" ht="15.6" x14ac:dyDescent="0.3">
      <c r="D15" s="71"/>
      <c r="J15" t="str">
        <f>B7</f>
        <v>H (02-B)</v>
      </c>
      <c r="K15" s="71">
        <f>C7</f>
        <v>1641</v>
      </c>
      <c r="L15" s="71"/>
      <c r="M15" s="71"/>
      <c r="O15" s="195" t="s">
        <v>22</v>
      </c>
      <c r="P15" s="195"/>
      <c r="Q15" s="71">
        <f>'Poop Deck '!L16</f>
        <v>827</v>
      </c>
      <c r="R15" s="71">
        <f>SUM(Q15:Q18)</f>
        <v>3629</v>
      </c>
      <c r="T15" t="str">
        <f>O5</f>
        <v>H (01-02)</v>
      </c>
      <c r="U15" s="71">
        <f>P5</f>
        <v>5270</v>
      </c>
    </row>
    <row r="16" spans="2:34" ht="15.6" x14ac:dyDescent="0.3">
      <c r="C16" s="71"/>
      <c r="K16" s="71"/>
      <c r="L16" s="71"/>
      <c r="M16" s="71"/>
      <c r="O16" s="73" t="s">
        <v>28</v>
      </c>
      <c r="P16" s="73"/>
      <c r="Q16" s="71">
        <f>'Boat Deck '!L16</f>
        <v>730</v>
      </c>
      <c r="R16" s="71">
        <f>SUM(Q16:Q18)</f>
        <v>2802</v>
      </c>
      <c r="T16" t="str">
        <f t="shared" ref="T16:U19" si="0">O7</f>
        <v>H (02-A)</v>
      </c>
      <c r="U16" s="71">
        <f t="shared" si="0"/>
        <v>3629</v>
      </c>
    </row>
    <row r="17" spans="2:21" ht="15.6" x14ac:dyDescent="0.3">
      <c r="K17" s="71"/>
      <c r="L17" s="71"/>
      <c r="M17" s="71"/>
      <c r="O17" s="73" t="s">
        <v>34</v>
      </c>
      <c r="P17" s="73"/>
      <c r="Q17" s="71">
        <f>'Bridge Deck'!L16</f>
        <v>778</v>
      </c>
      <c r="R17" s="71">
        <f>SUM(Q17:Q18)</f>
        <v>2072</v>
      </c>
      <c r="T17" t="str">
        <f t="shared" si="0"/>
        <v>H (A-C)</v>
      </c>
      <c r="U17" s="71">
        <f t="shared" si="0"/>
        <v>2802</v>
      </c>
    </row>
    <row r="18" spans="2:21" ht="15.6" x14ac:dyDescent="0.3">
      <c r="B18" t="s">
        <v>93</v>
      </c>
      <c r="O18" s="73" t="s">
        <v>157</v>
      </c>
      <c r="P18" s="73"/>
      <c r="Q18" s="71">
        <f>'Nav Deck'!L16</f>
        <v>1294</v>
      </c>
      <c r="R18" s="71"/>
      <c r="T18" t="str">
        <f t="shared" si="0"/>
        <v>H (C-D)</v>
      </c>
      <c r="U18" s="71">
        <f t="shared" si="0"/>
        <v>2072</v>
      </c>
    </row>
    <row r="19" spans="2:21" ht="15.6" x14ac:dyDescent="0.3">
      <c r="B19" t="s">
        <v>149</v>
      </c>
      <c r="C19">
        <f>0.623+1.15</f>
        <v>1.7729999999999999</v>
      </c>
      <c r="D19" t="s">
        <v>94</v>
      </c>
      <c r="E19">
        <v>0.26300000000000001</v>
      </c>
      <c r="F19" s="76">
        <f>E19*AD6</f>
        <v>0.86263999999999996</v>
      </c>
      <c r="O19" s="73"/>
      <c r="P19" s="73"/>
      <c r="Q19" s="71"/>
      <c r="T19" t="str">
        <f t="shared" si="0"/>
        <v>H (D-E)</v>
      </c>
      <c r="U19" s="71">
        <f t="shared" si="0"/>
        <v>1294</v>
      </c>
    </row>
    <row r="20" spans="2:21" x14ac:dyDescent="0.3">
      <c r="C20" s="76">
        <f>C19*AD6</f>
        <v>5.8154399999999997</v>
      </c>
      <c r="D20" t="s">
        <v>88</v>
      </c>
      <c r="E20">
        <v>1.1499999999999999</v>
      </c>
      <c r="F20">
        <f>E20*AD6</f>
        <v>3.7719999999999994</v>
      </c>
      <c r="U20" s="71"/>
    </row>
    <row r="21" spans="2:21" x14ac:dyDescent="0.3">
      <c r="B21" t="s">
        <v>150</v>
      </c>
      <c r="C21">
        <v>1.78</v>
      </c>
      <c r="D21" t="s">
        <v>94</v>
      </c>
      <c r="O21" t="s">
        <v>93</v>
      </c>
    </row>
    <row r="22" spans="2:21" x14ac:dyDescent="0.3">
      <c r="C22" s="76">
        <f>C21*AD6</f>
        <v>5.8384</v>
      </c>
      <c r="D22" t="s">
        <v>88</v>
      </c>
      <c r="O22" t="s">
        <v>151</v>
      </c>
      <c r="P22">
        <v>0.62</v>
      </c>
      <c r="Q22" t="s">
        <v>94</v>
      </c>
    </row>
    <row r="23" spans="2:21" x14ac:dyDescent="0.3">
      <c r="P23">
        <f>P22*AD6</f>
        <v>2.0335999999999999</v>
      </c>
      <c r="Q23" t="s">
        <v>88</v>
      </c>
    </row>
    <row r="24" spans="2:21" x14ac:dyDescent="0.3">
      <c r="O24" t="s">
        <v>152</v>
      </c>
      <c r="P24">
        <v>2.4</v>
      </c>
      <c r="Q24" t="s">
        <v>94</v>
      </c>
    </row>
    <row r="25" spans="2:21" x14ac:dyDescent="0.3">
      <c r="B25" t="s">
        <v>104</v>
      </c>
      <c r="C25" t="s">
        <v>103</v>
      </c>
      <c r="P25">
        <f>P24*AD6</f>
        <v>7.871999999999999</v>
      </c>
      <c r="Q25" t="s">
        <v>88</v>
      </c>
    </row>
    <row r="26" spans="2:21" x14ac:dyDescent="0.3">
      <c r="B26" t="s">
        <v>105</v>
      </c>
      <c r="C26" t="s">
        <v>106</v>
      </c>
      <c r="O26" t="s">
        <v>153</v>
      </c>
      <c r="P26">
        <v>2.4</v>
      </c>
      <c r="Q26" t="s">
        <v>94</v>
      </c>
    </row>
    <row r="27" spans="2:21" x14ac:dyDescent="0.3">
      <c r="B27" t="s">
        <v>105</v>
      </c>
      <c r="C27">
        <f>0.24/12</f>
        <v>0.02</v>
      </c>
      <c r="P27">
        <f>P26*AD6</f>
        <v>7.871999999999999</v>
      </c>
      <c r="Q27" t="s">
        <v>88</v>
      </c>
    </row>
    <row r="28" spans="2:21" x14ac:dyDescent="0.3">
      <c r="O28" t="s">
        <v>154</v>
      </c>
      <c r="P28">
        <v>2.4</v>
      </c>
      <c r="Q28" t="s">
        <v>94</v>
      </c>
    </row>
    <row r="29" spans="2:21" x14ac:dyDescent="0.3">
      <c r="B29" t="s">
        <v>104</v>
      </c>
      <c r="C29" t="s">
        <v>103</v>
      </c>
      <c r="P29">
        <f>P28*AD6</f>
        <v>7.871999999999999</v>
      </c>
      <c r="Q29" t="s">
        <v>88</v>
      </c>
    </row>
    <row r="30" spans="2:21" x14ac:dyDescent="0.3">
      <c r="B30" t="s">
        <v>107</v>
      </c>
      <c r="C30" t="s">
        <v>108</v>
      </c>
    </row>
    <row r="31" spans="2:21" x14ac:dyDescent="0.3">
      <c r="B31" t="s">
        <v>107</v>
      </c>
      <c r="C31">
        <f>(0.24*J5)/C27</f>
        <v>192</v>
      </c>
      <c r="D31" t="s">
        <v>109</v>
      </c>
    </row>
    <row r="32" spans="2:21" x14ac:dyDescent="0.3">
      <c r="C32">
        <f>C31*AD7</f>
        <v>16.012799999999999</v>
      </c>
      <c r="D32" t="s">
        <v>88</v>
      </c>
    </row>
    <row r="34" spans="2:4" x14ac:dyDescent="0.3">
      <c r="B34" t="s">
        <v>104</v>
      </c>
      <c r="C34">
        <v>12</v>
      </c>
    </row>
    <row r="35" spans="2:4" x14ac:dyDescent="0.3">
      <c r="B35" t="s">
        <v>107</v>
      </c>
      <c r="C35" t="s">
        <v>158</v>
      </c>
    </row>
    <row r="36" spans="2:4" x14ac:dyDescent="0.3">
      <c r="B36" t="s">
        <v>107</v>
      </c>
      <c r="C36">
        <f>C34*J5</f>
        <v>192</v>
      </c>
      <c r="D36" t="s">
        <v>109</v>
      </c>
    </row>
    <row r="37" spans="2:4" x14ac:dyDescent="0.3">
      <c r="C37">
        <f>C36*AD7</f>
        <v>16.012799999999999</v>
      </c>
      <c r="D37" t="s">
        <v>88</v>
      </c>
    </row>
    <row r="39" spans="2:4" x14ac:dyDescent="0.3">
      <c r="B39" t="s">
        <v>161</v>
      </c>
      <c r="C39">
        <f>C32</f>
        <v>16.012799999999999</v>
      </c>
      <c r="D39" t="s">
        <v>88</v>
      </c>
    </row>
  </sheetData>
  <mergeCells count="23">
    <mergeCell ref="H3:H4"/>
    <mergeCell ref="B3:B4"/>
    <mergeCell ref="C3:C4"/>
    <mergeCell ref="D3:D4"/>
    <mergeCell ref="E3:F3"/>
    <mergeCell ref="G3:G4"/>
    <mergeCell ref="I3:I4"/>
    <mergeCell ref="J3:J4"/>
    <mergeCell ref="K3:K4"/>
    <mergeCell ref="L3:L4"/>
    <mergeCell ref="M3:M4"/>
    <mergeCell ref="W3:W4"/>
    <mergeCell ref="X3:X4"/>
    <mergeCell ref="Y3:Y4"/>
    <mergeCell ref="Z3:Z4"/>
    <mergeCell ref="O15:P15"/>
    <mergeCell ref="P3:P4"/>
    <mergeCell ref="Q3:Q4"/>
    <mergeCell ref="R3:S3"/>
    <mergeCell ref="T3:T4"/>
    <mergeCell ref="U3:U4"/>
    <mergeCell ref="V3:V4"/>
    <mergeCell ref="O3:O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29E88-367F-484A-A7B5-10ADF63A4104}">
  <dimension ref="B2:AJ39"/>
  <sheetViews>
    <sheetView topLeftCell="A14" zoomScale="76" zoomScaleNormal="40" workbookViewId="0">
      <selection activeCell="Z7" sqref="Z7"/>
    </sheetView>
  </sheetViews>
  <sheetFormatPr defaultRowHeight="14.4" x14ac:dyDescent="0.3"/>
  <cols>
    <col min="2" max="2" width="10.109375" customWidth="1"/>
    <col min="3" max="3" width="9.33203125" customWidth="1"/>
    <col min="4" max="4" width="10.21875" customWidth="1"/>
    <col min="9" max="9" width="9.5546875" customWidth="1"/>
  </cols>
  <sheetData>
    <row r="2" spans="2:36" x14ac:dyDescent="0.3">
      <c r="B2" s="70">
        <v>1</v>
      </c>
      <c r="C2" s="70">
        <v>2</v>
      </c>
      <c r="D2" s="70">
        <v>3</v>
      </c>
      <c r="E2" s="70">
        <v>4</v>
      </c>
      <c r="F2" s="70">
        <v>5</v>
      </c>
      <c r="G2" s="70">
        <v>6</v>
      </c>
      <c r="H2" s="70">
        <v>7</v>
      </c>
      <c r="I2" s="70">
        <v>8</v>
      </c>
      <c r="J2" s="70">
        <v>9</v>
      </c>
      <c r="K2" s="70"/>
      <c r="L2" s="70">
        <v>10</v>
      </c>
      <c r="M2" s="70"/>
      <c r="N2" s="70"/>
      <c r="P2" s="70">
        <v>1</v>
      </c>
      <c r="Q2" s="70">
        <v>2</v>
      </c>
      <c r="R2" s="70">
        <v>3</v>
      </c>
      <c r="S2" s="70">
        <v>4</v>
      </c>
      <c r="T2" s="70">
        <v>5</v>
      </c>
      <c r="U2" s="70">
        <v>6</v>
      </c>
      <c r="V2" s="70">
        <v>7</v>
      </c>
      <c r="W2" s="70">
        <v>8</v>
      </c>
      <c r="X2" s="70">
        <v>9</v>
      </c>
      <c r="Y2" s="70"/>
      <c r="Z2" s="70">
        <v>10</v>
      </c>
      <c r="AA2" s="70"/>
      <c r="AB2" s="70"/>
    </row>
    <row r="3" spans="2:36" ht="72" customHeight="1" x14ac:dyDescent="0.3">
      <c r="B3" s="183" t="s">
        <v>76</v>
      </c>
      <c r="C3" s="183" t="s">
        <v>77</v>
      </c>
      <c r="D3" s="183" t="s">
        <v>78</v>
      </c>
      <c r="E3" s="183" t="s">
        <v>79</v>
      </c>
      <c r="F3" s="183"/>
      <c r="G3" s="183" t="s">
        <v>82</v>
      </c>
      <c r="H3" s="183" t="s">
        <v>83</v>
      </c>
      <c r="I3" s="183" t="s">
        <v>147</v>
      </c>
      <c r="J3" s="196" t="s">
        <v>166</v>
      </c>
      <c r="K3" s="197"/>
      <c r="L3" s="183" t="s">
        <v>86</v>
      </c>
      <c r="M3" s="183"/>
      <c r="N3" s="205"/>
      <c r="P3" s="183" t="s">
        <v>76</v>
      </c>
      <c r="Q3" s="183" t="s">
        <v>77</v>
      </c>
      <c r="R3" s="183" t="s">
        <v>78</v>
      </c>
      <c r="S3" s="183" t="s">
        <v>79</v>
      </c>
      <c r="T3" s="183"/>
      <c r="U3" s="183" t="s">
        <v>82</v>
      </c>
      <c r="V3" s="183" t="s">
        <v>83</v>
      </c>
      <c r="W3" s="183" t="s">
        <v>148</v>
      </c>
      <c r="X3" s="196" t="s">
        <v>166</v>
      </c>
      <c r="Y3" s="197"/>
      <c r="Z3" s="183" t="s">
        <v>86</v>
      </c>
      <c r="AA3" s="183"/>
      <c r="AB3" s="205"/>
    </row>
    <row r="4" spans="2:36" x14ac:dyDescent="0.3">
      <c r="B4" s="183"/>
      <c r="C4" s="183"/>
      <c r="D4" s="183"/>
      <c r="E4" s="1" t="s">
        <v>80</v>
      </c>
      <c r="F4" s="1" t="s">
        <v>81</v>
      </c>
      <c r="G4" s="183"/>
      <c r="H4" s="183"/>
      <c r="I4" s="183"/>
      <c r="J4" s="81" t="s">
        <v>164</v>
      </c>
      <c r="K4" s="79" t="s">
        <v>165</v>
      </c>
      <c r="L4" s="183"/>
      <c r="M4" s="183"/>
      <c r="N4" s="206"/>
      <c r="P4" s="183"/>
      <c r="Q4" s="183"/>
      <c r="R4" s="183"/>
      <c r="S4" s="1" t="s">
        <v>80</v>
      </c>
      <c r="T4" s="1" t="s">
        <v>81</v>
      </c>
      <c r="U4" s="183"/>
      <c r="V4" s="183"/>
      <c r="W4" s="183"/>
      <c r="X4" s="81" t="s">
        <v>164</v>
      </c>
      <c r="Y4" s="79" t="s">
        <v>165</v>
      </c>
      <c r="Z4" s="183"/>
      <c r="AA4" s="183"/>
      <c r="AB4" s="206"/>
    </row>
    <row r="5" spans="2:36" x14ac:dyDescent="0.3">
      <c r="B5" s="1" t="str">
        <f>B19</f>
        <v>H (01-02)</v>
      </c>
      <c r="C5" s="72">
        <f>L14</f>
        <v>5270</v>
      </c>
      <c r="D5" s="1">
        <f>C20+C39</f>
        <v>23.830824</v>
      </c>
      <c r="E5" s="1"/>
      <c r="F5" s="1"/>
      <c r="G5" s="1"/>
      <c r="H5" s="75">
        <f>AI7</f>
        <v>0.14060186159999999</v>
      </c>
      <c r="I5" s="1"/>
      <c r="J5" s="1">
        <v>18</v>
      </c>
      <c r="K5" s="1">
        <f>J5*$AF$8</f>
        <v>0.4572</v>
      </c>
      <c r="L5" s="1">
        <v>3000</v>
      </c>
      <c r="M5" s="1"/>
      <c r="N5" s="1"/>
      <c r="P5" s="1" t="str">
        <f>B5</f>
        <v>H (01-02)</v>
      </c>
      <c r="Q5" s="72">
        <f>C5</f>
        <v>5270</v>
      </c>
      <c r="R5" s="1">
        <f>D5</f>
        <v>23.830824</v>
      </c>
      <c r="S5" s="1"/>
      <c r="T5" s="1"/>
      <c r="U5" s="1"/>
      <c r="V5" s="75">
        <f>H5</f>
        <v>0.14060186159999999</v>
      </c>
      <c r="W5" s="1"/>
      <c r="X5" s="1">
        <f>J5</f>
        <v>18</v>
      </c>
      <c r="Y5" s="1">
        <f>X5*$AF$8</f>
        <v>0.4572</v>
      </c>
      <c r="Z5" s="1">
        <f>L5</f>
        <v>3000</v>
      </c>
      <c r="AA5" s="1"/>
      <c r="AB5" s="1"/>
    </row>
    <row r="6" spans="2:36" x14ac:dyDescent="0.3">
      <c r="B6" s="1"/>
      <c r="C6" s="1"/>
      <c r="D6" s="1"/>
      <c r="E6" s="1"/>
      <c r="F6" s="1"/>
      <c r="G6" s="1"/>
      <c r="H6" s="75"/>
      <c r="I6" s="1"/>
      <c r="J6" s="1"/>
      <c r="K6" s="1"/>
      <c r="L6" s="1"/>
      <c r="M6" s="1"/>
      <c r="N6" s="1"/>
      <c r="P6" s="1"/>
      <c r="Q6" s="1"/>
      <c r="R6" s="1"/>
      <c r="S6" s="1"/>
      <c r="T6" s="1"/>
      <c r="U6" s="1"/>
      <c r="V6" s="75"/>
      <c r="W6" s="1"/>
      <c r="X6" s="1"/>
      <c r="Y6" s="1"/>
      <c r="Z6" s="1"/>
      <c r="AA6" s="1"/>
      <c r="AB6" s="1"/>
      <c r="AD6" s="69">
        <v>1</v>
      </c>
      <c r="AE6" s="69" t="s">
        <v>87</v>
      </c>
      <c r="AF6" s="69">
        <v>3.28</v>
      </c>
      <c r="AG6" s="69" t="s">
        <v>88</v>
      </c>
      <c r="AH6" t="s">
        <v>100</v>
      </c>
      <c r="AI6">
        <v>0.59</v>
      </c>
      <c r="AJ6" t="s">
        <v>95</v>
      </c>
    </row>
    <row r="7" spans="2:36" x14ac:dyDescent="0.3">
      <c r="B7" s="1" t="str">
        <f>B21</f>
        <v>H (02-B)</v>
      </c>
      <c r="C7" s="72">
        <f>C15</f>
        <v>1641</v>
      </c>
      <c r="D7" s="1">
        <f>C22</f>
        <v>5.8384</v>
      </c>
      <c r="E7" s="1">
        <v>0.57999999999999996</v>
      </c>
      <c r="F7" s="1">
        <v>0.55000000000000004</v>
      </c>
      <c r="G7" s="1">
        <f>E7-F7</f>
        <v>2.9999999999999916E-2</v>
      </c>
      <c r="H7" s="75">
        <f>H5-G7</f>
        <v>0.11060186160000007</v>
      </c>
      <c r="I7" s="1">
        <f>'Main Deck'!AC12</f>
        <v>4.5124249599999997</v>
      </c>
      <c r="J7" s="1">
        <v>11</v>
      </c>
      <c r="K7" s="1">
        <f>J7*$AF$8</f>
        <v>0.27939999999999998</v>
      </c>
      <c r="L7" s="1">
        <v>2100</v>
      </c>
      <c r="M7" s="1"/>
      <c r="N7" s="1"/>
      <c r="P7" s="1" t="str">
        <f>P22</f>
        <v>H (02-A)</v>
      </c>
      <c r="Q7" s="72">
        <f>S16</f>
        <v>3629</v>
      </c>
      <c r="R7" s="1">
        <f>Q23</f>
        <v>2.0335999999999999</v>
      </c>
      <c r="S7" s="1">
        <v>0.56000000000000005</v>
      </c>
      <c r="T7" s="1">
        <v>0.57999999999999996</v>
      </c>
      <c r="U7" s="1">
        <f>S7-T7</f>
        <v>-1.9999999999999907E-2</v>
      </c>
      <c r="V7" s="75">
        <f>V5-U7</f>
        <v>0.1606018615999999</v>
      </c>
      <c r="W7" s="1">
        <f>'Poop Deck '!N13</f>
        <v>4.5309607999999999</v>
      </c>
      <c r="X7" s="1">
        <v>16</v>
      </c>
      <c r="Y7" s="1">
        <f t="shared" ref="Y7:Y10" si="0">X7*$AF$8</f>
        <v>0.40639999999999998</v>
      </c>
      <c r="Z7" s="1">
        <v>2500</v>
      </c>
      <c r="AA7" s="1"/>
      <c r="AB7" s="1"/>
      <c r="AD7" s="74">
        <v>1</v>
      </c>
      <c r="AE7" s="74" t="s">
        <v>99</v>
      </c>
      <c r="AF7" s="74">
        <v>8.3400000000000002E-2</v>
      </c>
      <c r="AG7" s="69" t="s">
        <v>88</v>
      </c>
      <c r="AH7" t="s">
        <v>92</v>
      </c>
      <c r="AI7">
        <f>(D5*AI6)/100</f>
        <v>0.14060186159999999</v>
      </c>
      <c r="AJ7" t="s">
        <v>95</v>
      </c>
    </row>
    <row r="8" spans="2:36" x14ac:dyDescent="0.3">
      <c r="B8" s="1"/>
      <c r="C8" s="72"/>
      <c r="D8" s="1"/>
      <c r="E8" s="1"/>
      <c r="F8" s="1"/>
      <c r="G8" s="1"/>
      <c r="H8" s="75"/>
      <c r="I8" s="1"/>
      <c r="J8" s="1"/>
      <c r="K8" s="1"/>
      <c r="L8" s="1"/>
      <c r="M8" s="1"/>
      <c r="N8" s="1"/>
      <c r="P8" s="1" t="str">
        <f>P24</f>
        <v>H (A-C)</v>
      </c>
      <c r="Q8" s="72">
        <f>S17</f>
        <v>2802</v>
      </c>
      <c r="R8" s="1">
        <f>Q25</f>
        <v>7.871999999999999</v>
      </c>
      <c r="S8" s="1">
        <v>0.4</v>
      </c>
      <c r="T8" s="1">
        <v>0.34</v>
      </c>
      <c r="U8" s="1">
        <f>S8-T8</f>
        <v>0.06</v>
      </c>
      <c r="V8" s="75">
        <f>V7-U8</f>
        <v>0.1006018615999999</v>
      </c>
      <c r="W8" s="1">
        <f>'Boat Deck '!N13</f>
        <v>4.4132689599999999</v>
      </c>
      <c r="X8" s="1">
        <v>16</v>
      </c>
      <c r="Y8" s="1">
        <f t="shared" si="0"/>
        <v>0.40639999999999998</v>
      </c>
      <c r="Z8" s="1">
        <v>2000</v>
      </c>
      <c r="AA8" s="1"/>
      <c r="AB8" s="1"/>
      <c r="AD8" s="74">
        <v>1</v>
      </c>
      <c r="AE8" s="74" t="s">
        <v>99</v>
      </c>
      <c r="AF8" s="74">
        <v>2.5399999999999999E-2</v>
      </c>
      <c r="AG8" t="s">
        <v>94</v>
      </c>
    </row>
    <row r="9" spans="2:36" x14ac:dyDescent="0.3">
      <c r="B9" s="1"/>
      <c r="C9" s="72"/>
      <c r="D9" s="1"/>
      <c r="E9" s="1"/>
      <c r="F9" s="1"/>
      <c r="G9" s="1"/>
      <c r="H9" s="75"/>
      <c r="I9" s="1"/>
      <c r="J9" s="1"/>
      <c r="K9" s="1"/>
      <c r="L9" s="1"/>
      <c r="M9" s="1"/>
      <c r="N9" s="1"/>
      <c r="P9" s="1" t="str">
        <f>P26</f>
        <v>H (C-D)</v>
      </c>
      <c r="Q9" s="72">
        <f>S18</f>
        <v>2072</v>
      </c>
      <c r="R9" s="1">
        <f>Q27</f>
        <v>7.871999999999999</v>
      </c>
      <c r="S9" s="1">
        <v>0.25</v>
      </c>
      <c r="T9" s="1">
        <v>0.32</v>
      </c>
      <c r="U9" s="1">
        <f>S9-T9</f>
        <v>-7.0000000000000007E-2</v>
      </c>
      <c r="V9" s="75">
        <f>V8-U9</f>
        <v>0.1706018615999999</v>
      </c>
      <c r="W9" s="1">
        <f>'Bridge Deck'!N13</f>
        <v>4.6860947199999998</v>
      </c>
      <c r="X9" s="1">
        <v>14</v>
      </c>
      <c r="Y9" s="1">
        <f t="shared" si="0"/>
        <v>0.35559999999999997</v>
      </c>
      <c r="Z9" s="1">
        <v>1900</v>
      </c>
      <c r="AA9" s="1"/>
      <c r="AB9" s="1"/>
      <c r="AC9" s="76">
        <f>V9+W9+AA9</f>
        <v>4.8566965815999996</v>
      </c>
    </row>
    <row r="10" spans="2:36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P10" s="1" t="str">
        <f>P28</f>
        <v>H (D-E)</v>
      </c>
      <c r="Q10" s="72">
        <f>R19</f>
        <v>1294</v>
      </c>
      <c r="R10" s="1">
        <f>Q29</f>
        <v>7.871999999999999</v>
      </c>
      <c r="S10" s="1">
        <v>0.22</v>
      </c>
      <c r="T10" s="1">
        <v>0.24</v>
      </c>
      <c r="U10" s="1">
        <f>S10-T10</f>
        <v>-1.999999999999999E-2</v>
      </c>
      <c r="V10" s="75">
        <f>V9-U10</f>
        <v>0.19060186159999989</v>
      </c>
      <c r="W10" s="1">
        <f>'Nav Deck'!N13</f>
        <v>4.0508816000000003</v>
      </c>
      <c r="X10" s="1">
        <v>12</v>
      </c>
      <c r="Y10" s="1">
        <f t="shared" si="0"/>
        <v>0.30479999999999996</v>
      </c>
      <c r="Z10" s="1">
        <v>1600</v>
      </c>
      <c r="AA10" s="1"/>
      <c r="AB10" s="1"/>
      <c r="AC10" s="76">
        <f>V10+W10+AA10</f>
        <v>4.2414834616000006</v>
      </c>
    </row>
    <row r="11" spans="2:36" x14ac:dyDescent="0.3">
      <c r="P11" s="1"/>
      <c r="Q11" s="72"/>
      <c r="R11" s="1"/>
      <c r="S11" s="1"/>
      <c r="T11" s="1"/>
      <c r="U11" s="1"/>
      <c r="V11" s="75"/>
      <c r="W11" s="1"/>
      <c r="X11" s="1"/>
      <c r="Y11" s="1"/>
      <c r="Z11" s="1"/>
      <c r="AA11" s="1"/>
      <c r="AB11" s="1"/>
      <c r="AC11" s="76"/>
    </row>
    <row r="12" spans="2:36" x14ac:dyDescent="0.3">
      <c r="Q12" t="s">
        <v>159</v>
      </c>
      <c r="U12" s="78">
        <f>V9</f>
        <v>0.1706018615999999</v>
      </c>
      <c r="V12" s="74" t="s">
        <v>141</v>
      </c>
      <c r="W12" s="74">
        <f>+W9</f>
        <v>4.6860947199999998</v>
      </c>
      <c r="X12" s="74" t="s">
        <v>143</v>
      </c>
      <c r="Y12" s="74"/>
      <c r="Z12" s="78">
        <f>U12+W12</f>
        <v>4.8566965815999996</v>
      </c>
      <c r="AA12" s="74"/>
    </row>
    <row r="13" spans="2:36" x14ac:dyDescent="0.3">
      <c r="J13" t="s">
        <v>98</v>
      </c>
      <c r="Z13" s="76"/>
    </row>
    <row r="14" spans="2:36" x14ac:dyDescent="0.3">
      <c r="B14" t="s">
        <v>155</v>
      </c>
      <c r="D14" s="71"/>
      <c r="J14" t="str">
        <f>B5</f>
        <v>H (01-02)</v>
      </c>
      <c r="L14" s="71">
        <f>C15+S16</f>
        <v>5270</v>
      </c>
      <c r="M14" s="71"/>
      <c r="N14" s="71"/>
      <c r="U14" t="s">
        <v>98</v>
      </c>
    </row>
    <row r="15" spans="2:36" x14ac:dyDescent="0.3">
      <c r="B15" t="s">
        <v>15</v>
      </c>
      <c r="C15" s="71">
        <f>'Main Deck'!H14</f>
        <v>1641</v>
      </c>
      <c r="D15" s="71"/>
      <c r="J15" t="str">
        <f>B7</f>
        <v>H (02-B)</v>
      </c>
      <c r="L15" s="71">
        <f>C7</f>
        <v>1641</v>
      </c>
      <c r="M15" s="71"/>
      <c r="N15" s="71"/>
      <c r="P15" t="s">
        <v>156</v>
      </c>
      <c r="U15" t="str">
        <f>P5</f>
        <v>H (01-02)</v>
      </c>
      <c r="V15" s="71">
        <f>Q5</f>
        <v>5270</v>
      </c>
    </row>
    <row r="16" spans="2:36" ht="15.6" x14ac:dyDescent="0.3">
      <c r="C16" s="71"/>
      <c r="L16" s="71"/>
      <c r="M16" s="71"/>
      <c r="N16" s="71"/>
      <c r="P16" s="73" t="s">
        <v>22</v>
      </c>
      <c r="Q16" s="73"/>
      <c r="R16" s="71">
        <f>'Poop Deck '!L16</f>
        <v>827</v>
      </c>
      <c r="S16" s="71">
        <f>SUM(R16:R19)</f>
        <v>3629</v>
      </c>
      <c r="U16" t="str">
        <f t="shared" ref="U16:V19" si="1">P7</f>
        <v>H (02-A)</v>
      </c>
      <c r="V16" s="71">
        <f t="shared" si="1"/>
        <v>3629</v>
      </c>
    </row>
    <row r="17" spans="2:22" ht="15.6" x14ac:dyDescent="0.3">
      <c r="L17" s="71"/>
      <c r="M17" s="71"/>
      <c r="N17" s="71"/>
      <c r="P17" s="73" t="s">
        <v>28</v>
      </c>
      <c r="Q17" s="73"/>
      <c r="R17" s="71">
        <f>'Boat Deck '!L16</f>
        <v>730</v>
      </c>
      <c r="S17" s="71">
        <f>SUM(R17:R19)</f>
        <v>2802</v>
      </c>
      <c r="U17" t="str">
        <f t="shared" si="1"/>
        <v>H (A-C)</v>
      </c>
      <c r="V17" s="71">
        <f t="shared" si="1"/>
        <v>2802</v>
      </c>
    </row>
    <row r="18" spans="2:22" ht="15.6" x14ac:dyDescent="0.3">
      <c r="B18" t="s">
        <v>93</v>
      </c>
      <c r="P18" s="73" t="s">
        <v>34</v>
      </c>
      <c r="Q18" s="73"/>
      <c r="R18" s="71">
        <f>'Bridge Deck'!L16</f>
        <v>778</v>
      </c>
      <c r="S18" s="71">
        <f>SUM(R18:R19)</f>
        <v>2072</v>
      </c>
      <c r="U18" t="str">
        <f t="shared" si="1"/>
        <v>H (C-D)</v>
      </c>
      <c r="V18" s="71">
        <f t="shared" si="1"/>
        <v>2072</v>
      </c>
    </row>
    <row r="19" spans="2:22" ht="15.6" x14ac:dyDescent="0.3">
      <c r="B19" t="s">
        <v>149</v>
      </c>
      <c r="C19">
        <f>0.6233+1.15</f>
        <v>1.7732999999999999</v>
      </c>
      <c r="D19" t="s">
        <v>94</v>
      </c>
      <c r="E19">
        <v>0.26300000000000001</v>
      </c>
      <c r="F19" s="76">
        <f>E19*AD6</f>
        <v>0.26300000000000001</v>
      </c>
      <c r="H19" t="s">
        <v>176</v>
      </c>
      <c r="K19">
        <v>18</v>
      </c>
      <c r="L19" t="s">
        <v>88</v>
      </c>
      <c r="P19" s="73" t="s">
        <v>157</v>
      </c>
      <c r="Q19" s="73"/>
      <c r="R19" s="71">
        <f>'Nav Deck'!L16</f>
        <v>1294</v>
      </c>
      <c r="S19" s="71"/>
      <c r="U19" t="str">
        <f t="shared" si="1"/>
        <v>H (D-E)</v>
      </c>
      <c r="V19" s="71">
        <f t="shared" si="1"/>
        <v>1294</v>
      </c>
    </row>
    <row r="20" spans="2:22" x14ac:dyDescent="0.3">
      <c r="C20">
        <f>C19*AF6</f>
        <v>5.8164239999999996</v>
      </c>
      <c r="D20" t="s">
        <v>88</v>
      </c>
      <c r="E20">
        <v>1.1499999999999999</v>
      </c>
      <c r="F20">
        <f>E20*AD6</f>
        <v>1.1499999999999999</v>
      </c>
      <c r="V20" s="71"/>
    </row>
    <row r="21" spans="2:22" x14ac:dyDescent="0.3">
      <c r="B21" t="s">
        <v>150</v>
      </c>
      <c r="C21">
        <v>1.78</v>
      </c>
      <c r="D21" t="s">
        <v>94</v>
      </c>
      <c r="P21" t="s">
        <v>93</v>
      </c>
    </row>
    <row r="22" spans="2:22" x14ac:dyDescent="0.3">
      <c r="C22">
        <f>C21*AF6</f>
        <v>5.8384</v>
      </c>
      <c r="D22" t="s">
        <v>88</v>
      </c>
      <c r="P22" t="s">
        <v>151</v>
      </c>
      <c r="Q22">
        <v>0.62</v>
      </c>
      <c r="R22" t="s">
        <v>94</v>
      </c>
    </row>
    <row r="23" spans="2:22" x14ac:dyDescent="0.3">
      <c r="Q23" s="76">
        <f>Q22*AF6</f>
        <v>2.0335999999999999</v>
      </c>
      <c r="R23" t="s">
        <v>88</v>
      </c>
    </row>
    <row r="24" spans="2:22" x14ac:dyDescent="0.3">
      <c r="P24" t="s">
        <v>152</v>
      </c>
      <c r="Q24">
        <v>2.4</v>
      </c>
      <c r="R24" t="s">
        <v>94</v>
      </c>
    </row>
    <row r="25" spans="2:22" x14ac:dyDescent="0.3">
      <c r="B25" t="s">
        <v>104</v>
      </c>
      <c r="C25" t="s">
        <v>103</v>
      </c>
      <c r="Q25">
        <f>Q24*AF6</f>
        <v>7.871999999999999</v>
      </c>
      <c r="R25" t="s">
        <v>88</v>
      </c>
      <c r="S25">
        <f>Q23+Q25</f>
        <v>9.9055999999999997</v>
      </c>
    </row>
    <row r="26" spans="2:22" x14ac:dyDescent="0.3">
      <c r="B26" t="s">
        <v>105</v>
      </c>
      <c r="C26" t="s">
        <v>106</v>
      </c>
      <c r="P26" t="s">
        <v>153</v>
      </c>
      <c r="Q26">
        <v>2.4</v>
      </c>
      <c r="R26" t="s">
        <v>94</v>
      </c>
    </row>
    <row r="27" spans="2:22" x14ac:dyDescent="0.3">
      <c r="B27" t="s">
        <v>105</v>
      </c>
      <c r="C27">
        <f>0.24/12</f>
        <v>0.02</v>
      </c>
      <c r="Q27">
        <f>Q26*AF6</f>
        <v>7.871999999999999</v>
      </c>
      <c r="R27" t="s">
        <v>88</v>
      </c>
      <c r="S27">
        <f>S25+Q27</f>
        <v>17.7776</v>
      </c>
    </row>
    <row r="28" spans="2:22" x14ac:dyDescent="0.3">
      <c r="P28" t="s">
        <v>154</v>
      </c>
      <c r="Q28">
        <v>2.4</v>
      </c>
      <c r="R28" t="s">
        <v>94</v>
      </c>
    </row>
    <row r="29" spans="2:22" x14ac:dyDescent="0.3">
      <c r="B29" t="s">
        <v>104</v>
      </c>
      <c r="C29" t="s">
        <v>103</v>
      </c>
      <c r="Q29">
        <f>Q28*AF6</f>
        <v>7.871999999999999</v>
      </c>
      <c r="R29" t="s">
        <v>88</v>
      </c>
      <c r="S29">
        <f>S27+Q29</f>
        <v>25.6496</v>
      </c>
    </row>
    <row r="30" spans="2:22" x14ac:dyDescent="0.3">
      <c r="B30" t="s">
        <v>107</v>
      </c>
      <c r="C30" t="s">
        <v>108</v>
      </c>
    </row>
    <row r="31" spans="2:22" x14ac:dyDescent="0.3">
      <c r="B31" t="s">
        <v>107</v>
      </c>
      <c r="C31">
        <f>(0.24*J5)/C27</f>
        <v>216</v>
      </c>
      <c r="D31" t="s">
        <v>109</v>
      </c>
    </row>
    <row r="32" spans="2:22" x14ac:dyDescent="0.3">
      <c r="C32">
        <f>C31*AF7</f>
        <v>18.014400000000002</v>
      </c>
      <c r="D32" t="s">
        <v>88</v>
      </c>
    </row>
    <row r="34" spans="2:4" x14ac:dyDescent="0.3">
      <c r="B34" t="s">
        <v>104</v>
      </c>
      <c r="C34">
        <v>12</v>
      </c>
    </row>
    <row r="35" spans="2:4" x14ac:dyDescent="0.3">
      <c r="B35" t="s">
        <v>107</v>
      </c>
      <c r="C35" t="s">
        <v>158</v>
      </c>
    </row>
    <row r="36" spans="2:4" x14ac:dyDescent="0.3">
      <c r="B36" t="s">
        <v>107</v>
      </c>
      <c r="C36">
        <f>C34*J5</f>
        <v>216</v>
      </c>
      <c r="D36" t="s">
        <v>109</v>
      </c>
    </row>
    <row r="37" spans="2:4" x14ac:dyDescent="0.3">
      <c r="C37">
        <f>C36*AF7</f>
        <v>18.014400000000002</v>
      </c>
      <c r="D37" t="s">
        <v>88</v>
      </c>
    </row>
    <row r="39" spans="2:4" x14ac:dyDescent="0.3">
      <c r="B39" t="s">
        <v>160</v>
      </c>
      <c r="C39">
        <f>C32</f>
        <v>18.014400000000002</v>
      </c>
      <c r="D39" t="s">
        <v>88</v>
      </c>
    </row>
  </sheetData>
  <mergeCells count="22">
    <mergeCell ref="Z3:Z4"/>
    <mergeCell ref="AA3:AA4"/>
    <mergeCell ref="AB3:AB4"/>
    <mergeCell ref="Q3:Q4"/>
    <mergeCell ref="R3:R4"/>
    <mergeCell ref="S3:T3"/>
    <mergeCell ref="U3:U4"/>
    <mergeCell ref="V3:V4"/>
    <mergeCell ref="W3:W4"/>
    <mergeCell ref="H3:H4"/>
    <mergeCell ref="J3:K3"/>
    <mergeCell ref="X3:Y3"/>
    <mergeCell ref="B3:B4"/>
    <mergeCell ref="C3:C4"/>
    <mergeCell ref="D3:D4"/>
    <mergeCell ref="E3:F3"/>
    <mergeCell ref="G3:G4"/>
    <mergeCell ref="I3:I4"/>
    <mergeCell ref="L3:L4"/>
    <mergeCell ref="M3:M4"/>
    <mergeCell ref="N3:N4"/>
    <mergeCell ref="P3:P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9ED27-B3C0-4C1C-AC4B-C04F9A5E6E6E}">
  <dimension ref="B2:AG52"/>
  <sheetViews>
    <sheetView topLeftCell="B3" zoomScale="86" zoomScaleNormal="40" workbookViewId="0">
      <selection activeCell="U27" sqref="U27"/>
    </sheetView>
  </sheetViews>
  <sheetFormatPr defaultRowHeight="14.4" x14ac:dyDescent="0.3"/>
  <cols>
    <col min="2" max="2" width="10.109375" customWidth="1"/>
    <col min="3" max="3" width="9.33203125" customWidth="1"/>
    <col min="4" max="4" width="10.21875" customWidth="1"/>
    <col min="9" max="9" width="9.5546875" customWidth="1"/>
  </cols>
  <sheetData>
    <row r="2" spans="2:33" x14ac:dyDescent="0.3">
      <c r="B2" s="70">
        <v>1</v>
      </c>
      <c r="C2" s="70">
        <v>2</v>
      </c>
      <c r="D2" s="70">
        <v>3</v>
      </c>
      <c r="E2" s="70">
        <v>4</v>
      </c>
      <c r="F2" s="70">
        <v>5</v>
      </c>
      <c r="G2" s="70">
        <v>6</v>
      </c>
      <c r="H2" s="70">
        <v>7</v>
      </c>
      <c r="I2" s="70">
        <v>8</v>
      </c>
      <c r="J2" s="70">
        <v>9</v>
      </c>
      <c r="K2" s="70"/>
      <c r="L2" s="70">
        <v>10</v>
      </c>
      <c r="M2" s="70"/>
      <c r="N2" s="70"/>
      <c r="P2" s="70">
        <v>1</v>
      </c>
      <c r="Q2" s="70">
        <v>2</v>
      </c>
      <c r="R2" s="70">
        <v>3</v>
      </c>
      <c r="S2" s="70">
        <v>4</v>
      </c>
      <c r="T2" s="70">
        <v>5</v>
      </c>
      <c r="U2" s="70">
        <v>6</v>
      </c>
      <c r="V2" s="70">
        <v>7</v>
      </c>
      <c r="W2" s="70">
        <v>8</v>
      </c>
      <c r="X2" s="70">
        <v>9</v>
      </c>
      <c r="Y2" s="70"/>
      <c r="Z2" s="70">
        <v>10</v>
      </c>
      <c r="AA2" s="70"/>
      <c r="AB2" s="70"/>
    </row>
    <row r="3" spans="2:33" ht="72" customHeight="1" x14ac:dyDescent="0.3">
      <c r="B3" s="183" t="s">
        <v>76</v>
      </c>
      <c r="C3" s="183" t="s">
        <v>77</v>
      </c>
      <c r="D3" s="183" t="s">
        <v>78</v>
      </c>
      <c r="E3" s="183" t="s">
        <v>79</v>
      </c>
      <c r="F3" s="183"/>
      <c r="G3" s="183" t="s">
        <v>82</v>
      </c>
      <c r="H3" s="183" t="s">
        <v>83</v>
      </c>
      <c r="I3" s="183" t="s">
        <v>147</v>
      </c>
      <c r="J3" s="196" t="s">
        <v>166</v>
      </c>
      <c r="K3" s="197"/>
      <c r="L3" s="183" t="s">
        <v>86</v>
      </c>
      <c r="M3" s="183" t="s">
        <v>169</v>
      </c>
      <c r="N3" s="183" t="s">
        <v>174</v>
      </c>
      <c r="P3" s="183" t="s">
        <v>76</v>
      </c>
      <c r="Q3" s="183" t="s">
        <v>77</v>
      </c>
      <c r="R3" s="183" t="s">
        <v>78</v>
      </c>
      <c r="S3" s="183" t="s">
        <v>79</v>
      </c>
      <c r="T3" s="183"/>
      <c r="U3" s="183" t="s">
        <v>82</v>
      </c>
      <c r="V3" s="183" t="s">
        <v>83</v>
      </c>
      <c r="W3" s="183" t="s">
        <v>148</v>
      </c>
      <c r="X3" s="196" t="s">
        <v>166</v>
      </c>
      <c r="Y3" s="197"/>
      <c r="Z3" s="183" t="s">
        <v>86</v>
      </c>
      <c r="AA3" s="183" t="s">
        <v>169</v>
      </c>
      <c r="AB3" s="183" t="s">
        <v>174</v>
      </c>
    </row>
    <row r="4" spans="2:33" x14ac:dyDescent="0.3">
      <c r="B4" s="183"/>
      <c r="C4" s="183"/>
      <c r="D4" s="183"/>
      <c r="E4" s="1" t="s">
        <v>80</v>
      </c>
      <c r="F4" s="1" t="s">
        <v>81</v>
      </c>
      <c r="G4" s="183"/>
      <c r="H4" s="183"/>
      <c r="I4" s="183"/>
      <c r="J4" s="81" t="s">
        <v>164</v>
      </c>
      <c r="K4" s="79" t="s">
        <v>165</v>
      </c>
      <c r="L4" s="183"/>
      <c r="M4" s="183"/>
      <c r="N4" s="183"/>
      <c r="P4" s="183"/>
      <c r="Q4" s="183"/>
      <c r="R4" s="183"/>
      <c r="S4" s="1" t="s">
        <v>80</v>
      </c>
      <c r="T4" s="1" t="s">
        <v>81</v>
      </c>
      <c r="U4" s="183"/>
      <c r="V4" s="183"/>
      <c r="W4" s="183"/>
      <c r="X4" s="81" t="s">
        <v>164</v>
      </c>
      <c r="Y4" s="79" t="s">
        <v>165</v>
      </c>
      <c r="Z4" s="183"/>
      <c r="AA4" s="183"/>
      <c r="AB4" s="183"/>
    </row>
    <row r="5" spans="2:33" x14ac:dyDescent="0.3">
      <c r="B5" s="1"/>
      <c r="C5" s="72"/>
      <c r="D5" s="1"/>
      <c r="E5" s="1"/>
      <c r="F5" s="1"/>
      <c r="G5" s="1"/>
      <c r="H5" s="75"/>
      <c r="I5" s="1"/>
      <c r="J5" s="1"/>
      <c r="K5" s="1"/>
      <c r="L5" s="1"/>
      <c r="M5" s="1"/>
      <c r="N5" s="1"/>
      <c r="P5" s="1"/>
      <c r="Q5" s="72"/>
      <c r="R5" s="1"/>
      <c r="S5" s="1"/>
      <c r="T5" s="1"/>
      <c r="U5" s="1"/>
      <c r="V5" s="75"/>
      <c r="W5" s="1"/>
      <c r="X5" s="1"/>
      <c r="Y5" s="1"/>
      <c r="Z5" s="1"/>
      <c r="AA5" s="1"/>
      <c r="AB5" s="1"/>
    </row>
    <row r="6" spans="2:33" x14ac:dyDescent="0.3">
      <c r="B6" s="1"/>
      <c r="C6" s="1"/>
      <c r="D6" s="1"/>
      <c r="E6" s="1"/>
      <c r="F6" s="1"/>
      <c r="G6" s="1"/>
      <c r="H6" s="75"/>
      <c r="I6" s="1"/>
      <c r="J6" s="1"/>
      <c r="K6" s="1"/>
      <c r="L6" s="1"/>
      <c r="M6" s="1"/>
      <c r="N6" s="1"/>
      <c r="P6" s="1"/>
      <c r="Q6" s="1"/>
      <c r="R6" s="1"/>
      <c r="S6" s="1"/>
      <c r="T6" s="1"/>
      <c r="U6" s="1"/>
      <c r="V6" s="75"/>
      <c r="W6" s="1"/>
      <c r="X6" s="1"/>
      <c r="Y6" s="1"/>
      <c r="Z6" s="1"/>
      <c r="AA6" s="1"/>
      <c r="AB6" s="1"/>
      <c r="AD6" s="69">
        <v>1</v>
      </c>
      <c r="AE6" s="69" t="s">
        <v>87</v>
      </c>
      <c r="AF6" s="69">
        <v>3.28</v>
      </c>
      <c r="AG6" s="69" t="s">
        <v>88</v>
      </c>
    </row>
    <row r="7" spans="2:33" x14ac:dyDescent="0.3">
      <c r="B7" s="1" t="str">
        <f>B21</f>
        <v>H (01-B)</v>
      </c>
      <c r="C7" s="72">
        <f>C15</f>
        <v>1641</v>
      </c>
      <c r="D7" s="1">
        <f>C22</f>
        <v>31.654823999999998</v>
      </c>
      <c r="E7" s="1"/>
      <c r="F7" s="1"/>
      <c r="G7" s="1"/>
      <c r="H7" s="75"/>
      <c r="I7" s="1">
        <f>'Main Deck'!AC12</f>
        <v>4.5124249599999997</v>
      </c>
      <c r="J7" s="1">
        <v>10</v>
      </c>
      <c r="K7" s="1">
        <f>J7*$AF$8</f>
        <v>0.254</v>
      </c>
      <c r="L7" s="1">
        <v>2800</v>
      </c>
      <c r="M7" s="1">
        <v>1.1000000000000001</v>
      </c>
      <c r="N7" s="1">
        <f>(D7*M7)/100</f>
        <v>0.34820306400000001</v>
      </c>
      <c r="P7" s="1" t="str">
        <f>P22</f>
        <v>H (01-A)</v>
      </c>
      <c r="Q7" s="72">
        <f>R16</f>
        <v>827</v>
      </c>
      <c r="R7" s="1">
        <f>Q23</f>
        <v>19.850023999999998</v>
      </c>
      <c r="S7" s="1"/>
      <c r="T7" s="1"/>
      <c r="U7" s="1"/>
      <c r="V7" s="75"/>
      <c r="W7" s="1">
        <f>'Poop Deck '!N13</f>
        <v>4.5309607999999999</v>
      </c>
      <c r="X7" s="1">
        <v>7</v>
      </c>
      <c r="Y7" s="1">
        <f t="shared" ref="Y7:Y10" si="0">X7*$AF$8</f>
        <v>0.17779999999999999</v>
      </c>
      <c r="Z7" s="1">
        <v>3200</v>
      </c>
      <c r="AA7" s="1">
        <v>2.1</v>
      </c>
      <c r="AB7" s="1">
        <f>(R7*AA7)/100</f>
        <v>0.41685050399999996</v>
      </c>
      <c r="AD7" s="74">
        <v>1</v>
      </c>
      <c r="AE7" s="74" t="s">
        <v>99</v>
      </c>
      <c r="AF7" s="74">
        <v>8.3400000000000002E-2</v>
      </c>
      <c r="AG7" s="69" t="s">
        <v>88</v>
      </c>
    </row>
    <row r="8" spans="2:33" x14ac:dyDescent="0.3">
      <c r="B8" s="1"/>
      <c r="C8" s="72"/>
      <c r="D8" s="1"/>
      <c r="E8" s="1"/>
      <c r="F8" s="1"/>
      <c r="G8" s="1"/>
      <c r="H8" s="75"/>
      <c r="I8" s="1"/>
      <c r="J8" s="1"/>
      <c r="K8" s="1"/>
      <c r="L8" s="1"/>
      <c r="M8" s="1"/>
      <c r="N8" s="1"/>
      <c r="P8" s="1" t="str">
        <f>P24</f>
        <v>H (01-C)</v>
      </c>
      <c r="Q8" s="72">
        <f>R17</f>
        <v>730</v>
      </c>
      <c r="R8" s="1">
        <f>Q25</f>
        <v>27.722023999999998</v>
      </c>
      <c r="S8" s="1"/>
      <c r="T8" s="1"/>
      <c r="U8" s="1"/>
      <c r="V8" s="75"/>
      <c r="W8" s="1">
        <f>'Boat Deck '!N13</f>
        <v>4.4132689599999999</v>
      </c>
      <c r="X8" s="1">
        <v>7</v>
      </c>
      <c r="Y8" s="1">
        <f t="shared" si="0"/>
        <v>0.17779999999999999</v>
      </c>
      <c r="Z8" s="1">
        <v>2800</v>
      </c>
      <c r="AA8" s="1">
        <v>1.7</v>
      </c>
      <c r="AB8" s="1">
        <f t="shared" ref="AB8:AB10" si="1">(R8*AA8)/100</f>
        <v>0.47127440799999998</v>
      </c>
      <c r="AD8" s="74">
        <v>1</v>
      </c>
      <c r="AE8" s="74" t="s">
        <v>99</v>
      </c>
      <c r="AF8" s="74">
        <v>2.5399999999999999E-2</v>
      </c>
      <c r="AG8" t="s">
        <v>94</v>
      </c>
    </row>
    <row r="9" spans="2:33" x14ac:dyDescent="0.3">
      <c r="B9" s="1"/>
      <c r="C9" s="72"/>
      <c r="D9" s="1"/>
      <c r="E9" s="1"/>
      <c r="F9" s="1"/>
      <c r="G9" s="1"/>
      <c r="H9" s="75"/>
      <c r="I9" s="1"/>
      <c r="J9" s="1"/>
      <c r="K9" s="1"/>
      <c r="L9" s="1"/>
      <c r="M9" s="1"/>
      <c r="N9" s="1"/>
      <c r="P9" s="1" t="str">
        <f>P26</f>
        <v>H (01-D)</v>
      </c>
      <c r="Q9" s="72">
        <f>R18</f>
        <v>778</v>
      </c>
      <c r="R9" s="1">
        <f>Q27</f>
        <v>35.594024000000005</v>
      </c>
      <c r="S9" s="1"/>
      <c r="T9" s="1"/>
      <c r="U9" s="1"/>
      <c r="V9" s="75"/>
      <c r="W9" s="1">
        <f>'Bridge Deck'!N13</f>
        <v>4.6860947199999998</v>
      </c>
      <c r="X9" s="1">
        <v>7</v>
      </c>
      <c r="Y9" s="1">
        <f t="shared" si="0"/>
        <v>0.17779999999999999</v>
      </c>
      <c r="Z9" s="1">
        <v>3000</v>
      </c>
      <c r="AA9" s="1">
        <v>1.9</v>
      </c>
      <c r="AB9" s="1">
        <f t="shared" si="1"/>
        <v>0.67628645600000004</v>
      </c>
      <c r="AC9" s="76">
        <f>V9+W9+AA9</f>
        <v>6.5860947200000002</v>
      </c>
    </row>
    <row r="10" spans="2:33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P10" s="1" t="str">
        <f>P28</f>
        <v>H (01-E)</v>
      </c>
      <c r="Q10" s="72">
        <f>R19</f>
        <v>1294</v>
      </c>
      <c r="R10" s="1">
        <f>Q29</f>
        <v>51.466024000000004</v>
      </c>
      <c r="S10" s="1"/>
      <c r="T10" s="1"/>
      <c r="U10" s="1"/>
      <c r="V10" s="75"/>
      <c r="W10" s="1">
        <f>'Nav Deck'!N13</f>
        <v>4.0508816000000003</v>
      </c>
      <c r="X10" s="1">
        <v>10</v>
      </c>
      <c r="Y10" s="1">
        <f t="shared" si="0"/>
        <v>0.254</v>
      </c>
      <c r="Z10" s="1">
        <v>2400</v>
      </c>
      <c r="AA10" s="1">
        <v>0.8</v>
      </c>
      <c r="AB10" s="1">
        <f t="shared" si="1"/>
        <v>0.41172819200000005</v>
      </c>
      <c r="AC10" s="76">
        <f>V10+W10+AA10</f>
        <v>4.8508816000000001</v>
      </c>
    </row>
    <row r="11" spans="2:33" x14ac:dyDescent="0.3">
      <c r="P11" s="1"/>
      <c r="Q11" s="72"/>
      <c r="R11" s="1"/>
      <c r="S11" s="1"/>
      <c r="T11" s="1"/>
      <c r="U11" s="1"/>
      <c r="V11" s="75"/>
      <c r="W11" s="1"/>
      <c r="X11" s="1"/>
      <c r="Y11" s="1"/>
      <c r="Z11" s="1"/>
      <c r="AA11" s="1"/>
      <c r="AB11" s="1"/>
      <c r="AC11" s="76"/>
    </row>
    <row r="12" spans="2:33" x14ac:dyDescent="0.3">
      <c r="Q12" t="s">
        <v>159</v>
      </c>
      <c r="U12" s="78">
        <f>V9</f>
        <v>0</v>
      </c>
      <c r="V12" s="74" t="s">
        <v>141</v>
      </c>
      <c r="W12" s="74">
        <f>+W9</f>
        <v>4.6860947199999998</v>
      </c>
      <c r="X12" s="74" t="s">
        <v>143</v>
      </c>
      <c r="Y12" s="74"/>
      <c r="Z12" s="78">
        <f>U12+W12</f>
        <v>4.6860947199999998</v>
      </c>
      <c r="AA12" s="74"/>
    </row>
    <row r="13" spans="2:33" x14ac:dyDescent="0.3">
      <c r="J13" t="s">
        <v>98</v>
      </c>
      <c r="Z13" s="76"/>
    </row>
    <row r="14" spans="2:33" x14ac:dyDescent="0.3">
      <c r="B14" t="s">
        <v>155</v>
      </c>
      <c r="D14" s="71"/>
      <c r="L14" s="71"/>
      <c r="M14" s="71"/>
      <c r="N14" s="71"/>
      <c r="U14" t="s">
        <v>98</v>
      </c>
    </row>
    <row r="15" spans="2:33" x14ac:dyDescent="0.3">
      <c r="B15" t="s">
        <v>15</v>
      </c>
      <c r="C15" s="71">
        <f>'Main Deck'!H14</f>
        <v>1641</v>
      </c>
      <c r="D15" s="71"/>
      <c r="J15" t="str">
        <f>B7</f>
        <v>H (01-B)</v>
      </c>
      <c r="L15" s="71">
        <f>C7</f>
        <v>1641</v>
      </c>
      <c r="M15" s="71"/>
      <c r="N15" s="71"/>
      <c r="P15" t="s">
        <v>156</v>
      </c>
      <c r="V15" s="71"/>
    </row>
    <row r="16" spans="2:33" ht="15.6" x14ac:dyDescent="0.3">
      <c r="C16" s="71"/>
      <c r="L16" s="71"/>
      <c r="M16" s="71"/>
      <c r="N16" s="71"/>
      <c r="P16" s="73" t="s">
        <v>22</v>
      </c>
      <c r="Q16" s="73"/>
      <c r="R16" s="71">
        <f>'Poop Deck '!L16</f>
        <v>827</v>
      </c>
      <c r="S16" s="71"/>
      <c r="U16" t="str">
        <f t="shared" ref="U16:V19" si="2">P7</f>
        <v>H (01-A)</v>
      </c>
      <c r="V16" s="71">
        <f t="shared" si="2"/>
        <v>827</v>
      </c>
    </row>
    <row r="17" spans="2:22" ht="15.6" x14ac:dyDescent="0.3">
      <c r="L17" s="71"/>
      <c r="M17" s="71"/>
      <c r="N17" s="71"/>
      <c r="P17" s="73" t="s">
        <v>28</v>
      </c>
      <c r="Q17" s="73"/>
      <c r="R17" s="71">
        <f>'Boat Deck '!L16</f>
        <v>730</v>
      </c>
      <c r="S17" s="71"/>
      <c r="U17" t="str">
        <f t="shared" si="2"/>
        <v>H (01-C)</v>
      </c>
      <c r="V17" s="71">
        <f t="shared" si="2"/>
        <v>730</v>
      </c>
    </row>
    <row r="18" spans="2:22" ht="15.6" x14ac:dyDescent="0.3">
      <c r="B18" t="s">
        <v>93</v>
      </c>
      <c r="P18" s="73" t="s">
        <v>34</v>
      </c>
      <c r="Q18" s="73"/>
      <c r="R18" s="71">
        <f>'Bridge Deck'!L16</f>
        <v>778</v>
      </c>
      <c r="S18" s="71"/>
      <c r="U18" t="str">
        <f t="shared" si="2"/>
        <v>H (01-D)</v>
      </c>
      <c r="V18" s="71">
        <f t="shared" si="2"/>
        <v>778</v>
      </c>
    </row>
    <row r="19" spans="2:22" ht="15.6" x14ac:dyDescent="0.3">
      <c r="P19" s="73" t="s">
        <v>157</v>
      </c>
      <c r="Q19" s="73"/>
      <c r="R19" s="71">
        <f>'Nav Deck'!L16</f>
        <v>1294</v>
      </c>
      <c r="S19" s="71"/>
      <c r="U19" t="str">
        <f t="shared" si="2"/>
        <v>H (01-E)</v>
      </c>
      <c r="V19" s="71">
        <f t="shared" si="2"/>
        <v>1294</v>
      </c>
    </row>
    <row r="20" spans="2:22" x14ac:dyDescent="0.3">
      <c r="V20" s="71"/>
    </row>
    <row r="21" spans="2:22" x14ac:dyDescent="0.3">
      <c r="B21" t="s">
        <v>168</v>
      </c>
      <c r="C21">
        <f>0.6233+1.15+1.78</f>
        <v>3.5533000000000001</v>
      </c>
      <c r="D21" t="s">
        <v>94</v>
      </c>
      <c r="P21" t="s">
        <v>93</v>
      </c>
    </row>
    <row r="22" spans="2:22" x14ac:dyDescent="0.3">
      <c r="C22">
        <f>C21*AF6+(2*10)</f>
        <v>31.654823999999998</v>
      </c>
      <c r="D22" t="s">
        <v>88</v>
      </c>
      <c r="P22" t="s">
        <v>170</v>
      </c>
      <c r="Q22">
        <f>0.6233+1.15+0.62</f>
        <v>2.3933</v>
      </c>
      <c r="R22" t="s">
        <v>94</v>
      </c>
    </row>
    <row r="23" spans="2:22" x14ac:dyDescent="0.3">
      <c r="Q23">
        <f>Q22*AF6+(2*6)</f>
        <v>19.850023999999998</v>
      </c>
      <c r="R23" t="s">
        <v>88</v>
      </c>
    </row>
    <row r="24" spans="2:22" x14ac:dyDescent="0.3">
      <c r="P24" t="s">
        <v>171</v>
      </c>
      <c r="Q24">
        <f>0.6233+1.15+0.62+2.4</f>
        <v>4.7933000000000003</v>
      </c>
      <c r="R24" t="s">
        <v>94</v>
      </c>
    </row>
    <row r="25" spans="2:22" x14ac:dyDescent="0.3">
      <c r="Q25">
        <f>Q24*AF6+(2*6)</f>
        <v>27.722023999999998</v>
      </c>
      <c r="R25" t="s">
        <v>88</v>
      </c>
    </row>
    <row r="26" spans="2:22" x14ac:dyDescent="0.3">
      <c r="P26" t="s">
        <v>172</v>
      </c>
      <c r="Q26">
        <f>0.6233+1.15+0.62+2.4+2.4</f>
        <v>7.1933000000000007</v>
      </c>
      <c r="R26" t="s">
        <v>94</v>
      </c>
    </row>
    <row r="27" spans="2:22" x14ac:dyDescent="0.3">
      <c r="Q27">
        <f>Q26*AF6+(2*6)</f>
        <v>35.594024000000005</v>
      </c>
      <c r="R27" t="s">
        <v>88</v>
      </c>
    </row>
    <row r="28" spans="2:22" x14ac:dyDescent="0.3">
      <c r="P28" t="s">
        <v>173</v>
      </c>
      <c r="Q28">
        <f>0.6233+1.15+0.62+2.4+2.4+2.4</f>
        <v>9.593300000000001</v>
      </c>
      <c r="R28" t="s">
        <v>94</v>
      </c>
    </row>
    <row r="29" spans="2:22" x14ac:dyDescent="0.3">
      <c r="Q29">
        <f>Q28*AF6+(2*10)</f>
        <v>51.466024000000004</v>
      </c>
      <c r="R29" t="s">
        <v>88</v>
      </c>
    </row>
    <row r="49" spans="16:25" x14ac:dyDescent="0.3">
      <c r="P49" s="88" t="s">
        <v>191</v>
      </c>
      <c r="Q49" s="88"/>
      <c r="R49" s="88"/>
      <c r="S49" s="88"/>
      <c r="U49" s="69" t="s">
        <v>198</v>
      </c>
      <c r="X49" s="69" t="s">
        <v>196</v>
      </c>
    </row>
    <row r="50" spans="16:25" x14ac:dyDescent="0.3">
      <c r="P50" s="88" t="s">
        <v>192</v>
      </c>
      <c r="Q50" s="88" t="s">
        <v>193</v>
      </c>
      <c r="R50" s="88" t="s">
        <v>194</v>
      </c>
      <c r="S50" s="88" t="s">
        <v>195</v>
      </c>
      <c r="U50" s="88" t="s">
        <v>192</v>
      </c>
      <c r="V50" s="88" t="s">
        <v>197</v>
      </c>
      <c r="X50" s="88" t="s">
        <v>192</v>
      </c>
      <c r="Y50" s="88" t="s">
        <v>197</v>
      </c>
    </row>
    <row r="51" spans="16:25" x14ac:dyDescent="0.3">
      <c r="P51" s="89">
        <v>10</v>
      </c>
      <c r="Q51" s="90">
        <f>D7+R10</f>
        <v>83.120847999999995</v>
      </c>
      <c r="R51" s="88">
        <f>Q51/$AF$6</f>
        <v>25.341721951219512</v>
      </c>
      <c r="S51" s="88">
        <v>25.5</v>
      </c>
      <c r="U51">
        <v>10</v>
      </c>
      <c r="V51">
        <v>2</v>
      </c>
      <c r="X51">
        <v>10</v>
      </c>
      <c r="Y51">
        <v>4</v>
      </c>
    </row>
    <row r="52" spans="16:25" x14ac:dyDescent="0.3">
      <c r="P52" s="89">
        <v>8</v>
      </c>
      <c r="Q52" s="90">
        <f>R7+R8+R9</f>
        <v>83.166072</v>
      </c>
      <c r="R52" s="88">
        <f>Q52/$AF$6</f>
        <v>25.355509756097561</v>
      </c>
      <c r="S52" s="88">
        <v>25.5</v>
      </c>
      <c r="U52">
        <v>8</v>
      </c>
      <c r="V52">
        <v>3</v>
      </c>
      <c r="X52">
        <v>8</v>
      </c>
      <c r="Y52">
        <v>6</v>
      </c>
    </row>
  </sheetData>
  <mergeCells count="22">
    <mergeCell ref="X3:Y3"/>
    <mergeCell ref="Z3:Z4"/>
    <mergeCell ref="AA3:AA4"/>
    <mergeCell ref="AB3:AB4"/>
    <mergeCell ref="Q3:Q4"/>
    <mergeCell ref="R3:R4"/>
    <mergeCell ref="S3:T3"/>
    <mergeCell ref="U3:U4"/>
    <mergeCell ref="V3:V4"/>
    <mergeCell ref="W3:W4"/>
    <mergeCell ref="P3:P4"/>
    <mergeCell ref="B3:B4"/>
    <mergeCell ref="C3:C4"/>
    <mergeCell ref="D3:D4"/>
    <mergeCell ref="E3:F3"/>
    <mergeCell ref="G3:G4"/>
    <mergeCell ref="H3:H4"/>
    <mergeCell ref="I3:I4"/>
    <mergeCell ref="J3:K3"/>
    <mergeCell ref="L3:L4"/>
    <mergeCell ref="M3:M4"/>
    <mergeCell ref="N3:N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8261-5326-4BAA-B3EB-082C9A68A45C}">
  <dimension ref="A1:AP223"/>
  <sheetViews>
    <sheetView tabSelected="1" topLeftCell="C191" zoomScale="82" zoomScaleNormal="140" workbookViewId="0">
      <selection activeCell="L203" sqref="L203"/>
    </sheetView>
  </sheetViews>
  <sheetFormatPr defaultRowHeight="14.4" x14ac:dyDescent="0.3"/>
  <cols>
    <col min="1" max="1" width="2.88671875" bestFit="1" customWidth="1"/>
    <col min="2" max="3" width="9" bestFit="1" customWidth="1"/>
    <col min="4" max="4" width="16.77734375" bestFit="1" customWidth="1"/>
    <col min="8" max="8" width="15.21875" bestFit="1" customWidth="1"/>
    <col min="9" max="9" width="17.21875" bestFit="1" customWidth="1"/>
    <col min="10" max="10" width="16.44140625" bestFit="1" customWidth="1"/>
    <col min="11" max="11" width="2.5546875" bestFit="1" customWidth="1"/>
    <col min="12" max="12" width="15.77734375" bestFit="1" customWidth="1"/>
    <col min="13" max="13" width="9" bestFit="1" customWidth="1"/>
    <col min="14" max="14" width="9.109375" bestFit="1" customWidth="1"/>
    <col min="15" max="15" width="16.88671875" bestFit="1" customWidth="1"/>
    <col min="16" max="16" width="16.21875" bestFit="1" customWidth="1"/>
    <col min="17" max="17" width="9" bestFit="1" customWidth="1"/>
    <col min="18" max="18" width="9.109375" bestFit="1" customWidth="1"/>
    <col min="19" max="20" width="15.77734375" bestFit="1" customWidth="1"/>
    <col min="21" max="21" width="15.21875" bestFit="1" customWidth="1"/>
    <col min="23" max="23" width="2.5546875" bestFit="1" customWidth="1"/>
    <col min="26" max="26" width="15.88671875" bestFit="1" customWidth="1"/>
    <col min="31" max="31" width="15.21875" bestFit="1" customWidth="1"/>
    <col min="34" max="34" width="19.109375" bestFit="1" customWidth="1"/>
    <col min="37" max="37" width="15.21875" bestFit="1" customWidth="1"/>
    <col min="41" max="41" width="15.21875" bestFit="1" customWidth="1"/>
  </cols>
  <sheetData>
    <row r="1" spans="1:42" x14ac:dyDescent="0.3">
      <c r="A1" s="184" t="s">
        <v>202</v>
      </c>
      <c r="B1" s="184"/>
      <c r="C1" s="184"/>
      <c r="D1" s="184"/>
    </row>
    <row r="2" spans="1:42" x14ac:dyDescent="0.3">
      <c r="A2" s="74"/>
      <c r="B2" s="74"/>
      <c r="C2" s="74"/>
      <c r="D2" s="74"/>
    </row>
    <row r="3" spans="1:42" x14ac:dyDescent="0.3">
      <c r="B3" s="186" t="s">
        <v>203</v>
      </c>
      <c r="C3" s="186"/>
      <c r="D3" s="186"/>
      <c r="X3" s="186" t="s">
        <v>226</v>
      </c>
      <c r="Y3" s="186"/>
      <c r="Z3" s="186"/>
      <c r="AI3" s="186" t="s">
        <v>235</v>
      </c>
      <c r="AJ3" s="186"/>
      <c r="AK3" s="186"/>
    </row>
    <row r="4" spans="1:42" x14ac:dyDescent="0.3">
      <c r="B4" s="1" t="s">
        <v>201</v>
      </c>
      <c r="C4" s="1" t="s">
        <v>194</v>
      </c>
      <c r="D4" s="1" t="s">
        <v>248</v>
      </c>
      <c r="L4" t="s">
        <v>216</v>
      </c>
      <c r="M4" t="s">
        <v>217</v>
      </c>
      <c r="X4" s="1" t="s">
        <v>192</v>
      </c>
      <c r="Y4" s="1" t="s">
        <v>227</v>
      </c>
      <c r="Z4" s="1" t="s">
        <v>248</v>
      </c>
      <c r="AI4" s="1" t="s">
        <v>192</v>
      </c>
      <c r="AJ4" s="1" t="s">
        <v>227</v>
      </c>
      <c r="AK4" s="1" t="s">
        <v>248</v>
      </c>
    </row>
    <row r="5" spans="1:42" x14ac:dyDescent="0.3">
      <c r="B5" s="1">
        <v>10</v>
      </c>
      <c r="C5" s="1">
        <f>'Main Header 24 Jam Type 2'!S51</f>
        <v>25.5</v>
      </c>
      <c r="D5" s="97">
        <f>I18</f>
        <v>5312500</v>
      </c>
      <c r="R5" s="74" t="s">
        <v>143</v>
      </c>
      <c r="S5" s="93">
        <v>396000</v>
      </c>
      <c r="T5" t="s">
        <v>206</v>
      </c>
      <c r="X5" s="1">
        <v>10</v>
      </c>
      <c r="Y5" s="1">
        <f>'Main Header 24 Jam Type 2'!Y51</f>
        <v>4</v>
      </c>
      <c r="Z5" s="97">
        <f>AE14</f>
        <v>976000</v>
      </c>
      <c r="AI5" s="1">
        <v>10</v>
      </c>
      <c r="AJ5" s="1">
        <f>'Main Header 24 Jam Type 2'!V51</f>
        <v>2</v>
      </c>
      <c r="AK5" s="97">
        <f>AO17</f>
        <v>550000</v>
      </c>
    </row>
    <row r="6" spans="1:42" x14ac:dyDescent="0.3">
      <c r="B6" s="1">
        <v>8</v>
      </c>
      <c r="C6" s="1">
        <f>'Main Deck'!L49+'Poop Deck '!Q29+'Nav Deck'!Q24+'Main Header 24 Jam Type 2'!S52</f>
        <v>48</v>
      </c>
      <c r="D6" s="97">
        <f>I29</f>
        <v>8400000</v>
      </c>
      <c r="R6" s="74" t="s">
        <v>143</v>
      </c>
      <c r="S6" s="93">
        <f>S5/1.2</f>
        <v>330000</v>
      </c>
      <c r="T6" t="s">
        <v>207</v>
      </c>
      <c r="X6" s="1">
        <v>8</v>
      </c>
      <c r="Y6" s="1">
        <f>'Main Deck'!O49+'Poop Deck '!T29+'Main Header 24 Jam Type 2'!Y52</f>
        <v>9</v>
      </c>
      <c r="Z6" s="102">
        <f>AE25</f>
        <v>1854000</v>
      </c>
      <c r="AI6" s="1">
        <v>8</v>
      </c>
      <c r="AJ6" s="1">
        <f>'Main Deck'!Q49+'Main Header 24 Jam Type 2'!V52</f>
        <v>4</v>
      </c>
      <c r="AK6" s="97">
        <f>AO28</f>
        <v>856000</v>
      </c>
    </row>
    <row r="7" spans="1:42" x14ac:dyDescent="0.3">
      <c r="B7" s="1">
        <v>6</v>
      </c>
      <c r="C7" s="1">
        <f>'Poop Deck '!Q30+'Boat Deck '!Q24+'Bridge Deck'!Q25</f>
        <v>39.5</v>
      </c>
      <c r="D7" s="97">
        <f>I40</f>
        <v>6586625</v>
      </c>
      <c r="R7" s="74" t="s">
        <v>143</v>
      </c>
      <c r="S7" s="93">
        <f>S6*C9</f>
        <v>6105000</v>
      </c>
      <c r="T7" t="s">
        <v>208</v>
      </c>
      <c r="X7" s="1">
        <v>6</v>
      </c>
      <c r="Y7" s="1">
        <f>'Poop Deck '!T30+'Boat Deck '!T24+'Bridge Deck'!T25</f>
        <v>4</v>
      </c>
      <c r="Z7" s="97">
        <f>AE36</f>
        <v>548000</v>
      </c>
      <c r="AI7" s="1">
        <v>5</v>
      </c>
      <c r="AJ7" s="1">
        <f>'Nav Deck'!T24</f>
        <v>3</v>
      </c>
      <c r="AK7" s="97">
        <f>AO39</f>
        <v>465000</v>
      </c>
    </row>
    <row r="8" spans="1:42" x14ac:dyDescent="0.3">
      <c r="B8" s="1">
        <v>5</v>
      </c>
      <c r="C8" s="1">
        <f>'Main Deck'!L50+'Poop Deck '!Q31+'Bridge Deck'!Q26+'Nav Deck'!Q25</f>
        <v>32.5</v>
      </c>
      <c r="D8" s="97">
        <f>I52</f>
        <v>3872916.666666667</v>
      </c>
      <c r="X8" s="1">
        <v>5</v>
      </c>
      <c r="Y8" s="1">
        <f>'Bridge Deck'!T26</f>
        <v>1</v>
      </c>
      <c r="Z8" s="97">
        <f>AE48</f>
        <v>137000</v>
      </c>
      <c r="AJ8" t="s">
        <v>74</v>
      </c>
      <c r="AK8" s="101">
        <f>SUM(AK5:AK7)</f>
        <v>1871000</v>
      </c>
    </row>
    <row r="9" spans="1:42" x14ac:dyDescent="0.3">
      <c r="B9" s="1">
        <v>4</v>
      </c>
      <c r="C9" s="1">
        <f>'Main Deck'!K51+'Poop Deck '!Q32+'Bridge Deck'!Q27</f>
        <v>18.5</v>
      </c>
      <c r="D9" s="97">
        <f>S7</f>
        <v>6105000</v>
      </c>
      <c r="X9" s="74"/>
      <c r="Y9" t="s">
        <v>74</v>
      </c>
      <c r="Z9" s="101">
        <f>SUM(Z5:Z8)</f>
        <v>3515000</v>
      </c>
    </row>
    <row r="10" spans="1:42" x14ac:dyDescent="0.3">
      <c r="B10" s="1">
        <v>3</v>
      </c>
      <c r="C10" s="1">
        <f>'Main Deck'!L52+'Poop Deck '!Q33+'Boat Deck '!Q25+'Bridge Deck'!Q28</f>
        <v>12</v>
      </c>
      <c r="D10" s="97">
        <f>S18</f>
        <v>1800000</v>
      </c>
    </row>
    <row r="11" spans="1:42" x14ac:dyDescent="0.3">
      <c r="B11" s="87">
        <v>2.5</v>
      </c>
      <c r="C11" s="1">
        <f>'Main Deck'!L53+'Poop Deck '!Q34+'Boat Deck '!Q26+'Bridge Deck'!Q29</f>
        <v>16</v>
      </c>
      <c r="D11" s="97">
        <f>S18</f>
        <v>1800000</v>
      </c>
    </row>
    <row r="12" spans="1:42" x14ac:dyDescent="0.3">
      <c r="B12" s="1">
        <v>2</v>
      </c>
      <c r="C12" s="1">
        <f>'Poop Deck '!Q35</f>
        <v>2</v>
      </c>
      <c r="D12" s="97">
        <f>S29</f>
        <v>1587200</v>
      </c>
      <c r="W12" t="s">
        <v>228</v>
      </c>
      <c r="X12" t="s">
        <v>229</v>
      </c>
    </row>
    <row r="13" spans="1:42" x14ac:dyDescent="0.3">
      <c r="C13" t="s">
        <v>74</v>
      </c>
      <c r="D13" s="101">
        <f>SUM(D5:D12)</f>
        <v>35464241.666666672</v>
      </c>
      <c r="AD13" s="74" t="s">
        <v>143</v>
      </c>
      <c r="AE13" s="93">
        <v>244000</v>
      </c>
      <c r="AF13" t="s">
        <v>230</v>
      </c>
    </row>
    <row r="14" spans="1:42" x14ac:dyDescent="0.3">
      <c r="AD14" s="74" t="s">
        <v>143</v>
      </c>
      <c r="AE14" s="93">
        <f>AE13*Y5</f>
        <v>976000</v>
      </c>
      <c r="AF14" t="s">
        <v>208</v>
      </c>
    </row>
    <row r="15" spans="1:42" x14ac:dyDescent="0.3">
      <c r="A15" t="s">
        <v>204</v>
      </c>
      <c r="B15" t="s">
        <v>205</v>
      </c>
      <c r="L15" t="s">
        <v>218</v>
      </c>
      <c r="M15" t="s">
        <v>219</v>
      </c>
      <c r="AH15" t="s">
        <v>228</v>
      </c>
      <c r="AI15" t="s">
        <v>236</v>
      </c>
    </row>
    <row r="16" spans="1:42" x14ac:dyDescent="0.3">
      <c r="H16" s="74" t="s">
        <v>143</v>
      </c>
      <c r="I16" s="93">
        <v>250000</v>
      </c>
      <c r="J16" t="s">
        <v>206</v>
      </c>
      <c r="R16" s="74" t="s">
        <v>143</v>
      </c>
      <c r="S16" s="93">
        <v>900000</v>
      </c>
      <c r="T16" t="s">
        <v>220</v>
      </c>
      <c r="AN16" s="74" t="s">
        <v>143</v>
      </c>
      <c r="AO16" s="93">
        <v>275000</v>
      </c>
      <c r="AP16" t="s">
        <v>230</v>
      </c>
    </row>
    <row r="17" spans="1:42" x14ac:dyDescent="0.3">
      <c r="H17" s="74" t="s">
        <v>143</v>
      </c>
      <c r="I17" s="93">
        <f>I16/1.2</f>
        <v>208333.33333333334</v>
      </c>
      <c r="J17" t="s">
        <v>207</v>
      </c>
      <c r="R17" s="74" t="s">
        <v>143</v>
      </c>
      <c r="S17" s="93">
        <f>S16/6</f>
        <v>150000</v>
      </c>
      <c r="T17" t="s">
        <v>207</v>
      </c>
      <c r="AN17" s="74" t="s">
        <v>143</v>
      </c>
      <c r="AO17" s="93">
        <f>AO16*AJ5</f>
        <v>550000</v>
      </c>
      <c r="AP17" t="s">
        <v>208</v>
      </c>
    </row>
    <row r="18" spans="1:42" x14ac:dyDescent="0.3">
      <c r="H18" s="74" t="s">
        <v>143</v>
      </c>
      <c r="I18" s="93">
        <f>I17*C5</f>
        <v>5312500</v>
      </c>
      <c r="J18" t="s">
        <v>208</v>
      </c>
      <c r="R18" s="74" t="s">
        <v>143</v>
      </c>
      <c r="S18" s="93">
        <f>S17*C10</f>
        <v>1800000</v>
      </c>
      <c r="T18" t="s">
        <v>208</v>
      </c>
    </row>
    <row r="23" spans="1:42" x14ac:dyDescent="0.3">
      <c r="W23" t="s">
        <v>231</v>
      </c>
      <c r="X23" t="s">
        <v>232</v>
      </c>
    </row>
    <row r="24" spans="1:42" x14ac:dyDescent="0.3">
      <c r="AD24" s="74" t="s">
        <v>143</v>
      </c>
      <c r="AE24" s="93">
        <v>206000</v>
      </c>
      <c r="AF24" t="s">
        <v>230</v>
      </c>
    </row>
    <row r="25" spans="1:42" x14ac:dyDescent="0.3">
      <c r="AD25" s="74" t="s">
        <v>143</v>
      </c>
      <c r="AE25" s="93">
        <f>AE24*Y6</f>
        <v>1854000</v>
      </c>
      <c r="AF25" t="s">
        <v>208</v>
      </c>
    </row>
    <row r="26" spans="1:42" x14ac:dyDescent="0.3">
      <c r="A26" t="s">
        <v>209</v>
      </c>
      <c r="B26" t="s">
        <v>210</v>
      </c>
      <c r="L26" t="s">
        <v>221</v>
      </c>
      <c r="M26" t="s">
        <v>222</v>
      </c>
      <c r="AH26" t="s">
        <v>231</v>
      </c>
      <c r="AI26" t="s">
        <v>237</v>
      </c>
    </row>
    <row r="27" spans="1:42" x14ac:dyDescent="0.3">
      <c r="H27" s="74" t="s">
        <v>143</v>
      </c>
      <c r="I27" s="93">
        <v>210000</v>
      </c>
      <c r="J27" t="s">
        <v>206</v>
      </c>
      <c r="R27" s="74" t="s">
        <v>143</v>
      </c>
      <c r="S27" s="93">
        <v>496000</v>
      </c>
      <c r="T27" t="s">
        <v>223</v>
      </c>
      <c r="AN27" s="74" t="s">
        <v>143</v>
      </c>
      <c r="AO27" s="93">
        <v>214000</v>
      </c>
      <c r="AP27" t="s">
        <v>230</v>
      </c>
    </row>
    <row r="28" spans="1:42" x14ac:dyDescent="0.3">
      <c r="H28" s="74" t="s">
        <v>143</v>
      </c>
      <c r="I28" s="93">
        <f>I27/1.2</f>
        <v>175000</v>
      </c>
      <c r="J28" t="s">
        <v>207</v>
      </c>
      <c r="R28" s="74" t="s">
        <v>143</v>
      </c>
      <c r="S28" s="93">
        <f>S27/5</f>
        <v>99200</v>
      </c>
      <c r="T28" t="s">
        <v>207</v>
      </c>
      <c r="AN28" s="74" t="s">
        <v>143</v>
      </c>
      <c r="AO28" s="93">
        <f>AO27*AJ6</f>
        <v>856000</v>
      </c>
      <c r="AP28" t="s">
        <v>208</v>
      </c>
    </row>
    <row r="29" spans="1:42" x14ac:dyDescent="0.3">
      <c r="H29" s="74" t="s">
        <v>143</v>
      </c>
      <c r="I29" s="93">
        <f>I28*C6</f>
        <v>8400000</v>
      </c>
      <c r="J29" t="s">
        <v>208</v>
      </c>
      <c r="R29" s="74" t="s">
        <v>143</v>
      </c>
      <c r="S29" s="93">
        <f>S28*C11</f>
        <v>1587200</v>
      </c>
      <c r="T29" t="s">
        <v>74</v>
      </c>
    </row>
    <row r="34" spans="1:42" x14ac:dyDescent="0.3">
      <c r="W34" t="s">
        <v>211</v>
      </c>
      <c r="X34" t="s">
        <v>233</v>
      </c>
    </row>
    <row r="35" spans="1:42" x14ac:dyDescent="0.3">
      <c r="AD35" s="74" t="s">
        <v>143</v>
      </c>
      <c r="AE35" s="93">
        <v>137000</v>
      </c>
      <c r="AF35" t="s">
        <v>230</v>
      </c>
    </row>
    <row r="36" spans="1:42" x14ac:dyDescent="0.3">
      <c r="AD36" s="74" t="s">
        <v>143</v>
      </c>
      <c r="AE36" s="93">
        <f>AE35*Y7</f>
        <v>548000</v>
      </c>
      <c r="AF36" t="s">
        <v>208</v>
      </c>
    </row>
    <row r="37" spans="1:42" x14ac:dyDescent="0.3">
      <c r="A37" t="s">
        <v>211</v>
      </c>
      <c r="B37" t="s">
        <v>212</v>
      </c>
      <c r="AH37" t="s">
        <v>211</v>
      </c>
      <c r="AI37" t="s">
        <v>238</v>
      </c>
    </row>
    <row r="38" spans="1:42" x14ac:dyDescent="0.3">
      <c r="H38" t="s">
        <v>143</v>
      </c>
      <c r="I38" s="93">
        <v>667000</v>
      </c>
      <c r="J38" t="s">
        <v>213</v>
      </c>
      <c r="L38" t="s">
        <v>224</v>
      </c>
      <c r="M38" t="s">
        <v>225</v>
      </c>
      <c r="AN38" s="74" t="s">
        <v>143</v>
      </c>
      <c r="AO38" s="93">
        <f>155000</f>
        <v>155000</v>
      </c>
      <c r="AP38" t="s">
        <v>230</v>
      </c>
    </row>
    <row r="39" spans="1:42" x14ac:dyDescent="0.3">
      <c r="H39" t="s">
        <v>143</v>
      </c>
      <c r="I39" s="93">
        <f>I38/4</f>
        <v>166750</v>
      </c>
      <c r="J39" t="s">
        <v>207</v>
      </c>
      <c r="R39" s="74" t="s">
        <v>143</v>
      </c>
      <c r="S39" s="93">
        <v>995000</v>
      </c>
      <c r="T39" t="s">
        <v>220</v>
      </c>
      <c r="AN39" s="74" t="s">
        <v>143</v>
      </c>
      <c r="AO39" s="93">
        <f>AO38*AJ7</f>
        <v>465000</v>
      </c>
      <c r="AP39" t="s">
        <v>208</v>
      </c>
    </row>
    <row r="40" spans="1:42" x14ac:dyDescent="0.3">
      <c r="H40" t="s">
        <v>143</v>
      </c>
      <c r="I40" s="93">
        <f>I39*C7</f>
        <v>6586625</v>
      </c>
      <c r="J40" t="s">
        <v>208</v>
      </c>
      <c r="R40" s="74" t="s">
        <v>143</v>
      </c>
      <c r="S40" s="93">
        <f>S39/6</f>
        <v>165833.33333333334</v>
      </c>
      <c r="T40" t="s">
        <v>207</v>
      </c>
    </row>
    <row r="41" spans="1:42" x14ac:dyDescent="0.3">
      <c r="R41" s="74" t="s">
        <v>143</v>
      </c>
      <c r="S41" s="93">
        <f>S40*C12</f>
        <v>331666.66666666669</v>
      </c>
      <c r="T41" t="s">
        <v>208</v>
      </c>
    </row>
    <row r="46" spans="1:42" x14ac:dyDescent="0.3">
      <c r="W46" t="s">
        <v>214</v>
      </c>
      <c r="X46" t="s">
        <v>234</v>
      </c>
      <c r="AO46" s="93"/>
    </row>
    <row r="47" spans="1:42" x14ac:dyDescent="0.3">
      <c r="AD47" t="s">
        <v>143</v>
      </c>
      <c r="AE47" s="93">
        <v>137000</v>
      </c>
      <c r="AF47" t="s">
        <v>230</v>
      </c>
    </row>
    <row r="48" spans="1:42" x14ac:dyDescent="0.3">
      <c r="AD48" t="s">
        <v>143</v>
      </c>
      <c r="AE48" s="93">
        <f>AE47*Y8</f>
        <v>137000</v>
      </c>
      <c r="AF48" t="s">
        <v>208</v>
      </c>
    </row>
    <row r="49" spans="1:31" x14ac:dyDescent="0.3">
      <c r="A49" t="s">
        <v>214</v>
      </c>
      <c r="B49" t="s">
        <v>215</v>
      </c>
    </row>
    <row r="50" spans="1:31" x14ac:dyDescent="0.3">
      <c r="H50" t="s">
        <v>143</v>
      </c>
      <c r="I50" s="93">
        <v>143000</v>
      </c>
      <c r="J50" t="s">
        <v>206</v>
      </c>
    </row>
    <row r="51" spans="1:31" x14ac:dyDescent="0.3">
      <c r="H51" t="s">
        <v>143</v>
      </c>
      <c r="I51" s="93">
        <f>I50/1.2</f>
        <v>119166.66666666667</v>
      </c>
      <c r="J51" t="s">
        <v>207</v>
      </c>
      <c r="N51" s="83" t="str">
        <f>B3</f>
        <v>DUCTING</v>
      </c>
      <c r="O51" s="83"/>
      <c r="P51" s="83"/>
      <c r="R51" s="83" t="str">
        <f>X3</f>
        <v>ELBOW</v>
      </c>
      <c r="S51" s="83"/>
      <c r="T51" s="83"/>
    </row>
    <row r="52" spans="1:31" x14ac:dyDescent="0.3">
      <c r="H52" t="s">
        <v>143</v>
      </c>
      <c r="I52" s="93">
        <f>I51*C8</f>
        <v>3872916.666666667</v>
      </c>
      <c r="J52" t="s">
        <v>208</v>
      </c>
      <c r="N52" s="1" t="str">
        <f>B4</f>
        <v>Ducting (inch)</v>
      </c>
      <c r="O52" s="1" t="str">
        <f>C4</f>
        <v>Panjang (m)</v>
      </c>
      <c r="P52" s="1" t="str">
        <f>D4</f>
        <v>Harga</v>
      </c>
      <c r="R52" s="1" t="str">
        <f>X4</f>
        <v>Ukuran (inch)</v>
      </c>
      <c r="S52" s="1" t="str">
        <f>Y4</f>
        <v>Junlah</v>
      </c>
      <c r="T52" s="1" t="str">
        <f>Z4</f>
        <v>Harga</v>
      </c>
    </row>
    <row r="53" spans="1:31" x14ac:dyDescent="0.3">
      <c r="N53" s="1">
        <f>B5</f>
        <v>10</v>
      </c>
      <c r="O53" s="1">
        <f>C5</f>
        <v>25.5</v>
      </c>
      <c r="P53" s="99">
        <f>D5</f>
        <v>5312500</v>
      </c>
      <c r="R53" s="1">
        <f>X5</f>
        <v>10</v>
      </c>
      <c r="S53" s="1">
        <f>Y5</f>
        <v>4</v>
      </c>
      <c r="T53" s="99">
        <f>Z5</f>
        <v>976000</v>
      </c>
    </row>
    <row r="54" spans="1:31" x14ac:dyDescent="0.3">
      <c r="N54" s="1">
        <f>B6</f>
        <v>8</v>
      </c>
      <c r="O54" s="1">
        <f>C6</f>
        <v>48</v>
      </c>
      <c r="P54" s="99">
        <f>D6</f>
        <v>8400000</v>
      </c>
      <c r="R54" s="1">
        <f>X6</f>
        <v>8</v>
      </c>
      <c r="S54" s="1">
        <f>Y6</f>
        <v>9</v>
      </c>
      <c r="T54" s="99">
        <f>Z6</f>
        <v>1854000</v>
      </c>
    </row>
    <row r="55" spans="1:31" x14ac:dyDescent="0.3">
      <c r="N55" s="1">
        <f>B7</f>
        <v>6</v>
      </c>
      <c r="O55" s="1">
        <f>C7</f>
        <v>39.5</v>
      </c>
      <c r="P55" s="99">
        <f>D7</f>
        <v>6586625</v>
      </c>
      <c r="R55" s="1">
        <f>X7</f>
        <v>6</v>
      </c>
      <c r="S55" s="1">
        <f>Y7</f>
        <v>4</v>
      </c>
      <c r="T55" s="99">
        <f>Z7</f>
        <v>548000</v>
      </c>
    </row>
    <row r="56" spans="1:31" x14ac:dyDescent="0.3">
      <c r="N56" s="1">
        <f>B8</f>
        <v>5</v>
      </c>
      <c r="O56" s="1">
        <f>C8</f>
        <v>32.5</v>
      </c>
      <c r="P56" s="99">
        <f>D8</f>
        <v>3872916.666666667</v>
      </c>
      <c r="R56" s="1">
        <f>X8</f>
        <v>5</v>
      </c>
      <c r="S56" s="1">
        <f>Y8</f>
        <v>1</v>
      </c>
      <c r="T56" s="99">
        <f>Z8</f>
        <v>137000</v>
      </c>
    </row>
    <row r="57" spans="1:31" x14ac:dyDescent="0.3">
      <c r="N57" s="1">
        <f>B9</f>
        <v>4</v>
      </c>
      <c r="O57" s="1">
        <f>C9</f>
        <v>18.5</v>
      </c>
      <c r="P57" s="99">
        <f>D9</f>
        <v>6105000</v>
      </c>
      <c r="S57" t="str">
        <f>Y9</f>
        <v>Total</v>
      </c>
      <c r="T57" s="98">
        <f>Z9</f>
        <v>3515000</v>
      </c>
    </row>
    <row r="58" spans="1:31" x14ac:dyDescent="0.3">
      <c r="N58" s="1">
        <f>B10</f>
        <v>3</v>
      </c>
      <c r="O58" s="1">
        <f>C10</f>
        <v>12</v>
      </c>
      <c r="P58" s="99">
        <f>D10</f>
        <v>1800000</v>
      </c>
    </row>
    <row r="59" spans="1:31" x14ac:dyDescent="0.3">
      <c r="I59" s="93"/>
      <c r="N59" s="1">
        <f>B11</f>
        <v>2.5</v>
      </c>
      <c r="O59" s="1">
        <f>C11</f>
        <v>16</v>
      </c>
      <c r="P59" s="99">
        <f>D11</f>
        <v>1800000</v>
      </c>
      <c r="R59" s="83" t="str">
        <f>AI3</f>
        <v>TEE</v>
      </c>
      <c r="S59" s="83"/>
      <c r="T59" s="83"/>
      <c r="AE59" s="93"/>
    </row>
    <row r="60" spans="1:31" x14ac:dyDescent="0.3">
      <c r="N60" s="1">
        <f>B12</f>
        <v>2</v>
      </c>
      <c r="O60" s="1">
        <f>C12</f>
        <v>2</v>
      </c>
      <c r="P60" s="99">
        <f>D12</f>
        <v>1587200</v>
      </c>
      <c r="R60" s="1" t="str">
        <f>AI4</f>
        <v>Ukuran (inch)</v>
      </c>
      <c r="S60" s="1" t="str">
        <f>AJ4</f>
        <v>Junlah</v>
      </c>
      <c r="T60" s="1" t="str">
        <f>AK4</f>
        <v>Harga</v>
      </c>
    </row>
    <row r="61" spans="1:31" x14ac:dyDescent="0.3">
      <c r="O61" t="str">
        <f>C13</f>
        <v>Total</v>
      </c>
      <c r="P61" s="98">
        <f>D13</f>
        <v>35464241.666666672</v>
      </c>
      <c r="R61" s="1">
        <f>AI5</f>
        <v>10</v>
      </c>
      <c r="S61" s="1">
        <f>AJ5</f>
        <v>2</v>
      </c>
      <c r="T61" s="99">
        <f>AK5</f>
        <v>550000</v>
      </c>
    </row>
    <row r="62" spans="1:31" x14ac:dyDescent="0.3">
      <c r="I62" s="93"/>
      <c r="R62" s="1">
        <f>AI6</f>
        <v>8</v>
      </c>
      <c r="S62" s="1">
        <f>AJ6</f>
        <v>4</v>
      </c>
      <c r="T62" s="99">
        <f>AK6</f>
        <v>856000</v>
      </c>
    </row>
    <row r="63" spans="1:31" x14ac:dyDescent="0.3">
      <c r="N63" t="s">
        <v>249</v>
      </c>
      <c r="P63" s="93">
        <f>P61+T57+T64</f>
        <v>40850241.666666672</v>
      </c>
      <c r="R63" s="1">
        <f>AI7</f>
        <v>5</v>
      </c>
      <c r="S63" s="1">
        <f>AJ7</f>
        <v>3</v>
      </c>
      <c r="T63" s="99">
        <f>AK7</f>
        <v>465000</v>
      </c>
    </row>
    <row r="64" spans="1:31" x14ac:dyDescent="0.3">
      <c r="S64" t="str">
        <f>AJ8</f>
        <v>Total</v>
      </c>
      <c r="T64" s="98">
        <f>AK8</f>
        <v>1871000</v>
      </c>
    </row>
    <row r="78" spans="2:4" x14ac:dyDescent="0.3">
      <c r="B78" s="192" t="s">
        <v>239</v>
      </c>
      <c r="C78" s="193"/>
      <c r="D78" s="194"/>
    </row>
    <row r="79" spans="2:4" x14ac:dyDescent="0.3">
      <c r="B79" s="1" t="s">
        <v>192</v>
      </c>
      <c r="C79" s="1" t="s">
        <v>240</v>
      </c>
      <c r="D79" s="1" t="s">
        <v>248</v>
      </c>
    </row>
    <row r="80" spans="2:4" x14ac:dyDescent="0.3">
      <c r="B80" s="1">
        <v>10</v>
      </c>
      <c r="C80" s="1">
        <f t="shared" ref="C80:C87" si="0">C5</f>
        <v>25.5</v>
      </c>
      <c r="D80" s="100">
        <f>J95</f>
        <v>8990720.6400000006</v>
      </c>
    </row>
    <row r="81" spans="1:11" x14ac:dyDescent="0.3">
      <c r="B81" s="1">
        <v>8</v>
      </c>
      <c r="C81" s="1">
        <f t="shared" si="0"/>
        <v>48</v>
      </c>
      <c r="D81" s="100">
        <f>J123</f>
        <v>15032613.120000001</v>
      </c>
    </row>
    <row r="82" spans="1:11" x14ac:dyDescent="0.3">
      <c r="B82" s="1">
        <v>6</v>
      </c>
      <c r="C82" s="1">
        <f t="shared" si="0"/>
        <v>39.5</v>
      </c>
      <c r="D82" s="100">
        <f>J140</f>
        <v>10333001.710000001</v>
      </c>
    </row>
    <row r="83" spans="1:11" x14ac:dyDescent="0.3">
      <c r="B83" s="1">
        <v>5</v>
      </c>
      <c r="C83" s="1">
        <f t="shared" si="0"/>
        <v>32.5</v>
      </c>
      <c r="D83" s="100">
        <f>J156</f>
        <v>8089495.0499999998</v>
      </c>
    </row>
    <row r="84" spans="1:11" x14ac:dyDescent="0.3">
      <c r="B84" s="1">
        <v>4</v>
      </c>
      <c r="C84" s="1">
        <f t="shared" si="0"/>
        <v>18.5</v>
      </c>
      <c r="D84" s="100">
        <f>J172</f>
        <v>4141530.99</v>
      </c>
    </row>
    <row r="85" spans="1:11" x14ac:dyDescent="0.3">
      <c r="B85" s="1">
        <v>3</v>
      </c>
      <c r="C85" s="1">
        <f t="shared" si="0"/>
        <v>12</v>
      </c>
      <c r="D85" s="100">
        <f>J187</f>
        <v>2478057.36</v>
      </c>
    </row>
    <row r="86" spans="1:11" x14ac:dyDescent="0.3">
      <c r="B86" s="87">
        <v>2.5</v>
      </c>
      <c r="C86" s="1">
        <f t="shared" si="0"/>
        <v>16</v>
      </c>
      <c r="D86" s="100">
        <f>J203</f>
        <v>3058340.8</v>
      </c>
    </row>
    <row r="87" spans="1:11" x14ac:dyDescent="0.3">
      <c r="B87" s="1">
        <v>2</v>
      </c>
      <c r="C87" s="1">
        <f t="shared" si="0"/>
        <v>2</v>
      </c>
      <c r="D87" s="100">
        <f>J219</f>
        <v>382292.6</v>
      </c>
    </row>
    <row r="88" spans="1:11" x14ac:dyDescent="0.3">
      <c r="C88" t="s">
        <v>74</v>
      </c>
      <c r="D88" s="96">
        <f>SUM(D80:D87)</f>
        <v>52506052.269999996</v>
      </c>
    </row>
    <row r="89" spans="1:11" x14ac:dyDescent="0.3">
      <c r="A89" t="s">
        <v>228</v>
      </c>
      <c r="B89" t="s">
        <v>241</v>
      </c>
    </row>
    <row r="92" spans="1:11" x14ac:dyDescent="0.3">
      <c r="J92" t="s">
        <v>243</v>
      </c>
    </row>
    <row r="93" spans="1:11" x14ac:dyDescent="0.3">
      <c r="I93" s="74" t="s">
        <v>143</v>
      </c>
      <c r="J93" s="94">
        <v>21.12</v>
      </c>
      <c r="K93" t="s">
        <v>207</v>
      </c>
    </row>
    <row r="94" spans="1:11" x14ac:dyDescent="0.3">
      <c r="I94" s="74" t="s">
        <v>143</v>
      </c>
      <c r="J94" s="95">
        <f>J93*16694</f>
        <v>352577.28000000003</v>
      </c>
      <c r="K94" t="s">
        <v>207</v>
      </c>
    </row>
    <row r="95" spans="1:11" x14ac:dyDescent="0.3">
      <c r="I95" s="74" t="s">
        <v>143</v>
      </c>
      <c r="J95" s="96">
        <f>J94*C80</f>
        <v>8990720.6400000006</v>
      </c>
      <c r="K95" t="s">
        <v>208</v>
      </c>
    </row>
    <row r="119" spans="1:11" x14ac:dyDescent="0.3">
      <c r="A119" t="s">
        <v>231</v>
      </c>
      <c r="B119" t="s">
        <v>244</v>
      </c>
    </row>
    <row r="120" spans="1:11" x14ac:dyDescent="0.3">
      <c r="J120" t="s">
        <v>243</v>
      </c>
    </row>
    <row r="121" spans="1:11" x14ac:dyDescent="0.3">
      <c r="I121" s="74" t="s">
        <v>143</v>
      </c>
      <c r="J121" s="94">
        <v>18.760000000000002</v>
      </c>
      <c r="K121" t="s">
        <v>207</v>
      </c>
    </row>
    <row r="122" spans="1:11" x14ac:dyDescent="0.3">
      <c r="I122" s="74" t="s">
        <v>143</v>
      </c>
      <c r="J122" s="95">
        <f>J121*16694</f>
        <v>313179.44</v>
      </c>
      <c r="K122" t="s">
        <v>207</v>
      </c>
    </row>
    <row r="123" spans="1:11" x14ac:dyDescent="0.3">
      <c r="I123" s="74" t="s">
        <v>143</v>
      </c>
      <c r="J123" s="96">
        <f>J122*C81</f>
        <v>15032613.120000001</v>
      </c>
      <c r="K123" t="s">
        <v>208</v>
      </c>
    </row>
    <row r="135" spans="1:35" x14ac:dyDescent="0.3">
      <c r="AH135" t="s">
        <v>242</v>
      </c>
    </row>
    <row r="136" spans="1:35" x14ac:dyDescent="0.3">
      <c r="A136" t="s">
        <v>211</v>
      </c>
      <c r="B136" t="s">
        <v>245</v>
      </c>
      <c r="AG136" s="74" t="s">
        <v>143</v>
      </c>
      <c r="AH136" s="94">
        <v>84.16</v>
      </c>
      <c r="AI136" t="s">
        <v>207</v>
      </c>
    </row>
    <row r="137" spans="1:35" x14ac:dyDescent="0.3">
      <c r="J137" t="s">
        <v>243</v>
      </c>
      <c r="AG137" s="74" t="s">
        <v>143</v>
      </c>
      <c r="AH137" s="95">
        <f>AH136*16694</f>
        <v>1404967.04</v>
      </c>
      <c r="AI137" t="s">
        <v>207</v>
      </c>
    </row>
    <row r="138" spans="1:35" x14ac:dyDescent="0.3">
      <c r="I138" s="74" t="s">
        <v>143</v>
      </c>
      <c r="J138" s="94">
        <v>15.67</v>
      </c>
      <c r="K138" t="s">
        <v>207</v>
      </c>
      <c r="AG138" s="74" t="s">
        <v>143</v>
      </c>
      <c r="AH138" s="96">
        <f>AH137*C80</f>
        <v>35826659.520000003</v>
      </c>
      <c r="AI138" t="s">
        <v>208</v>
      </c>
    </row>
    <row r="139" spans="1:35" x14ac:dyDescent="0.3">
      <c r="I139" s="74" t="s">
        <v>143</v>
      </c>
      <c r="J139" s="95">
        <f>J138*16694</f>
        <v>261594.98</v>
      </c>
      <c r="K139" t="s">
        <v>207</v>
      </c>
    </row>
    <row r="140" spans="1:35" x14ac:dyDescent="0.3">
      <c r="I140" s="74" t="s">
        <v>143</v>
      </c>
      <c r="J140" s="96">
        <f>J139*C82</f>
        <v>10333001.710000001</v>
      </c>
      <c r="K140" t="s">
        <v>208</v>
      </c>
    </row>
    <row r="152" spans="1:12" x14ac:dyDescent="0.3">
      <c r="A152" t="s">
        <v>214</v>
      </c>
      <c r="B152" t="s">
        <v>246</v>
      </c>
    </row>
    <row r="153" spans="1:12" x14ac:dyDescent="0.3">
      <c r="J153" t="s">
        <v>243</v>
      </c>
    </row>
    <row r="154" spans="1:12" x14ac:dyDescent="0.3">
      <c r="I154" s="74" t="s">
        <v>143</v>
      </c>
      <c r="J154" s="94">
        <v>14.91</v>
      </c>
      <c r="K154" t="s">
        <v>207</v>
      </c>
    </row>
    <row r="155" spans="1:12" x14ac:dyDescent="0.3">
      <c r="I155" s="74" t="s">
        <v>143</v>
      </c>
      <c r="J155" s="95">
        <f>J154*16694</f>
        <v>248907.54</v>
      </c>
      <c r="K155" t="s">
        <v>207</v>
      </c>
    </row>
    <row r="156" spans="1:12" x14ac:dyDescent="0.3">
      <c r="I156" s="74" t="s">
        <v>143</v>
      </c>
      <c r="J156" s="96">
        <f>J155*C83</f>
        <v>8089495.0499999998</v>
      </c>
      <c r="K156" t="s">
        <v>208</v>
      </c>
    </row>
    <row r="159" spans="1:12" x14ac:dyDescent="0.3">
      <c r="L159" s="96"/>
    </row>
    <row r="168" spans="1:11" x14ac:dyDescent="0.3">
      <c r="A168" t="s">
        <v>216</v>
      </c>
      <c r="B168" t="s">
        <v>247</v>
      </c>
    </row>
    <row r="169" spans="1:11" x14ac:dyDescent="0.3">
      <c r="J169" t="s">
        <v>243</v>
      </c>
    </row>
    <row r="170" spans="1:11" x14ac:dyDescent="0.3">
      <c r="I170" s="74" t="s">
        <v>143</v>
      </c>
      <c r="J170" s="94">
        <v>13.41</v>
      </c>
      <c r="K170" t="s">
        <v>207</v>
      </c>
    </row>
    <row r="171" spans="1:11" x14ac:dyDescent="0.3">
      <c r="I171" s="74" t="s">
        <v>143</v>
      </c>
      <c r="J171" s="95">
        <f>J170*16694</f>
        <v>223866.54</v>
      </c>
      <c r="K171" t="s">
        <v>207</v>
      </c>
    </row>
    <row r="172" spans="1:11" x14ac:dyDescent="0.3">
      <c r="I172" s="74" t="s">
        <v>143</v>
      </c>
      <c r="J172" s="96">
        <f>J171*C84</f>
        <v>4141530.99</v>
      </c>
      <c r="K172" t="s">
        <v>208</v>
      </c>
    </row>
    <row r="183" spans="1:11" x14ac:dyDescent="0.3">
      <c r="A183" t="s">
        <v>218</v>
      </c>
      <c r="B183" t="s">
        <v>250</v>
      </c>
    </row>
    <row r="184" spans="1:11" x14ac:dyDescent="0.3">
      <c r="J184" t="s">
        <v>243</v>
      </c>
    </row>
    <row r="185" spans="1:11" x14ac:dyDescent="0.3">
      <c r="I185" s="74" t="s">
        <v>143</v>
      </c>
      <c r="J185" s="94">
        <v>12.37</v>
      </c>
      <c r="K185" t="s">
        <v>207</v>
      </c>
    </row>
    <row r="186" spans="1:11" x14ac:dyDescent="0.3">
      <c r="I186" s="74" t="s">
        <v>143</v>
      </c>
      <c r="J186" s="95">
        <f>J185*16694</f>
        <v>206504.78</v>
      </c>
      <c r="K186" t="s">
        <v>207</v>
      </c>
    </row>
    <row r="187" spans="1:11" x14ac:dyDescent="0.3">
      <c r="I187" s="74" t="s">
        <v>143</v>
      </c>
      <c r="J187" s="96">
        <f>J186*C85</f>
        <v>2478057.36</v>
      </c>
      <c r="K187" t="s">
        <v>208</v>
      </c>
    </row>
    <row r="199" spans="1:11" x14ac:dyDescent="0.3">
      <c r="A199" t="s">
        <v>221</v>
      </c>
      <c r="B199" t="s">
        <v>251</v>
      </c>
    </row>
    <row r="200" spans="1:11" x14ac:dyDescent="0.3">
      <c r="J200" t="s">
        <v>243</v>
      </c>
    </row>
    <row r="201" spans="1:11" x14ac:dyDescent="0.3">
      <c r="I201" s="74" t="s">
        <v>143</v>
      </c>
      <c r="J201" s="94">
        <v>11.45</v>
      </c>
      <c r="K201" t="s">
        <v>207</v>
      </c>
    </row>
    <row r="202" spans="1:11" x14ac:dyDescent="0.3">
      <c r="I202" s="74" t="s">
        <v>143</v>
      </c>
      <c r="J202" s="95">
        <f>J201*16694</f>
        <v>191146.3</v>
      </c>
      <c r="K202" t="s">
        <v>207</v>
      </c>
    </row>
    <row r="203" spans="1:11" x14ac:dyDescent="0.3">
      <c r="I203" s="74" t="s">
        <v>143</v>
      </c>
      <c r="J203" s="96">
        <f>J202*C86</f>
        <v>3058340.8</v>
      </c>
      <c r="K203" t="s">
        <v>208</v>
      </c>
    </row>
    <row r="215" spans="1:11" x14ac:dyDescent="0.3">
      <c r="A215" t="s">
        <v>224</v>
      </c>
      <c r="B215" t="s">
        <v>252</v>
      </c>
    </row>
    <row r="216" spans="1:11" x14ac:dyDescent="0.3">
      <c r="J216" t="s">
        <v>243</v>
      </c>
    </row>
    <row r="217" spans="1:11" x14ac:dyDescent="0.3">
      <c r="I217" s="74" t="s">
        <v>143</v>
      </c>
      <c r="J217" s="94">
        <v>11.45</v>
      </c>
      <c r="K217" t="s">
        <v>207</v>
      </c>
    </row>
    <row r="218" spans="1:11" x14ac:dyDescent="0.3">
      <c r="I218" s="74" t="s">
        <v>143</v>
      </c>
      <c r="J218" s="95">
        <f>J217*16694</f>
        <v>191146.3</v>
      </c>
      <c r="K218" t="s">
        <v>207</v>
      </c>
    </row>
    <row r="219" spans="1:11" x14ac:dyDescent="0.3">
      <c r="I219" s="74" t="s">
        <v>143</v>
      </c>
      <c r="J219" s="96">
        <f>J218*C87</f>
        <v>382292.6</v>
      </c>
      <c r="K219" t="s">
        <v>208</v>
      </c>
    </row>
    <row r="223" spans="1:11" x14ac:dyDescent="0.3">
      <c r="J223" s="96"/>
      <c r="K223" s="96"/>
    </row>
  </sheetData>
  <mergeCells count="5">
    <mergeCell ref="A1:D1"/>
    <mergeCell ref="B3:D3"/>
    <mergeCell ref="X3:Z3"/>
    <mergeCell ref="AI3:AK3"/>
    <mergeCell ref="B78:D78"/>
  </mergeCells>
  <pageMargins left="0.70866141732283472" right="0.70866141732283472" top="0.74803149606299213" bottom="0.74803149606299213" header="0.31496062992125984" footer="0.31496062992125984"/>
  <pageSetup paperSize="9" scale="65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List of Room</vt:lpstr>
      <vt:lpstr>Summary</vt:lpstr>
      <vt:lpstr>Main Deck</vt:lpstr>
      <vt:lpstr>Poop Deck </vt:lpstr>
      <vt:lpstr>Boat Deck </vt:lpstr>
      <vt:lpstr>Bridge Deck</vt:lpstr>
      <vt:lpstr>Nav Deck</vt:lpstr>
      <vt:lpstr>Main Header 12 Jam</vt:lpstr>
      <vt:lpstr>Main Header 24 Jam</vt:lpstr>
      <vt:lpstr>Main Header 24 Jam Type 2</vt:lpstr>
      <vt:lpstr>Ducting &amp; Insulation</vt:lpstr>
      <vt:lpstr>'Ducting &amp; Insulation'!Print_Area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kusuma</dc:creator>
  <cp:lastModifiedBy>VIERI PRAMUDYA DIRGANTARA</cp:lastModifiedBy>
  <cp:lastPrinted>2026-01-05T03:05:20Z</cp:lastPrinted>
  <dcterms:created xsi:type="dcterms:W3CDTF">2024-04-30T09:34:03Z</dcterms:created>
  <dcterms:modified xsi:type="dcterms:W3CDTF">2026-01-05T03:24:40Z</dcterms:modified>
</cp:coreProperties>
</file>