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5 Gabillah\upload-github\ship-20k-dwt-137m-lpp-oil-product-tanker-main\HVAC\Calculation\"/>
    </mc:Choice>
  </mc:AlternateContent>
  <xr:revisionPtr revIDLastSave="0" documentId="13_ncr:1_{EB8664D0-D03B-4B08-9864-49E4F0C0C24C}" xr6:coauthVersionLast="47" xr6:coauthVersionMax="47" xr10:uidLastSave="{00000000-0000-0000-0000-000000000000}"/>
  <bookViews>
    <workbookView xWindow="-108" yWindow="-108" windowWidth="23256" windowHeight="12456" tabRatio="500" firstSheet="30" activeTab="30" xr2:uid="{00000000-000D-0000-FFFF-FFFF00000000}"/>
  </bookViews>
  <sheets>
    <sheet name="SUMMARY" sheetId="1" r:id="rId1"/>
    <sheet name="MAIN DK" sheetId="2" r:id="rId2"/>
    <sheet name="POOP DK" sheetId="3" r:id="rId3"/>
    <sheet name="A DK" sheetId="4" r:id="rId4"/>
    <sheet name="B DK" sheetId="5" r:id="rId5"/>
    <sheet name="C DK" sheetId="6" r:id="rId6"/>
    <sheet name="BRIDGE DK" sheetId="7" r:id="rId7"/>
    <sheet name="VEGETABLE STORE" sheetId="8" r:id="rId8"/>
    <sheet name="MEET FISH STORE" sheetId="9" r:id="rId9"/>
    <sheet name="DRY PROVISION STORE" sheetId="10" r:id="rId10"/>
    <sheet name="ENGINE CONTROL ROOM" sheetId="11" r:id="rId11"/>
    <sheet name="GALLEY" sheetId="12" r:id="rId12"/>
    <sheet name="CREW MESS" sheetId="13" r:id="rId13"/>
    <sheet name="OFFICE MESS" sheetId="14" r:id="rId14"/>
    <sheet name="SHIP OFFICE" sheetId="15" r:id="rId15"/>
    <sheet name="CARGO CONTROL ROOM" sheetId="16" r:id="rId16"/>
    <sheet name="DECK CHANGE ROOM" sheetId="17" r:id="rId17"/>
    <sheet name="STORE" sheetId="18" r:id="rId18"/>
    <sheet name="MOTORMAN 2 CABIN" sheetId="19" r:id="rId19"/>
    <sheet name="MOTORMAN 1 CABIN" sheetId="20" r:id="rId20"/>
    <sheet name="OS CABIN" sheetId="21" r:id="rId21"/>
    <sheet name="AB 2 CABIN" sheetId="22" r:id="rId22"/>
    <sheet name="AB 1 CABIN" sheetId="23" r:id="rId23"/>
    <sheet name="FITTER CABIN" sheetId="24" r:id="rId24"/>
    <sheet name="MESSMAN CABIN" sheetId="25" r:id="rId25"/>
    <sheet name="SUEZ CREW" sheetId="26" r:id="rId26"/>
    <sheet name="HOSPITAL" sheetId="27" r:id="rId27"/>
    <sheet name="HOSPITAL TOILET" sheetId="28" r:id="rId28"/>
    <sheet name="GYM ROOM" sheetId="29" r:id="rId29"/>
    <sheet name="BOSUN CABIN" sheetId="30" r:id="rId30"/>
    <sheet name="ELECTRICIANMAN CABIN" sheetId="31" r:id="rId31"/>
    <sheet name="3RD ENGINEER CABIN" sheetId="32" r:id="rId32"/>
    <sheet name="2ND ENGINEER CABIN" sheetId="33" r:id="rId33"/>
    <sheet name="OWNER CABIN" sheetId="34" r:id="rId34"/>
    <sheet name="BONDED STATION" sheetId="35" r:id="rId35"/>
    <sheet name="STORE B DECK" sheetId="36" r:id="rId36"/>
    <sheet name="2ND OFFICER CABIN" sheetId="37" r:id="rId37"/>
    <sheet name="3RD OFFICER CABIN" sheetId="38" r:id="rId38"/>
    <sheet name="PUMPMAN CABIN" sheetId="39" r:id="rId39"/>
    <sheet name="COOKMAN CABIN" sheetId="40" r:id="rId40"/>
    <sheet name="PILOT CABIN" sheetId="41" r:id="rId41"/>
    <sheet name="CHIEF OFFICER CABIN" sheetId="42" r:id="rId42"/>
    <sheet name="CHIEF OFFICER BEDROOM" sheetId="43" r:id="rId43"/>
    <sheet name="MASTER CABIN" sheetId="44" r:id="rId44"/>
    <sheet name="MASTER BEDROOM" sheetId="45" r:id="rId45"/>
    <sheet name="OFFICE" sheetId="46" r:id="rId46"/>
    <sheet name="INSTRUMENTATION ROOM" sheetId="47" r:id="rId47"/>
    <sheet name="1ST ENGINEER CABIN" sheetId="48" r:id="rId48"/>
    <sheet name="1ST ENGINEER BEDROOM" sheetId="49" r:id="rId49"/>
    <sheet name="CHIEF ENGINEER CABIN" sheetId="50" r:id="rId50"/>
    <sheet name="CHIEF ENGINEER BEDROOM" sheetId="51" r:id="rId51"/>
    <sheet name="WHEEL HOUSE" sheetId="52" r:id="rId52"/>
    <sheet name="DUCTING" sheetId="53" r:id="rId53"/>
    <sheet name="STATIC REGAIN" sheetId="54" r:id="rId54"/>
  </sheets>
  <definedNames>
    <definedName name="_xlnm.Print_Area" localSheetId="48">'1ST ENGINEER BEDROOM'!$A$1:$T$56</definedName>
    <definedName name="_xlnm.Print_Area" localSheetId="47">'1ST ENGINEER CABIN'!$A$1:$T$56</definedName>
    <definedName name="_xlnm.Print_Area" localSheetId="32">'2ND ENGINEER CABIN'!$A$1:$T$56</definedName>
    <definedName name="_xlnm.Print_Area" localSheetId="36">'2ND OFFICER CABIN'!$A$1:$T$56</definedName>
    <definedName name="_xlnm.Print_Area" localSheetId="31">'3RD ENGINEER CABIN'!$A$1:$T$56</definedName>
    <definedName name="_xlnm.Print_Area" localSheetId="37">'3RD OFFICER CABIN'!$A$1:$T$56</definedName>
    <definedName name="_xlnm.Print_Area" localSheetId="22">'AB 1 CABIN'!$A$1:$T$56</definedName>
    <definedName name="_xlnm.Print_Area" localSheetId="21">'AB 2 CABIN'!$A$1:$T$56</definedName>
    <definedName name="_xlnm.Print_Area" localSheetId="34">'BONDED STATION'!$A$1:$T$56</definedName>
    <definedName name="_xlnm.Print_Area" localSheetId="29">'BOSUN CABIN'!$A$1:$T$56</definedName>
    <definedName name="_xlnm.Print_Area" localSheetId="15">'CARGO CONTROL ROOM'!$A$1:$T$56</definedName>
    <definedName name="_xlnm.Print_Area" localSheetId="50">'CHIEF ENGINEER BEDROOM'!$A$1:$T$56</definedName>
    <definedName name="_xlnm.Print_Area" localSheetId="49">'CHIEF ENGINEER CABIN'!$A$1:$T$56</definedName>
    <definedName name="_xlnm.Print_Area" localSheetId="42">'CHIEF OFFICER BEDROOM'!$A$1:$T$56</definedName>
    <definedName name="_xlnm.Print_Area" localSheetId="41">'CHIEF OFFICER CABIN'!$A$1:$T$56</definedName>
    <definedName name="_xlnm.Print_Area" localSheetId="39">'COOKMAN CABIN'!$A$1:$T$56</definedName>
    <definedName name="_xlnm.Print_Area" localSheetId="12">'CREW MESS'!$A$1:$T$56</definedName>
    <definedName name="_xlnm.Print_Area" localSheetId="9">'DRY PROVISION STORE'!$A$1:$T$56</definedName>
    <definedName name="_xlnm.Print_Area" localSheetId="30">'ELECTRICIANMAN CABIN'!$A$1:$T$56</definedName>
    <definedName name="_xlnm.Print_Area" localSheetId="10">'ENGINE CONTROL ROOM'!$A$1:$T$56</definedName>
    <definedName name="_xlnm.Print_Area" localSheetId="23">'FITTER CABIN'!$A$1:$T$56</definedName>
    <definedName name="_xlnm.Print_Area" localSheetId="11">GALLEY!$A$1:$T$56</definedName>
    <definedName name="_xlnm.Print_Area" localSheetId="28">'GYM ROOM'!$A$1:$T$56</definedName>
    <definedName name="_xlnm.Print_Area" localSheetId="26">HOSPITAL!$A$1:$T$56</definedName>
    <definedName name="_xlnm.Print_Area" localSheetId="27">'HOSPITAL TOILET'!$A$1:$T$56</definedName>
    <definedName name="_xlnm.Print_Area" localSheetId="46">'INSTRUMENTATION ROOM'!$A$1:$T$54</definedName>
    <definedName name="_xlnm.Print_Area" localSheetId="44">'MASTER BEDROOM'!$A$1:$T$56</definedName>
    <definedName name="_xlnm.Print_Area" localSheetId="43">'MASTER CABIN'!$A$1:$T$56</definedName>
    <definedName name="_xlnm.Print_Area" localSheetId="8">'MEET FISH STORE'!$A$1:$T$56</definedName>
    <definedName name="_xlnm.Print_Area" localSheetId="24">'MESSMAN CABIN'!$A$1:$T$56</definedName>
    <definedName name="_xlnm.Print_Area" localSheetId="19">'MOTORMAN 1 CABIN'!$A$1:$T$56</definedName>
    <definedName name="_xlnm.Print_Area" localSheetId="18">'MOTORMAN 2 CABIN'!$A$1:$T$56</definedName>
    <definedName name="_xlnm.Print_Area" localSheetId="45">OFFICE!$A$1:$T$56</definedName>
    <definedName name="_xlnm.Print_Area" localSheetId="13">'OFFICE MESS'!$A$1:$T$56</definedName>
    <definedName name="_xlnm.Print_Area" localSheetId="20">'OS CABIN'!$A$1:$T$56</definedName>
    <definedName name="_xlnm.Print_Area" localSheetId="33">'OWNER CABIN'!$A$1:$T$56</definedName>
    <definedName name="_xlnm.Print_Area" localSheetId="40">'PILOT CABIN'!$A$1:$T$56</definedName>
    <definedName name="_xlnm.Print_Area" localSheetId="38">'PUMPMAN CABIN'!$A$1:$T$56</definedName>
    <definedName name="_xlnm.Print_Area" localSheetId="14">'SHIP OFFICE'!$A$1:$T$56</definedName>
    <definedName name="_xlnm.Print_Area" localSheetId="17">STORE!$A$1:$T$56</definedName>
    <definedName name="_xlnm.Print_Area" localSheetId="35">'STORE B DECK'!$A$1:$T$56</definedName>
    <definedName name="_xlnm.Print_Area" localSheetId="25">'SUEZ CREW'!$A$1:$T$56</definedName>
    <definedName name="_xlnm.Print_Area" localSheetId="7">'VEGETABLE STORE'!$A$1:$T$56</definedName>
    <definedName name="_xlnm.Print_Area" localSheetId="51">'WHEEL HOUSE'!$A$1:$T$56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J178" i="54" l="1"/>
  <c r="AZ176" i="54"/>
  <c r="AY176" i="54"/>
  <c r="AX176" i="54"/>
  <c r="AV176" i="54"/>
  <c r="AQ176" i="54"/>
  <c r="AJ176" i="54"/>
  <c r="AI176" i="54"/>
  <c r="AB176" i="54"/>
  <c r="AA176" i="54"/>
  <c r="S176" i="54"/>
  <c r="T176" i="54" s="1"/>
  <c r="U176" i="54" s="1"/>
  <c r="R176" i="54"/>
  <c r="P176" i="54"/>
  <c r="M176" i="54"/>
  <c r="J176" i="54"/>
  <c r="F176" i="54"/>
  <c r="X176" i="54" s="1"/>
  <c r="AZ175" i="54"/>
  <c r="AY175" i="54"/>
  <c r="AX175" i="54"/>
  <c r="AV175" i="54"/>
  <c r="AQ175" i="54"/>
  <c r="AJ175" i="54"/>
  <c r="AI175" i="54"/>
  <c r="AB175" i="54"/>
  <c r="AA175" i="54"/>
  <c r="S175" i="54"/>
  <c r="T175" i="54" s="1"/>
  <c r="U175" i="54" s="1"/>
  <c r="R175" i="54"/>
  <c r="P175" i="54"/>
  <c r="M175" i="54"/>
  <c r="J175" i="54"/>
  <c r="F175" i="54"/>
  <c r="X175" i="54" s="1"/>
  <c r="AZ174" i="54"/>
  <c r="AY174" i="54"/>
  <c r="AX174" i="54"/>
  <c r="AV174" i="54"/>
  <c r="AJ174" i="54"/>
  <c r="AI174" i="54"/>
  <c r="AB174" i="54"/>
  <c r="AA174" i="54"/>
  <c r="S174" i="54"/>
  <c r="T174" i="54" s="1"/>
  <c r="U174" i="54" s="1"/>
  <c r="R174" i="54"/>
  <c r="P174" i="54"/>
  <c r="M174" i="54"/>
  <c r="J174" i="54"/>
  <c r="F174" i="54"/>
  <c r="X174" i="54" s="1"/>
  <c r="AZ173" i="54"/>
  <c r="AY173" i="54"/>
  <c r="AX173" i="54"/>
  <c r="AV173" i="54"/>
  <c r="AQ173" i="54"/>
  <c r="AJ173" i="54"/>
  <c r="AI173" i="54"/>
  <c r="AB173" i="54"/>
  <c r="AA173" i="54"/>
  <c r="S173" i="54"/>
  <c r="T173" i="54" s="1"/>
  <c r="U173" i="54" s="1"/>
  <c r="Q173" i="54"/>
  <c r="R173" i="54" s="1"/>
  <c r="F173" i="54" s="1"/>
  <c r="X173" i="54" s="1"/>
  <c r="P173" i="54"/>
  <c r="M173" i="54"/>
  <c r="J173" i="54"/>
  <c r="AZ172" i="54"/>
  <c r="AY172" i="54"/>
  <c r="AX172" i="54"/>
  <c r="AV172" i="54"/>
  <c r="AJ172" i="54"/>
  <c r="AI172" i="54"/>
  <c r="AB172" i="54"/>
  <c r="AA172" i="54"/>
  <c r="S172" i="54"/>
  <c r="T172" i="54" s="1"/>
  <c r="U172" i="54" s="1"/>
  <c r="R172" i="54"/>
  <c r="P172" i="54"/>
  <c r="M172" i="54"/>
  <c r="J172" i="54"/>
  <c r="F172" i="54"/>
  <c r="X172" i="54" s="1"/>
  <c r="AZ171" i="54"/>
  <c r="AY171" i="54"/>
  <c r="AX171" i="54"/>
  <c r="AV171" i="54"/>
  <c r="AQ171" i="54"/>
  <c r="AJ171" i="54"/>
  <c r="AI171" i="54"/>
  <c r="AB171" i="54"/>
  <c r="AA171" i="54"/>
  <c r="S171" i="54"/>
  <c r="T171" i="54" s="1"/>
  <c r="U171" i="54" s="1"/>
  <c r="R171" i="54"/>
  <c r="P171" i="54"/>
  <c r="M171" i="54"/>
  <c r="J171" i="54"/>
  <c r="F171" i="54"/>
  <c r="X171" i="54" s="1"/>
  <c r="AZ170" i="54"/>
  <c r="AY170" i="54"/>
  <c r="AX170" i="54"/>
  <c r="AV170" i="54"/>
  <c r="AJ170" i="54"/>
  <c r="AI170" i="54"/>
  <c r="AB170" i="54"/>
  <c r="AA170" i="54"/>
  <c r="S170" i="54"/>
  <c r="T170" i="54" s="1"/>
  <c r="U170" i="54" s="1"/>
  <c r="R170" i="54"/>
  <c r="P170" i="54"/>
  <c r="M170" i="54"/>
  <c r="J170" i="54"/>
  <c r="F170" i="54"/>
  <c r="X170" i="54" s="1"/>
  <c r="BG169" i="54"/>
  <c r="BF169" i="54"/>
  <c r="BD169" i="54"/>
  <c r="AZ169" i="54"/>
  <c r="AY169" i="54"/>
  <c r="AX169" i="54"/>
  <c r="AV169" i="54"/>
  <c r="AQ169" i="54"/>
  <c r="AL169" i="54"/>
  <c r="AJ169" i="54"/>
  <c r="AI169" i="54"/>
  <c r="AE169" i="54"/>
  <c r="AD169" i="54"/>
  <c r="AB169" i="54"/>
  <c r="AA169" i="54"/>
  <c r="S169" i="54"/>
  <c r="T169" i="54" s="1"/>
  <c r="U169" i="54" s="1"/>
  <c r="R169" i="54"/>
  <c r="P169" i="54"/>
  <c r="M169" i="54"/>
  <c r="J169" i="54"/>
  <c r="F169" i="54"/>
  <c r="X169" i="54" s="1"/>
  <c r="AZ168" i="54"/>
  <c r="AY168" i="54"/>
  <c r="AX168" i="54"/>
  <c r="AV168" i="54"/>
  <c r="AJ168" i="54"/>
  <c r="AI168" i="54"/>
  <c r="AB168" i="54"/>
  <c r="AA168" i="54"/>
  <c r="S168" i="54"/>
  <c r="T168" i="54" s="1"/>
  <c r="U168" i="54" s="1"/>
  <c r="R168" i="54"/>
  <c r="P168" i="54"/>
  <c r="M168" i="54"/>
  <c r="J168" i="54"/>
  <c r="F168" i="54"/>
  <c r="X168" i="54" s="1"/>
  <c r="AZ167" i="54"/>
  <c r="AY167" i="54"/>
  <c r="AX167" i="54"/>
  <c r="AV167" i="54"/>
  <c r="AQ167" i="54"/>
  <c r="AJ167" i="54"/>
  <c r="AI167" i="54"/>
  <c r="AB167" i="54"/>
  <c r="AA167" i="54"/>
  <c r="S167" i="54"/>
  <c r="T167" i="54" s="1"/>
  <c r="U167" i="54" s="1"/>
  <c r="R167" i="54"/>
  <c r="P167" i="54"/>
  <c r="M167" i="54"/>
  <c r="J167" i="54"/>
  <c r="F167" i="54"/>
  <c r="X167" i="54" s="1"/>
  <c r="AZ166" i="54"/>
  <c r="AY166" i="54"/>
  <c r="AX166" i="54"/>
  <c r="AV166" i="54"/>
  <c r="AJ166" i="54"/>
  <c r="AI166" i="54"/>
  <c r="AB166" i="54"/>
  <c r="AA166" i="54"/>
  <c r="S166" i="54"/>
  <c r="T166" i="54" s="1"/>
  <c r="U166" i="54" s="1"/>
  <c r="R166" i="54"/>
  <c r="P166" i="54"/>
  <c r="M166" i="54"/>
  <c r="J166" i="54"/>
  <c r="F166" i="54"/>
  <c r="X166" i="54" s="1"/>
  <c r="BG165" i="54"/>
  <c r="BF165" i="54"/>
  <c r="BD165" i="54"/>
  <c r="AZ165" i="54"/>
  <c r="AY165" i="54"/>
  <c r="AX165" i="54"/>
  <c r="AV165" i="54"/>
  <c r="AQ165" i="54"/>
  <c r="AL165" i="54"/>
  <c r="AJ165" i="54"/>
  <c r="AI165" i="54"/>
  <c r="AE165" i="54"/>
  <c r="AD165" i="54"/>
  <c r="AB165" i="54"/>
  <c r="AA165" i="54"/>
  <c r="S165" i="54"/>
  <c r="T165" i="54" s="1"/>
  <c r="U165" i="54" s="1"/>
  <c r="Q165" i="54"/>
  <c r="R165" i="54" s="1"/>
  <c r="F165" i="54" s="1"/>
  <c r="X165" i="54" s="1"/>
  <c r="P165" i="54"/>
  <c r="M165" i="54"/>
  <c r="J165" i="54"/>
  <c r="AZ164" i="54"/>
  <c r="AY164" i="54"/>
  <c r="AX164" i="54"/>
  <c r="AV164" i="54"/>
  <c r="AJ164" i="54"/>
  <c r="AI164" i="54"/>
  <c r="AB164" i="54"/>
  <c r="AA164" i="54"/>
  <c r="S164" i="54"/>
  <c r="T164" i="54" s="1"/>
  <c r="U164" i="54" s="1"/>
  <c r="R164" i="54"/>
  <c r="P164" i="54"/>
  <c r="M164" i="54"/>
  <c r="J164" i="54"/>
  <c r="F164" i="54"/>
  <c r="X164" i="54" s="1"/>
  <c r="E164" i="54"/>
  <c r="BG163" i="54"/>
  <c r="BF163" i="54"/>
  <c r="BD163" i="54"/>
  <c r="AZ163" i="54"/>
  <c r="AY163" i="54"/>
  <c r="AX163" i="54"/>
  <c r="AV163" i="54"/>
  <c r="AQ163" i="54"/>
  <c r="AO163" i="54"/>
  <c r="AL163" i="54"/>
  <c r="AJ163" i="54"/>
  <c r="AI163" i="54"/>
  <c r="AE163" i="54"/>
  <c r="AD163" i="54"/>
  <c r="AB163" i="54"/>
  <c r="AA163" i="54"/>
  <c r="S163" i="54"/>
  <c r="T163" i="54" s="1"/>
  <c r="U163" i="54" s="1"/>
  <c r="R163" i="54"/>
  <c r="P163" i="54"/>
  <c r="M163" i="54"/>
  <c r="J163" i="54"/>
  <c r="F163" i="54"/>
  <c r="X163" i="54" s="1"/>
  <c r="BG162" i="54"/>
  <c r="BF162" i="54"/>
  <c r="BD162" i="54"/>
  <c r="AZ162" i="54"/>
  <c r="AY162" i="54"/>
  <c r="AX162" i="54"/>
  <c r="AV162" i="54"/>
  <c r="AL162" i="54"/>
  <c r="AJ162" i="54"/>
  <c r="AI162" i="54"/>
  <c r="AE162" i="54"/>
  <c r="AD162" i="54"/>
  <c r="AB162" i="54"/>
  <c r="AA162" i="54"/>
  <c r="S162" i="54"/>
  <c r="T162" i="54" s="1"/>
  <c r="U162" i="54" s="1"/>
  <c r="Q162" i="54"/>
  <c r="R162" i="54" s="1"/>
  <c r="F162" i="54" s="1"/>
  <c r="X162" i="54" s="1"/>
  <c r="P162" i="54"/>
  <c r="M162" i="54"/>
  <c r="J162" i="54"/>
  <c r="AE143" i="54"/>
  <c r="AD143" i="54"/>
  <c r="AB143" i="54"/>
  <c r="AA143" i="54"/>
  <c r="S143" i="54"/>
  <c r="T143" i="54" s="1"/>
  <c r="U143" i="54" s="1"/>
  <c r="R143" i="54"/>
  <c r="P143" i="54"/>
  <c r="M143" i="54"/>
  <c r="I143" i="54"/>
  <c r="J143" i="54" s="1"/>
  <c r="F143" i="54"/>
  <c r="X143" i="54" s="1"/>
  <c r="AE142" i="54"/>
  <c r="AD142" i="54"/>
  <c r="AB142" i="54"/>
  <c r="AB144" i="54" s="1"/>
  <c r="AA142" i="54"/>
  <c r="AA144" i="54" s="1"/>
  <c r="Y142" i="54"/>
  <c r="S142" i="54"/>
  <c r="T142" i="54" s="1"/>
  <c r="U142" i="54" s="1"/>
  <c r="R142" i="54"/>
  <c r="F142" i="54" s="1"/>
  <c r="X142" i="54" s="1"/>
  <c r="P142" i="54"/>
  <c r="M142" i="54"/>
  <c r="N142" i="54" s="1"/>
  <c r="I142" i="54"/>
  <c r="J142" i="54" s="1"/>
  <c r="AB141" i="54"/>
  <c r="AA141" i="54"/>
  <c r="S141" i="54"/>
  <c r="T141" i="54" s="1"/>
  <c r="U141" i="54" s="1"/>
  <c r="R141" i="54"/>
  <c r="P141" i="54"/>
  <c r="M141" i="54"/>
  <c r="I141" i="54"/>
  <c r="F141" i="54"/>
  <c r="X141" i="54" s="1"/>
  <c r="E141" i="54"/>
  <c r="AE140" i="54"/>
  <c r="AD140" i="54"/>
  <c r="AB140" i="54"/>
  <c r="AA140" i="54"/>
  <c r="S140" i="54"/>
  <c r="T140" i="54" s="1"/>
  <c r="U140" i="54" s="1"/>
  <c r="R140" i="54"/>
  <c r="P140" i="54"/>
  <c r="M140" i="54"/>
  <c r="I140" i="54"/>
  <c r="J140" i="54" s="1"/>
  <c r="F140" i="54"/>
  <c r="X140" i="54" s="1"/>
  <c r="AE139" i="54"/>
  <c r="AD139" i="54"/>
  <c r="AB139" i="54"/>
  <c r="AA139" i="54"/>
  <c r="S139" i="54"/>
  <c r="T139" i="54" s="1"/>
  <c r="U139" i="54" s="1"/>
  <c r="R139" i="54"/>
  <c r="P139" i="54"/>
  <c r="M139" i="54"/>
  <c r="I139" i="54"/>
  <c r="F139" i="54"/>
  <c r="X139" i="54" s="1"/>
  <c r="AB138" i="54"/>
  <c r="AA138" i="54"/>
  <c r="S138" i="54"/>
  <c r="T138" i="54" s="1"/>
  <c r="U138" i="54" s="1"/>
  <c r="R138" i="54"/>
  <c r="P138" i="54"/>
  <c r="M138" i="54"/>
  <c r="I138" i="54"/>
  <c r="F138" i="54"/>
  <c r="X138" i="54" s="1"/>
  <c r="E138" i="54"/>
  <c r="AE137" i="54"/>
  <c r="AD137" i="54"/>
  <c r="AB137" i="54"/>
  <c r="AA137" i="54"/>
  <c r="S137" i="54"/>
  <c r="T137" i="54" s="1"/>
  <c r="U137" i="54" s="1"/>
  <c r="R137" i="54"/>
  <c r="P137" i="54"/>
  <c r="M137" i="54"/>
  <c r="I137" i="54"/>
  <c r="J137" i="54" s="1"/>
  <c r="F137" i="54"/>
  <c r="X137" i="54" s="1"/>
  <c r="AB136" i="54"/>
  <c r="AA136" i="54"/>
  <c r="S136" i="54"/>
  <c r="T136" i="54" s="1"/>
  <c r="U136" i="54" s="1"/>
  <c r="R136" i="54"/>
  <c r="P136" i="54"/>
  <c r="M136" i="54"/>
  <c r="I136" i="54"/>
  <c r="F136" i="54"/>
  <c r="X136" i="54" s="1"/>
  <c r="E136" i="54"/>
  <c r="N135" i="54"/>
  <c r="AE133" i="54"/>
  <c r="AD133" i="54"/>
  <c r="AB133" i="54"/>
  <c r="AA133" i="54"/>
  <c r="S133" i="54"/>
  <c r="T133" i="54" s="1"/>
  <c r="U133" i="54" s="1"/>
  <c r="Q133" i="54"/>
  <c r="R133" i="54" s="1"/>
  <c r="F133" i="54" s="1"/>
  <c r="X133" i="54" s="1"/>
  <c r="P133" i="54"/>
  <c r="M133" i="54"/>
  <c r="I133" i="54"/>
  <c r="AE132" i="54"/>
  <c r="AD132" i="54"/>
  <c r="AB132" i="54"/>
  <c r="AA132" i="54"/>
  <c r="S132" i="54"/>
  <c r="T132" i="54" s="1"/>
  <c r="U132" i="54" s="1"/>
  <c r="R132" i="54"/>
  <c r="P132" i="54"/>
  <c r="M132" i="54"/>
  <c r="I132" i="54"/>
  <c r="F132" i="54"/>
  <c r="X132" i="54" s="1"/>
  <c r="AB131" i="54"/>
  <c r="AA131" i="54"/>
  <c r="S131" i="54"/>
  <c r="T131" i="54" s="1"/>
  <c r="U131" i="54" s="1"/>
  <c r="R131" i="54"/>
  <c r="P131" i="54"/>
  <c r="M131" i="54"/>
  <c r="I131" i="54"/>
  <c r="F131" i="54"/>
  <c r="X131" i="54" s="1"/>
  <c r="E131" i="54"/>
  <c r="AE130" i="54"/>
  <c r="AD130" i="54"/>
  <c r="AB130" i="54"/>
  <c r="AA130" i="54"/>
  <c r="S130" i="54"/>
  <c r="T130" i="54" s="1"/>
  <c r="U130" i="54" s="1"/>
  <c r="R130" i="54"/>
  <c r="P130" i="54"/>
  <c r="M130" i="54"/>
  <c r="I130" i="54"/>
  <c r="F130" i="54"/>
  <c r="X130" i="54" s="1"/>
  <c r="AB129" i="54"/>
  <c r="AA129" i="54"/>
  <c r="S129" i="54"/>
  <c r="T129" i="54" s="1"/>
  <c r="U129" i="54" s="1"/>
  <c r="R129" i="54"/>
  <c r="P129" i="54"/>
  <c r="M129" i="54"/>
  <c r="I129" i="54"/>
  <c r="F129" i="54"/>
  <c r="X129" i="54" s="1"/>
  <c r="E129" i="54"/>
  <c r="AE128" i="54"/>
  <c r="AD128" i="54"/>
  <c r="AB128" i="54"/>
  <c r="AA128" i="54"/>
  <c r="S128" i="54"/>
  <c r="T128" i="54" s="1"/>
  <c r="U128" i="54" s="1"/>
  <c r="R128" i="54"/>
  <c r="P128" i="54"/>
  <c r="M128" i="54"/>
  <c r="I128" i="54"/>
  <c r="F128" i="54"/>
  <c r="X128" i="54" s="1"/>
  <c r="AB127" i="54"/>
  <c r="AA127" i="54"/>
  <c r="S127" i="54"/>
  <c r="T127" i="54" s="1"/>
  <c r="U127" i="54" s="1"/>
  <c r="R127" i="54"/>
  <c r="P127" i="54"/>
  <c r="M127" i="54"/>
  <c r="I127" i="54"/>
  <c r="J127" i="54" s="1"/>
  <c r="F127" i="54"/>
  <c r="X127" i="54" s="1"/>
  <c r="E127" i="54"/>
  <c r="AE126" i="54"/>
  <c r="AD126" i="54"/>
  <c r="AB126" i="54"/>
  <c r="AA126" i="54"/>
  <c r="S126" i="54"/>
  <c r="T126" i="54" s="1"/>
  <c r="U126" i="54" s="1"/>
  <c r="R126" i="54"/>
  <c r="P126" i="54"/>
  <c r="M126" i="54"/>
  <c r="I126" i="54"/>
  <c r="F126" i="54"/>
  <c r="X126" i="54" s="1"/>
  <c r="AE125" i="54"/>
  <c r="AD125" i="54"/>
  <c r="AB125" i="54"/>
  <c r="AA125" i="54"/>
  <c r="S125" i="54"/>
  <c r="T125" i="54" s="1"/>
  <c r="U125" i="54" s="1"/>
  <c r="R125" i="54"/>
  <c r="P125" i="54"/>
  <c r="M125" i="54"/>
  <c r="I125" i="54"/>
  <c r="F125" i="54"/>
  <c r="X125" i="54" s="1"/>
  <c r="AE124" i="54"/>
  <c r="AD124" i="54"/>
  <c r="AB124" i="54"/>
  <c r="AA124" i="54"/>
  <c r="S124" i="54"/>
  <c r="T124" i="54" s="1"/>
  <c r="U124" i="54" s="1"/>
  <c r="R124" i="54"/>
  <c r="P124" i="54"/>
  <c r="M124" i="54"/>
  <c r="I124" i="54"/>
  <c r="F124" i="54"/>
  <c r="X124" i="54" s="1"/>
  <c r="AB123" i="54"/>
  <c r="AA123" i="54"/>
  <c r="S123" i="54"/>
  <c r="T123" i="54" s="1"/>
  <c r="U123" i="54" s="1"/>
  <c r="Q123" i="54"/>
  <c r="R123" i="54" s="1"/>
  <c r="F123" i="54" s="1"/>
  <c r="X123" i="54" s="1"/>
  <c r="P123" i="54"/>
  <c r="M123" i="54"/>
  <c r="I123" i="54"/>
  <c r="E123" i="54"/>
  <c r="P122" i="54"/>
  <c r="N122" i="54"/>
  <c r="AE121" i="54"/>
  <c r="AD121" i="54"/>
  <c r="AB121" i="54"/>
  <c r="AA121" i="54"/>
  <c r="S121" i="54"/>
  <c r="T121" i="54" s="1"/>
  <c r="U121" i="54" s="1"/>
  <c r="Q121" i="54"/>
  <c r="R121" i="54" s="1"/>
  <c r="F121" i="54" s="1"/>
  <c r="X121" i="54" s="1"/>
  <c r="I122" i="54" s="1"/>
  <c r="J121" i="54" s="1"/>
  <c r="P121" i="54"/>
  <c r="M121" i="54"/>
  <c r="S103" i="54"/>
  <c r="T103" i="54" s="1"/>
  <c r="U103" i="54" s="1"/>
  <c r="Q103" i="54"/>
  <c r="R103" i="54" s="1"/>
  <c r="F103" i="54" s="1"/>
  <c r="X103" i="54" s="1"/>
  <c r="P103" i="54"/>
  <c r="M103" i="54"/>
  <c r="Y103" i="54" s="1"/>
  <c r="I103" i="54"/>
  <c r="S102" i="54"/>
  <c r="T102" i="54" s="1"/>
  <c r="U102" i="54" s="1"/>
  <c r="Q102" i="54"/>
  <c r="R102" i="54" s="1"/>
  <c r="F102" i="54" s="1"/>
  <c r="X102" i="54" s="1"/>
  <c r="P102" i="54"/>
  <c r="M102" i="54"/>
  <c r="Y102" i="54" s="1"/>
  <c r="I102" i="54"/>
  <c r="S101" i="54"/>
  <c r="T101" i="54" s="1"/>
  <c r="U101" i="54" s="1"/>
  <c r="R101" i="54"/>
  <c r="P101" i="54"/>
  <c r="M101" i="54"/>
  <c r="Y101" i="54" s="1"/>
  <c r="I101" i="54"/>
  <c r="F101" i="54"/>
  <c r="X101" i="54" s="1"/>
  <c r="S100" i="54"/>
  <c r="T100" i="54" s="1"/>
  <c r="U100" i="54" s="1"/>
  <c r="R100" i="54"/>
  <c r="P100" i="54"/>
  <c r="M100" i="54"/>
  <c r="Y100" i="54" s="1"/>
  <c r="I100" i="54"/>
  <c r="F100" i="54"/>
  <c r="X100" i="54" s="1"/>
  <c r="S99" i="54"/>
  <c r="T99" i="54" s="1"/>
  <c r="U99" i="54" s="1"/>
  <c r="R99" i="54"/>
  <c r="P99" i="54"/>
  <c r="M99" i="54"/>
  <c r="Y99" i="54" s="1"/>
  <c r="I99" i="54"/>
  <c r="F99" i="54"/>
  <c r="X99" i="54" s="1"/>
  <c r="S98" i="54"/>
  <c r="T98" i="54" s="1"/>
  <c r="U98" i="54" s="1"/>
  <c r="R98" i="54"/>
  <c r="F98" i="54" s="1"/>
  <c r="X98" i="54" s="1"/>
  <c r="P98" i="54"/>
  <c r="M98" i="54"/>
  <c r="Y98" i="54" s="1"/>
  <c r="I98" i="54"/>
  <c r="S97" i="54"/>
  <c r="T97" i="54" s="1"/>
  <c r="U97" i="54" s="1"/>
  <c r="R97" i="54"/>
  <c r="P97" i="54"/>
  <c r="M97" i="54"/>
  <c r="Y97" i="54" s="1"/>
  <c r="I97" i="54"/>
  <c r="F97" i="54"/>
  <c r="X97" i="54" s="1"/>
  <c r="S96" i="54"/>
  <c r="T96" i="54" s="1"/>
  <c r="U96" i="54" s="1"/>
  <c r="Q96" i="54"/>
  <c r="R96" i="54" s="1"/>
  <c r="F96" i="54" s="1"/>
  <c r="X96" i="54" s="1"/>
  <c r="P96" i="54"/>
  <c r="M96" i="54"/>
  <c r="Y96" i="54" s="1"/>
  <c r="I96" i="54"/>
  <c r="S95" i="54"/>
  <c r="T95" i="54" s="1"/>
  <c r="U95" i="54" s="1"/>
  <c r="Q95" i="54"/>
  <c r="R95" i="54" s="1"/>
  <c r="F95" i="54" s="1"/>
  <c r="X95" i="54" s="1"/>
  <c r="P95" i="54"/>
  <c r="M95" i="54"/>
  <c r="Y95" i="54" s="1"/>
  <c r="I95" i="54"/>
  <c r="S94" i="54"/>
  <c r="T94" i="54" s="1"/>
  <c r="U94" i="54" s="1"/>
  <c r="R94" i="54"/>
  <c r="P94" i="54"/>
  <c r="M94" i="54"/>
  <c r="Y94" i="54" s="1"/>
  <c r="I94" i="54"/>
  <c r="F94" i="54"/>
  <c r="X94" i="54" s="1"/>
  <c r="S93" i="54"/>
  <c r="T93" i="54" s="1"/>
  <c r="U93" i="54" s="1"/>
  <c r="Q93" i="54"/>
  <c r="R93" i="54" s="1"/>
  <c r="F93" i="54" s="1"/>
  <c r="X93" i="54" s="1"/>
  <c r="P93" i="54"/>
  <c r="M93" i="54"/>
  <c r="Y93" i="54" s="1"/>
  <c r="I93" i="54"/>
  <c r="S92" i="54"/>
  <c r="T92" i="54" s="1"/>
  <c r="U92" i="54" s="1"/>
  <c r="Q92" i="54"/>
  <c r="R92" i="54" s="1"/>
  <c r="F92" i="54" s="1"/>
  <c r="X92" i="54" s="1"/>
  <c r="P92" i="54"/>
  <c r="M92" i="54"/>
  <c r="Y92" i="54" s="1"/>
  <c r="I92" i="54"/>
  <c r="S91" i="54"/>
  <c r="T91" i="54" s="1"/>
  <c r="U91" i="54" s="1"/>
  <c r="R91" i="54"/>
  <c r="P91" i="54"/>
  <c r="M91" i="54"/>
  <c r="Y91" i="54" s="1"/>
  <c r="I91" i="54"/>
  <c r="F91" i="54"/>
  <c r="X91" i="54" s="1"/>
  <c r="S90" i="54"/>
  <c r="T90" i="54" s="1"/>
  <c r="U90" i="54" s="1"/>
  <c r="R90" i="54"/>
  <c r="F90" i="54" s="1"/>
  <c r="X90" i="54" s="1"/>
  <c r="P90" i="54"/>
  <c r="M90" i="54"/>
  <c r="Y90" i="54" s="1"/>
  <c r="I90" i="54"/>
  <c r="S89" i="54"/>
  <c r="T89" i="54" s="1"/>
  <c r="U89" i="54" s="1"/>
  <c r="Q89" i="54"/>
  <c r="R89" i="54" s="1"/>
  <c r="F89" i="54" s="1"/>
  <c r="X89" i="54" s="1"/>
  <c r="P89" i="54"/>
  <c r="M89" i="54"/>
  <c r="Y89" i="54" s="1"/>
  <c r="I89" i="54"/>
  <c r="S88" i="54"/>
  <c r="T88" i="54" s="1"/>
  <c r="U88" i="54" s="1"/>
  <c r="R88" i="54"/>
  <c r="P88" i="54"/>
  <c r="M88" i="54"/>
  <c r="Y88" i="54" s="1"/>
  <c r="I88" i="54"/>
  <c r="F88" i="54"/>
  <c r="X88" i="54" s="1"/>
  <c r="S87" i="54"/>
  <c r="T87" i="54" s="1"/>
  <c r="U87" i="54" s="1"/>
  <c r="Q87" i="54"/>
  <c r="R87" i="54" s="1"/>
  <c r="F87" i="54" s="1"/>
  <c r="X87" i="54" s="1"/>
  <c r="P87" i="54"/>
  <c r="M87" i="54"/>
  <c r="Y87" i="54" s="1"/>
  <c r="I87" i="54"/>
  <c r="S86" i="54"/>
  <c r="T86" i="54" s="1"/>
  <c r="U86" i="54" s="1"/>
  <c r="Q86" i="54"/>
  <c r="R86" i="54" s="1"/>
  <c r="F86" i="54" s="1"/>
  <c r="X86" i="54" s="1"/>
  <c r="P86" i="54"/>
  <c r="M86" i="54"/>
  <c r="Y86" i="54" s="1"/>
  <c r="I86" i="54"/>
  <c r="S85" i="54"/>
  <c r="T85" i="54" s="1"/>
  <c r="U85" i="54" s="1"/>
  <c r="R85" i="54"/>
  <c r="P85" i="54"/>
  <c r="M85" i="54"/>
  <c r="Y85" i="54" s="1"/>
  <c r="I85" i="54"/>
  <c r="F85" i="54"/>
  <c r="X85" i="54" s="1"/>
  <c r="S84" i="54"/>
  <c r="T84" i="54" s="1"/>
  <c r="U84" i="54" s="1"/>
  <c r="Q84" i="54"/>
  <c r="R84" i="54" s="1"/>
  <c r="F84" i="54" s="1"/>
  <c r="X84" i="54" s="1"/>
  <c r="P84" i="54"/>
  <c r="M84" i="54"/>
  <c r="Y84" i="54" s="1"/>
  <c r="I84" i="54"/>
  <c r="P83" i="54"/>
  <c r="S82" i="54"/>
  <c r="T82" i="54" s="1"/>
  <c r="U82" i="54" s="1"/>
  <c r="Q82" i="54"/>
  <c r="R82" i="54" s="1"/>
  <c r="F82" i="54" s="1"/>
  <c r="X82" i="54" s="1"/>
  <c r="P82" i="54"/>
  <c r="M82" i="54"/>
  <c r="Y82" i="54" s="1"/>
  <c r="I82" i="54"/>
  <c r="P81" i="54"/>
  <c r="S80" i="54"/>
  <c r="T80" i="54" s="1"/>
  <c r="U80" i="54" s="1"/>
  <c r="Q80" i="54"/>
  <c r="R80" i="54" s="1"/>
  <c r="F80" i="54" s="1"/>
  <c r="X80" i="54" s="1"/>
  <c r="I81" i="54" s="1"/>
  <c r="J80" i="54" s="1"/>
  <c r="J82" i="54" s="1"/>
  <c r="J84" i="54" s="1"/>
  <c r="J85" i="54" s="1"/>
  <c r="P80" i="54"/>
  <c r="M80" i="54"/>
  <c r="Y80" i="54" s="1"/>
  <c r="S55" i="54"/>
  <c r="T55" i="54" s="1"/>
  <c r="U55" i="54" s="1"/>
  <c r="R55" i="54"/>
  <c r="P55" i="54"/>
  <c r="M55" i="54"/>
  <c r="Y55" i="54" s="1"/>
  <c r="I55" i="54"/>
  <c r="F55" i="54"/>
  <c r="X55" i="54" s="1"/>
  <c r="E55" i="54"/>
  <c r="S54" i="54"/>
  <c r="T54" i="54" s="1"/>
  <c r="U54" i="54" s="1"/>
  <c r="R54" i="54"/>
  <c r="P54" i="54"/>
  <c r="M54" i="54"/>
  <c r="Y54" i="54" s="1"/>
  <c r="I54" i="54"/>
  <c r="F54" i="54"/>
  <c r="X54" i="54" s="1"/>
  <c r="E54" i="54"/>
  <c r="S53" i="54"/>
  <c r="T53" i="54" s="1"/>
  <c r="U53" i="54" s="1"/>
  <c r="Q53" i="54"/>
  <c r="R53" i="54" s="1"/>
  <c r="F53" i="54" s="1"/>
  <c r="X53" i="54" s="1"/>
  <c r="P53" i="54"/>
  <c r="M53" i="54"/>
  <c r="Y53" i="54" s="1"/>
  <c r="I53" i="54"/>
  <c r="E53" i="54"/>
  <c r="S52" i="54"/>
  <c r="T52" i="54" s="1"/>
  <c r="U52" i="54" s="1"/>
  <c r="R52" i="54"/>
  <c r="P52" i="54"/>
  <c r="M52" i="54"/>
  <c r="Y52" i="54" s="1"/>
  <c r="I52" i="54"/>
  <c r="F52" i="54"/>
  <c r="X52" i="54" s="1"/>
  <c r="E52" i="54"/>
  <c r="S51" i="54"/>
  <c r="T51" i="54" s="1"/>
  <c r="U51" i="54" s="1"/>
  <c r="R51" i="54"/>
  <c r="P51" i="54"/>
  <c r="M51" i="54"/>
  <c r="Y51" i="54" s="1"/>
  <c r="I51" i="54"/>
  <c r="F51" i="54"/>
  <c r="X51" i="54" s="1"/>
  <c r="E51" i="54"/>
  <c r="S50" i="54"/>
  <c r="T50" i="54" s="1"/>
  <c r="U50" i="54" s="1"/>
  <c r="R50" i="54"/>
  <c r="P50" i="54"/>
  <c r="M50" i="54"/>
  <c r="Y50" i="54" s="1"/>
  <c r="I50" i="54"/>
  <c r="F50" i="54"/>
  <c r="X50" i="54" s="1"/>
  <c r="E50" i="54"/>
  <c r="S49" i="54"/>
  <c r="T49" i="54" s="1"/>
  <c r="U49" i="54" s="1"/>
  <c r="R49" i="54"/>
  <c r="P49" i="54"/>
  <c r="M49" i="54"/>
  <c r="Y49" i="54" s="1"/>
  <c r="I49" i="54"/>
  <c r="F49" i="54"/>
  <c r="X49" i="54" s="1"/>
  <c r="E49" i="54"/>
  <c r="S48" i="54"/>
  <c r="T48" i="54" s="1"/>
  <c r="U48" i="54" s="1"/>
  <c r="R48" i="54"/>
  <c r="P48" i="54"/>
  <c r="M48" i="54"/>
  <c r="Y48" i="54" s="1"/>
  <c r="I48" i="54"/>
  <c r="F48" i="54"/>
  <c r="X48" i="54" s="1"/>
  <c r="E48" i="54"/>
  <c r="S47" i="54"/>
  <c r="T47" i="54" s="1"/>
  <c r="U47" i="54" s="1"/>
  <c r="R47" i="54"/>
  <c r="P47" i="54"/>
  <c r="M47" i="54"/>
  <c r="Y47" i="54" s="1"/>
  <c r="I47" i="54"/>
  <c r="F47" i="54"/>
  <c r="X47" i="54" s="1"/>
  <c r="E47" i="54"/>
  <c r="S46" i="54"/>
  <c r="T46" i="54" s="1"/>
  <c r="U46" i="54" s="1"/>
  <c r="Q46" i="54"/>
  <c r="R46" i="54" s="1"/>
  <c r="F46" i="54" s="1"/>
  <c r="X46" i="54" s="1"/>
  <c r="P46" i="54"/>
  <c r="M46" i="54"/>
  <c r="Y46" i="54" s="1"/>
  <c r="I46" i="54"/>
  <c r="E46" i="54"/>
  <c r="S45" i="54"/>
  <c r="T45" i="54" s="1"/>
  <c r="U45" i="54" s="1"/>
  <c r="R45" i="54"/>
  <c r="P45" i="54"/>
  <c r="M45" i="54"/>
  <c r="Y45" i="54" s="1"/>
  <c r="I45" i="54"/>
  <c r="F45" i="54"/>
  <c r="X45" i="54" s="1"/>
  <c r="E45" i="54"/>
  <c r="S44" i="54"/>
  <c r="T44" i="54" s="1"/>
  <c r="U44" i="54" s="1"/>
  <c r="R44" i="54"/>
  <c r="P44" i="54"/>
  <c r="M44" i="54"/>
  <c r="Y44" i="54" s="1"/>
  <c r="I44" i="54"/>
  <c r="F44" i="54"/>
  <c r="X44" i="54" s="1"/>
  <c r="E44" i="54"/>
  <c r="S43" i="54"/>
  <c r="T43" i="54" s="1"/>
  <c r="U43" i="54" s="1"/>
  <c r="R43" i="54"/>
  <c r="P43" i="54"/>
  <c r="M43" i="54"/>
  <c r="Y43" i="54" s="1"/>
  <c r="I43" i="54"/>
  <c r="F43" i="54"/>
  <c r="X43" i="54" s="1"/>
  <c r="E43" i="54"/>
  <c r="S42" i="54"/>
  <c r="T42" i="54" s="1"/>
  <c r="U42" i="54" s="1"/>
  <c r="Q42" i="54"/>
  <c r="R42" i="54" s="1"/>
  <c r="F42" i="54" s="1"/>
  <c r="X42" i="54" s="1"/>
  <c r="P42" i="54"/>
  <c r="M42" i="54"/>
  <c r="Y42" i="54" s="1"/>
  <c r="I42" i="54"/>
  <c r="S41" i="54"/>
  <c r="T41" i="54" s="1"/>
  <c r="U41" i="54" s="1"/>
  <c r="R41" i="54"/>
  <c r="P41" i="54"/>
  <c r="M41" i="54"/>
  <c r="Y41" i="54" s="1"/>
  <c r="I41" i="54"/>
  <c r="F41" i="54"/>
  <c r="X41" i="54" s="1"/>
  <c r="S40" i="54"/>
  <c r="T40" i="54" s="1"/>
  <c r="U40" i="54" s="1"/>
  <c r="Q40" i="54"/>
  <c r="R40" i="54" s="1"/>
  <c r="F40" i="54" s="1"/>
  <c r="X40" i="54" s="1"/>
  <c r="P40" i="54"/>
  <c r="M40" i="54"/>
  <c r="Y40" i="54" s="1"/>
  <c r="I40" i="54"/>
  <c r="T39" i="54"/>
  <c r="U39" i="54" s="1"/>
  <c r="S39" i="54"/>
  <c r="R39" i="54"/>
  <c r="P39" i="54"/>
  <c r="M39" i="54"/>
  <c r="Y39" i="54" s="1"/>
  <c r="I39" i="54"/>
  <c r="F39" i="54"/>
  <c r="X39" i="54" s="1"/>
  <c r="T38" i="54"/>
  <c r="U38" i="54" s="1"/>
  <c r="S38" i="54"/>
  <c r="R38" i="54"/>
  <c r="P38" i="54"/>
  <c r="M38" i="54"/>
  <c r="Y38" i="54" s="1"/>
  <c r="I38" i="54"/>
  <c r="F38" i="54"/>
  <c r="X38" i="54" s="1"/>
  <c r="S37" i="54"/>
  <c r="T37" i="54" s="1"/>
  <c r="U37" i="54" s="1"/>
  <c r="R37" i="54"/>
  <c r="P37" i="54"/>
  <c r="M37" i="54"/>
  <c r="Y37" i="54" s="1"/>
  <c r="I37" i="54"/>
  <c r="F37" i="54"/>
  <c r="X37" i="54" s="1"/>
  <c r="S36" i="54"/>
  <c r="T36" i="54" s="1"/>
  <c r="U36" i="54" s="1"/>
  <c r="Q36" i="54"/>
  <c r="R36" i="54" s="1"/>
  <c r="F36" i="54" s="1"/>
  <c r="X36" i="54" s="1"/>
  <c r="P36" i="54"/>
  <c r="M36" i="54"/>
  <c r="Y36" i="54" s="1"/>
  <c r="I36" i="54"/>
  <c r="S35" i="54"/>
  <c r="T35" i="54" s="1"/>
  <c r="U35" i="54" s="1"/>
  <c r="R35" i="54"/>
  <c r="P35" i="54"/>
  <c r="M35" i="54"/>
  <c r="Y35" i="54" s="1"/>
  <c r="I35" i="54"/>
  <c r="F35" i="54"/>
  <c r="X35" i="54" s="1"/>
  <c r="S34" i="54"/>
  <c r="T34" i="54" s="1"/>
  <c r="U34" i="54" s="1"/>
  <c r="R34" i="54"/>
  <c r="F34" i="54" s="1"/>
  <c r="X34" i="54" s="1"/>
  <c r="P34" i="54"/>
  <c r="M34" i="54"/>
  <c r="Y34" i="54" s="1"/>
  <c r="I34" i="54"/>
  <c r="S33" i="54"/>
  <c r="T33" i="54" s="1"/>
  <c r="U33" i="54" s="1"/>
  <c r="R33" i="54"/>
  <c r="P33" i="54"/>
  <c r="M33" i="54"/>
  <c r="Y33" i="54" s="1"/>
  <c r="I33" i="54"/>
  <c r="F33" i="54"/>
  <c r="X33" i="54" s="1"/>
  <c r="S32" i="54"/>
  <c r="T32" i="54" s="1"/>
  <c r="U32" i="54" s="1"/>
  <c r="R32" i="54"/>
  <c r="P32" i="54"/>
  <c r="M32" i="54"/>
  <c r="Y32" i="54" s="1"/>
  <c r="I32" i="54"/>
  <c r="F32" i="54"/>
  <c r="X32" i="54" s="1"/>
  <c r="S30" i="54"/>
  <c r="T30" i="54" s="1"/>
  <c r="U30" i="54" s="1"/>
  <c r="R30" i="54"/>
  <c r="P30" i="54"/>
  <c r="M30" i="54"/>
  <c r="Y30" i="54" s="1"/>
  <c r="I30" i="54"/>
  <c r="F30" i="54"/>
  <c r="X30" i="54" s="1"/>
  <c r="S29" i="54"/>
  <c r="T29" i="54" s="1"/>
  <c r="U29" i="54" s="1"/>
  <c r="R29" i="54"/>
  <c r="P29" i="54"/>
  <c r="M29" i="54"/>
  <c r="Y29" i="54" s="1"/>
  <c r="I29" i="54"/>
  <c r="F29" i="54"/>
  <c r="X29" i="54" s="1"/>
  <c r="S27" i="54"/>
  <c r="T27" i="54" s="1"/>
  <c r="U27" i="54" s="1"/>
  <c r="R27" i="54"/>
  <c r="P27" i="54"/>
  <c r="M27" i="54"/>
  <c r="Y27" i="54" s="1"/>
  <c r="I27" i="54"/>
  <c r="F27" i="54"/>
  <c r="X27" i="54" s="1"/>
  <c r="S26" i="54"/>
  <c r="T26" i="54" s="1"/>
  <c r="U26" i="54" s="1"/>
  <c r="Q26" i="54"/>
  <c r="R26" i="54" s="1"/>
  <c r="F26" i="54" s="1"/>
  <c r="X26" i="54" s="1"/>
  <c r="P26" i="54"/>
  <c r="M26" i="54"/>
  <c r="Y26" i="54" s="1"/>
  <c r="I26" i="54"/>
  <c r="S25" i="54"/>
  <c r="T25" i="54" s="1"/>
  <c r="U25" i="54" s="1"/>
  <c r="Q25" i="54"/>
  <c r="R25" i="54" s="1"/>
  <c r="F25" i="54" s="1"/>
  <c r="X25" i="54" s="1"/>
  <c r="P25" i="54"/>
  <c r="M25" i="54"/>
  <c r="Y25" i="54" s="1"/>
  <c r="I25" i="54"/>
  <c r="S24" i="54"/>
  <c r="T24" i="54" s="1"/>
  <c r="U24" i="54" s="1"/>
  <c r="Q24" i="54"/>
  <c r="R24" i="54" s="1"/>
  <c r="F24" i="54" s="1"/>
  <c r="X24" i="54" s="1"/>
  <c r="P24" i="54"/>
  <c r="M24" i="54"/>
  <c r="Y24" i="54" s="1"/>
  <c r="I24" i="54"/>
  <c r="S23" i="54"/>
  <c r="T23" i="54" s="1"/>
  <c r="U23" i="54" s="1"/>
  <c r="R23" i="54"/>
  <c r="P23" i="54"/>
  <c r="M23" i="54"/>
  <c r="Y23" i="54" s="1"/>
  <c r="I23" i="54"/>
  <c r="F23" i="54"/>
  <c r="X23" i="54" s="1"/>
  <c r="S21" i="54"/>
  <c r="T21" i="54" s="1"/>
  <c r="U21" i="54" s="1"/>
  <c r="Q21" i="54"/>
  <c r="R21" i="54" s="1"/>
  <c r="F21" i="54" s="1"/>
  <c r="X21" i="54" s="1"/>
  <c r="I22" i="54" s="1"/>
  <c r="J21" i="54" s="1"/>
  <c r="P21" i="54"/>
  <c r="M21" i="54"/>
  <c r="Y21" i="54" s="1"/>
  <c r="I203" i="53"/>
  <c r="I201" i="53"/>
  <c r="I199" i="53"/>
  <c r="I188" i="53"/>
  <c r="I186" i="53"/>
  <c r="I184" i="53"/>
  <c r="B182" i="53"/>
  <c r="I173" i="53"/>
  <c r="I171" i="53"/>
  <c r="I169" i="53"/>
  <c r="I158" i="53"/>
  <c r="I156" i="53"/>
  <c r="I154" i="53"/>
  <c r="B143" i="53"/>
  <c r="I143" i="53" s="1"/>
  <c r="B141" i="53"/>
  <c r="I141" i="53" s="1"/>
  <c r="B139" i="53"/>
  <c r="I139" i="53" s="1"/>
  <c r="C128" i="53"/>
  <c r="C124" i="53"/>
  <c r="C125" i="53" s="1"/>
  <c r="B106" i="53" s="1"/>
  <c r="I106" i="53" s="1"/>
  <c r="I104" i="53"/>
  <c r="I102" i="53"/>
  <c r="B100" i="53"/>
  <c r="B98" i="53"/>
  <c r="B92" i="53"/>
  <c r="I92" i="53" s="1"/>
  <c r="B90" i="53"/>
  <c r="I90" i="53" s="1"/>
  <c r="B88" i="53"/>
  <c r="I88" i="53" s="1"/>
  <c r="L42" i="53"/>
  <c r="K42" i="53"/>
  <c r="L41" i="53"/>
  <c r="K41" i="53"/>
  <c r="L40" i="53"/>
  <c r="K40" i="53"/>
  <c r="L39" i="53"/>
  <c r="K39" i="53"/>
  <c r="L38" i="53"/>
  <c r="K38" i="53"/>
  <c r="L37" i="53"/>
  <c r="K37" i="53"/>
  <c r="L36" i="53"/>
  <c r="K36" i="53"/>
  <c r="L35" i="53"/>
  <c r="K35" i="53"/>
  <c r="L34" i="53"/>
  <c r="K34" i="53"/>
  <c r="L33" i="53"/>
  <c r="K33" i="53"/>
  <c r="L32" i="53"/>
  <c r="K32" i="53"/>
  <c r="L31" i="53"/>
  <c r="K31" i="53"/>
  <c r="L30" i="53"/>
  <c r="K30" i="53"/>
  <c r="L29" i="53"/>
  <c r="K29" i="53"/>
  <c r="L28" i="53"/>
  <c r="K28" i="53"/>
  <c r="L27" i="53"/>
  <c r="K27" i="53"/>
  <c r="L26" i="53"/>
  <c r="K26" i="53"/>
  <c r="L25" i="53"/>
  <c r="K25" i="53"/>
  <c r="L24" i="53"/>
  <c r="K24" i="53"/>
  <c r="L23" i="53"/>
  <c r="K23" i="53"/>
  <c r="L22" i="53"/>
  <c r="K22" i="53"/>
  <c r="L21" i="53"/>
  <c r="K21" i="53"/>
  <c r="L20" i="53"/>
  <c r="K20" i="53"/>
  <c r="L19" i="53"/>
  <c r="K19" i="53"/>
  <c r="L18" i="53"/>
  <c r="K18" i="53"/>
  <c r="L17" i="53"/>
  <c r="K17" i="53"/>
  <c r="L16" i="53"/>
  <c r="K16" i="53"/>
  <c r="L15" i="53"/>
  <c r="K15" i="53"/>
  <c r="L14" i="53"/>
  <c r="K14" i="53"/>
  <c r="L13" i="53"/>
  <c r="K13" i="53"/>
  <c r="L12" i="53"/>
  <c r="K12" i="53"/>
  <c r="L11" i="53"/>
  <c r="K11" i="53"/>
  <c r="L10" i="53"/>
  <c r="K10" i="53"/>
  <c r="L9" i="53"/>
  <c r="K9" i="53"/>
  <c r="L8" i="53"/>
  <c r="K8" i="53"/>
  <c r="L7" i="53"/>
  <c r="K7" i="53"/>
  <c r="L6" i="53"/>
  <c r="K6" i="53"/>
  <c r="L5" i="53"/>
  <c r="K5" i="53"/>
  <c r="L4" i="53"/>
  <c r="K4" i="53"/>
  <c r="L3" i="53"/>
  <c r="K3" i="53"/>
  <c r="F36" i="52"/>
  <c r="F34" i="52"/>
  <c r="M29" i="52"/>
  <c r="M26" i="52"/>
  <c r="F40" i="52" s="1"/>
  <c r="L26" i="52"/>
  <c r="N26" i="52" s="1"/>
  <c r="F21" i="52"/>
  <c r="F20" i="52"/>
  <c r="L20" i="52" s="1"/>
  <c r="N20" i="52" s="1"/>
  <c r="Q17" i="52"/>
  <c r="K17" i="52"/>
  <c r="I17" i="52"/>
  <c r="F17" i="52"/>
  <c r="Q16" i="52"/>
  <c r="K16" i="52"/>
  <c r="I16" i="52"/>
  <c r="F16" i="52"/>
  <c r="Q15" i="52"/>
  <c r="K15" i="52"/>
  <c r="I15" i="52"/>
  <c r="F15" i="52"/>
  <c r="Q14" i="52"/>
  <c r="K14" i="52"/>
  <c r="I14" i="52"/>
  <c r="F14" i="52"/>
  <c r="Q13" i="52"/>
  <c r="K13" i="52"/>
  <c r="I13" i="52"/>
  <c r="F13" i="52"/>
  <c r="Q12" i="52"/>
  <c r="K12" i="52"/>
  <c r="I12" i="52"/>
  <c r="F12" i="52"/>
  <c r="Q11" i="52"/>
  <c r="K11" i="52"/>
  <c r="I11" i="52"/>
  <c r="F11" i="52"/>
  <c r="Q10" i="52"/>
  <c r="T10" i="52" s="1"/>
  <c r="K10" i="52"/>
  <c r="I10" i="52"/>
  <c r="L10" i="52" s="1"/>
  <c r="N10" i="52" s="1"/>
  <c r="Q9" i="52"/>
  <c r="K9" i="52"/>
  <c r="I9" i="52"/>
  <c r="F9" i="52"/>
  <c r="Q8" i="52"/>
  <c r="T8" i="52" s="1"/>
  <c r="K8" i="52"/>
  <c r="I8" i="52"/>
  <c r="L8" i="52" s="1"/>
  <c r="N8" i="52" s="1"/>
  <c r="Q7" i="52"/>
  <c r="K7" i="52"/>
  <c r="I7" i="52"/>
  <c r="F7" i="52"/>
  <c r="Q6" i="52"/>
  <c r="K6" i="52"/>
  <c r="I6" i="52"/>
  <c r="F6" i="52"/>
  <c r="Q5" i="52"/>
  <c r="K5" i="52"/>
  <c r="I5" i="52"/>
  <c r="F5" i="52"/>
  <c r="F36" i="51"/>
  <c r="F35" i="51"/>
  <c r="F34" i="51"/>
  <c r="M29" i="51"/>
  <c r="M26" i="51"/>
  <c r="F40" i="51" s="1"/>
  <c r="L26" i="51"/>
  <c r="N26" i="51" s="1"/>
  <c r="F21" i="51"/>
  <c r="L21" i="51" s="1"/>
  <c r="N21" i="51" s="1"/>
  <c r="F20" i="51"/>
  <c r="L20" i="51" s="1"/>
  <c r="N20" i="51" s="1"/>
  <c r="Q7" i="51"/>
  <c r="K7" i="51"/>
  <c r="I7" i="51"/>
  <c r="F7" i="51"/>
  <c r="Q6" i="51"/>
  <c r="K6" i="51"/>
  <c r="I6" i="51"/>
  <c r="F6" i="51"/>
  <c r="Q5" i="51"/>
  <c r="K5" i="51"/>
  <c r="I5" i="51"/>
  <c r="F5" i="51"/>
  <c r="F36" i="50"/>
  <c r="F34" i="50"/>
  <c r="M26" i="50"/>
  <c r="L26" i="50"/>
  <c r="N26" i="50" s="1"/>
  <c r="L22" i="50"/>
  <c r="F22" i="50"/>
  <c r="U22" i="50" s="1"/>
  <c r="F21" i="50"/>
  <c r="F20" i="50"/>
  <c r="L20" i="50" s="1"/>
  <c r="N20" i="50" s="1"/>
  <c r="Q10" i="50"/>
  <c r="K10" i="50"/>
  <c r="I10" i="50"/>
  <c r="F10" i="50"/>
  <c r="Q9" i="50"/>
  <c r="K9" i="50"/>
  <c r="I9" i="50"/>
  <c r="F9" i="50"/>
  <c r="Q8" i="50"/>
  <c r="K8" i="50"/>
  <c r="I8" i="50"/>
  <c r="F8" i="50"/>
  <c r="Q7" i="50"/>
  <c r="K7" i="50"/>
  <c r="I7" i="50"/>
  <c r="F7" i="50"/>
  <c r="Q6" i="50"/>
  <c r="K6" i="50"/>
  <c r="I6" i="50"/>
  <c r="F6" i="50"/>
  <c r="Q5" i="50"/>
  <c r="K5" i="50"/>
  <c r="I5" i="50"/>
  <c r="F5" i="50"/>
  <c r="F36" i="49"/>
  <c r="F34" i="49"/>
  <c r="M26" i="49"/>
  <c r="F40" i="49" s="1"/>
  <c r="L26" i="49"/>
  <c r="N26" i="49" s="1"/>
  <c r="F21" i="49"/>
  <c r="F20" i="49"/>
  <c r="L20" i="49" s="1"/>
  <c r="N20" i="49" s="1"/>
  <c r="Q10" i="49"/>
  <c r="T10" i="49" s="1"/>
  <c r="K10" i="49"/>
  <c r="I10" i="49"/>
  <c r="L10" i="49" s="1"/>
  <c r="N10" i="49" s="1"/>
  <c r="Q9" i="49"/>
  <c r="T9" i="49" s="1"/>
  <c r="K9" i="49"/>
  <c r="I9" i="49"/>
  <c r="L9" i="49" s="1"/>
  <c r="N9" i="49" s="1"/>
  <c r="Q8" i="49"/>
  <c r="K8" i="49"/>
  <c r="I8" i="49"/>
  <c r="F8" i="49"/>
  <c r="Q7" i="49"/>
  <c r="K7" i="49"/>
  <c r="I7" i="49"/>
  <c r="F7" i="49"/>
  <c r="Q6" i="49"/>
  <c r="T6" i="49" s="1"/>
  <c r="K6" i="49"/>
  <c r="I6" i="49"/>
  <c r="L6" i="49" s="1"/>
  <c r="N6" i="49" s="1"/>
  <c r="Q5" i="49"/>
  <c r="K5" i="49"/>
  <c r="I5" i="49"/>
  <c r="F5" i="49"/>
  <c r="F36" i="48"/>
  <c r="F34" i="48"/>
  <c r="M26" i="48"/>
  <c r="F40" i="48" s="1"/>
  <c r="L26" i="48"/>
  <c r="N26" i="48" s="1"/>
  <c r="F21" i="48"/>
  <c r="F20" i="48"/>
  <c r="L20" i="48" s="1"/>
  <c r="N20" i="48" s="1"/>
  <c r="Q13" i="48"/>
  <c r="K13" i="48"/>
  <c r="I13" i="48"/>
  <c r="F13" i="48"/>
  <c r="Q12" i="48"/>
  <c r="K12" i="48"/>
  <c r="I12" i="48"/>
  <c r="F12" i="48"/>
  <c r="Q11" i="48"/>
  <c r="K11" i="48"/>
  <c r="I11" i="48"/>
  <c r="F11" i="48"/>
  <c r="Q10" i="48"/>
  <c r="K10" i="48"/>
  <c r="I10" i="48"/>
  <c r="F10" i="48"/>
  <c r="Q9" i="48"/>
  <c r="K9" i="48"/>
  <c r="I9" i="48"/>
  <c r="F9" i="48"/>
  <c r="Q8" i="48"/>
  <c r="K8" i="48"/>
  <c r="I8" i="48"/>
  <c r="F8" i="48"/>
  <c r="Q7" i="48"/>
  <c r="K7" i="48"/>
  <c r="I7" i="48"/>
  <c r="F7" i="48"/>
  <c r="Q6" i="48"/>
  <c r="K6" i="48"/>
  <c r="I6" i="48"/>
  <c r="F6" i="48"/>
  <c r="Q5" i="48"/>
  <c r="K5" i="48"/>
  <c r="I5" i="48"/>
  <c r="F5" i="48"/>
  <c r="F36" i="47"/>
  <c r="F34" i="47"/>
  <c r="M26" i="47"/>
  <c r="F40" i="47" s="1"/>
  <c r="L26" i="47"/>
  <c r="N26" i="47" s="1"/>
  <c r="F21" i="47"/>
  <c r="F20" i="47"/>
  <c r="L20" i="47" s="1"/>
  <c r="N20" i="47" s="1"/>
  <c r="Q17" i="47"/>
  <c r="K17" i="47"/>
  <c r="I17" i="47"/>
  <c r="F17" i="47"/>
  <c r="Q16" i="47"/>
  <c r="K16" i="47"/>
  <c r="I16" i="47"/>
  <c r="F16" i="47"/>
  <c r="Q15" i="47"/>
  <c r="K15" i="47"/>
  <c r="I15" i="47"/>
  <c r="F15" i="47"/>
  <c r="Q14" i="47"/>
  <c r="K14" i="47"/>
  <c r="I14" i="47"/>
  <c r="F14" i="47"/>
  <c r="Q13" i="47"/>
  <c r="K13" i="47"/>
  <c r="I13" i="47"/>
  <c r="F13" i="47"/>
  <c r="Q12" i="47"/>
  <c r="K12" i="47"/>
  <c r="I12" i="47"/>
  <c r="F12" i="47"/>
  <c r="Q11" i="47"/>
  <c r="K11" i="47"/>
  <c r="I11" i="47"/>
  <c r="F11" i="47"/>
  <c r="Q10" i="47"/>
  <c r="K10" i="47"/>
  <c r="I10" i="47"/>
  <c r="F10" i="47"/>
  <c r="Q9" i="47"/>
  <c r="K9" i="47"/>
  <c r="I9" i="47"/>
  <c r="F9" i="47"/>
  <c r="Q8" i="47"/>
  <c r="K8" i="47"/>
  <c r="I8" i="47"/>
  <c r="F8" i="47"/>
  <c r="Q7" i="47"/>
  <c r="K7" i="47"/>
  <c r="I7" i="47"/>
  <c r="F7" i="47"/>
  <c r="Q6" i="47"/>
  <c r="K6" i="47"/>
  <c r="I6" i="47"/>
  <c r="F6" i="47"/>
  <c r="Q5" i="47"/>
  <c r="K5" i="47"/>
  <c r="I5" i="47"/>
  <c r="F5" i="47"/>
  <c r="F36" i="46"/>
  <c r="F34" i="46"/>
  <c r="M26" i="46"/>
  <c r="F40" i="46" s="1"/>
  <c r="L26" i="46"/>
  <c r="N26" i="46" s="1"/>
  <c r="F21" i="46"/>
  <c r="F20" i="46"/>
  <c r="L20" i="46" s="1"/>
  <c r="N20" i="46" s="1"/>
  <c r="Q11" i="46"/>
  <c r="K11" i="46"/>
  <c r="I11" i="46"/>
  <c r="F11" i="46"/>
  <c r="Q10" i="46"/>
  <c r="K10" i="46"/>
  <c r="I10" i="46"/>
  <c r="F10" i="46"/>
  <c r="Q9" i="46"/>
  <c r="K9" i="46"/>
  <c r="I9" i="46"/>
  <c r="F9" i="46"/>
  <c r="Q8" i="46"/>
  <c r="K8" i="46"/>
  <c r="I8" i="46"/>
  <c r="F8" i="46"/>
  <c r="Q7" i="46"/>
  <c r="K7" i="46"/>
  <c r="I7" i="46"/>
  <c r="F7" i="46"/>
  <c r="Q6" i="46"/>
  <c r="K6" i="46"/>
  <c r="I6" i="46"/>
  <c r="F6" i="46"/>
  <c r="Q5" i="46"/>
  <c r="K5" i="46"/>
  <c r="I5" i="46"/>
  <c r="F5" i="46"/>
  <c r="F36" i="45"/>
  <c r="F34" i="45"/>
  <c r="M26" i="45"/>
  <c r="F40" i="45" s="1"/>
  <c r="L26" i="45"/>
  <c r="N26" i="45" s="1"/>
  <c r="F21" i="45"/>
  <c r="F20" i="45"/>
  <c r="L20" i="45" s="1"/>
  <c r="N20" i="45" s="1"/>
  <c r="Q7" i="45"/>
  <c r="K7" i="45"/>
  <c r="I7" i="45"/>
  <c r="F7" i="45"/>
  <c r="Q6" i="45"/>
  <c r="K6" i="45"/>
  <c r="I6" i="45"/>
  <c r="F6" i="45"/>
  <c r="Q5" i="45"/>
  <c r="K5" i="45"/>
  <c r="I5" i="45"/>
  <c r="F5" i="45"/>
  <c r="F36" i="44"/>
  <c r="F34" i="44"/>
  <c r="M26" i="44"/>
  <c r="F40" i="44" s="1"/>
  <c r="L26" i="44"/>
  <c r="N26" i="44" s="1"/>
  <c r="F21" i="44"/>
  <c r="F20" i="44"/>
  <c r="L20" i="44" s="1"/>
  <c r="N20" i="44" s="1"/>
  <c r="Q11" i="44"/>
  <c r="K11" i="44"/>
  <c r="I11" i="44"/>
  <c r="F11" i="44"/>
  <c r="Q10" i="44"/>
  <c r="K10" i="44"/>
  <c r="I10" i="44"/>
  <c r="F10" i="44"/>
  <c r="Q9" i="44"/>
  <c r="K9" i="44"/>
  <c r="I9" i="44"/>
  <c r="F9" i="44"/>
  <c r="Q8" i="44"/>
  <c r="K8" i="44"/>
  <c r="I8" i="44"/>
  <c r="F8" i="44"/>
  <c r="Q7" i="44"/>
  <c r="K7" i="44"/>
  <c r="I7" i="44"/>
  <c r="F7" i="44"/>
  <c r="Q6" i="44"/>
  <c r="K6" i="44"/>
  <c r="I6" i="44"/>
  <c r="F6" i="44"/>
  <c r="Q5" i="44"/>
  <c r="K5" i="44"/>
  <c r="I5" i="44"/>
  <c r="F5" i="44"/>
  <c r="F36" i="43"/>
  <c r="F34" i="43"/>
  <c r="M26" i="43"/>
  <c r="F40" i="43" s="1"/>
  <c r="L26" i="43"/>
  <c r="N26" i="43" s="1"/>
  <c r="F21" i="43"/>
  <c r="F20" i="43"/>
  <c r="L20" i="43" s="1"/>
  <c r="N20" i="43" s="1"/>
  <c r="Q8" i="43"/>
  <c r="K8" i="43"/>
  <c r="I8" i="43"/>
  <c r="F8" i="43"/>
  <c r="Q7" i="43"/>
  <c r="K7" i="43"/>
  <c r="I7" i="43"/>
  <c r="F7" i="43"/>
  <c r="Q6" i="43"/>
  <c r="K6" i="43"/>
  <c r="I6" i="43"/>
  <c r="F6" i="43"/>
  <c r="Q5" i="43"/>
  <c r="K5" i="43"/>
  <c r="I5" i="43"/>
  <c r="F5" i="43"/>
  <c r="F36" i="42"/>
  <c r="F34" i="42"/>
  <c r="M26" i="42"/>
  <c r="F40" i="42" s="1"/>
  <c r="L26" i="42"/>
  <c r="N26" i="42" s="1"/>
  <c r="F21" i="42"/>
  <c r="F20" i="42"/>
  <c r="L20" i="42" s="1"/>
  <c r="N20" i="42" s="1"/>
  <c r="Q17" i="42"/>
  <c r="K17" i="42"/>
  <c r="I17" i="42"/>
  <c r="F17" i="42"/>
  <c r="Q16" i="42"/>
  <c r="K16" i="42"/>
  <c r="I16" i="42"/>
  <c r="F16" i="42"/>
  <c r="Q15" i="42"/>
  <c r="K15" i="42"/>
  <c r="I15" i="42"/>
  <c r="F15" i="42"/>
  <c r="Q14" i="42"/>
  <c r="K14" i="42"/>
  <c r="I14" i="42"/>
  <c r="F14" i="42"/>
  <c r="Q13" i="42"/>
  <c r="K13" i="42"/>
  <c r="I13" i="42"/>
  <c r="F13" i="42"/>
  <c r="Q12" i="42"/>
  <c r="T12" i="42" s="1"/>
  <c r="K12" i="42"/>
  <c r="I12" i="42"/>
  <c r="L12" i="42" s="1"/>
  <c r="N12" i="42" s="1"/>
  <c r="Q11" i="42"/>
  <c r="K11" i="42"/>
  <c r="I11" i="42"/>
  <c r="F11" i="42"/>
  <c r="Q10" i="42"/>
  <c r="K10" i="42"/>
  <c r="I10" i="42"/>
  <c r="F10" i="42"/>
  <c r="Q9" i="42"/>
  <c r="K9" i="42"/>
  <c r="I9" i="42"/>
  <c r="F9" i="42"/>
  <c r="Q8" i="42"/>
  <c r="K8" i="42"/>
  <c r="I8" i="42"/>
  <c r="F8" i="42"/>
  <c r="Q7" i="42"/>
  <c r="K7" i="42"/>
  <c r="I7" i="42"/>
  <c r="F7" i="42"/>
  <c r="Q6" i="42"/>
  <c r="K6" i="42"/>
  <c r="I6" i="42"/>
  <c r="F6" i="42"/>
  <c r="Q5" i="42"/>
  <c r="K5" i="42"/>
  <c r="I5" i="42"/>
  <c r="F5" i="42"/>
  <c r="F36" i="41"/>
  <c r="F34" i="41"/>
  <c r="M26" i="41"/>
  <c r="F40" i="41" s="1"/>
  <c r="L26" i="41"/>
  <c r="N26" i="41" s="1"/>
  <c r="F21" i="41"/>
  <c r="F20" i="41"/>
  <c r="L20" i="41" s="1"/>
  <c r="N20" i="41" s="1"/>
  <c r="Q10" i="41"/>
  <c r="K10" i="41"/>
  <c r="I10" i="41"/>
  <c r="F10" i="41"/>
  <c r="Q9" i="41"/>
  <c r="K9" i="41"/>
  <c r="I9" i="41"/>
  <c r="F9" i="41"/>
  <c r="Q8" i="41"/>
  <c r="K8" i="41"/>
  <c r="I8" i="41"/>
  <c r="F8" i="41"/>
  <c r="Q7" i="41"/>
  <c r="K7" i="41"/>
  <c r="I7" i="41"/>
  <c r="F7" i="41"/>
  <c r="Q6" i="41"/>
  <c r="K6" i="41"/>
  <c r="I6" i="41"/>
  <c r="F6" i="41"/>
  <c r="Q5" i="41"/>
  <c r="K5" i="41"/>
  <c r="I5" i="41"/>
  <c r="F5" i="41"/>
  <c r="F36" i="40"/>
  <c r="F34" i="40"/>
  <c r="M26" i="40"/>
  <c r="F40" i="40" s="1"/>
  <c r="L26" i="40"/>
  <c r="N26" i="40" s="1"/>
  <c r="F21" i="40"/>
  <c r="F20" i="40"/>
  <c r="L20" i="40" s="1"/>
  <c r="N20" i="40" s="1"/>
  <c r="Q12" i="40"/>
  <c r="K12" i="40"/>
  <c r="I12" i="40"/>
  <c r="F12" i="40"/>
  <c r="Q11" i="40"/>
  <c r="K11" i="40"/>
  <c r="I11" i="40"/>
  <c r="F11" i="40"/>
  <c r="Q10" i="40"/>
  <c r="K10" i="40"/>
  <c r="I10" i="40"/>
  <c r="F10" i="40"/>
  <c r="Q9" i="40"/>
  <c r="K9" i="40"/>
  <c r="I9" i="40"/>
  <c r="F9" i="40"/>
  <c r="Q8" i="40"/>
  <c r="K8" i="40"/>
  <c r="I8" i="40"/>
  <c r="F8" i="40"/>
  <c r="Q7" i="40"/>
  <c r="K7" i="40"/>
  <c r="I7" i="40"/>
  <c r="F7" i="40"/>
  <c r="Q6" i="40"/>
  <c r="K6" i="40"/>
  <c r="I6" i="40"/>
  <c r="F6" i="40"/>
  <c r="Q5" i="40"/>
  <c r="K5" i="40"/>
  <c r="I5" i="40"/>
  <c r="F5" i="40"/>
  <c r="F36" i="39"/>
  <c r="F34" i="39"/>
  <c r="M26" i="39"/>
  <c r="F40" i="39" s="1"/>
  <c r="L26" i="39"/>
  <c r="N26" i="39" s="1"/>
  <c r="F21" i="39"/>
  <c r="F20" i="39"/>
  <c r="L20" i="39" s="1"/>
  <c r="N20" i="39" s="1"/>
  <c r="Q11" i="39"/>
  <c r="K11" i="39"/>
  <c r="I11" i="39"/>
  <c r="F11" i="39"/>
  <c r="Q10" i="39"/>
  <c r="K10" i="39"/>
  <c r="I10" i="39"/>
  <c r="F10" i="39"/>
  <c r="Q9" i="39"/>
  <c r="K9" i="39"/>
  <c r="I9" i="39"/>
  <c r="F9" i="39"/>
  <c r="Q8" i="39"/>
  <c r="K8" i="39"/>
  <c r="I8" i="39"/>
  <c r="F8" i="39"/>
  <c r="Q7" i="39"/>
  <c r="K7" i="39"/>
  <c r="I7" i="39"/>
  <c r="F7" i="39"/>
  <c r="Q6" i="39"/>
  <c r="K6" i="39"/>
  <c r="I6" i="39"/>
  <c r="F6" i="39"/>
  <c r="Q5" i="39"/>
  <c r="K5" i="39"/>
  <c r="I5" i="39"/>
  <c r="F5" i="39"/>
  <c r="F36" i="38"/>
  <c r="F34" i="38"/>
  <c r="M26" i="38"/>
  <c r="F40" i="38" s="1"/>
  <c r="L26" i="38"/>
  <c r="N26" i="38" s="1"/>
  <c r="F21" i="38"/>
  <c r="F20" i="38"/>
  <c r="L20" i="38" s="1"/>
  <c r="N20" i="38" s="1"/>
  <c r="Q14" i="38"/>
  <c r="T14" i="38" s="1"/>
  <c r="K14" i="38"/>
  <c r="I14" i="38"/>
  <c r="F14" i="38"/>
  <c r="L14" i="38" s="1"/>
  <c r="N14" i="38" s="1"/>
  <c r="Q13" i="38"/>
  <c r="K13" i="38"/>
  <c r="I13" i="38"/>
  <c r="F13" i="38"/>
  <c r="Q12" i="38"/>
  <c r="K12" i="38"/>
  <c r="I12" i="38"/>
  <c r="F12" i="38"/>
  <c r="Q11" i="38"/>
  <c r="K11" i="38"/>
  <c r="I11" i="38"/>
  <c r="F11" i="38"/>
  <c r="Q10" i="38"/>
  <c r="K10" i="38"/>
  <c r="I10" i="38"/>
  <c r="F10" i="38"/>
  <c r="Q9" i="38"/>
  <c r="K9" i="38"/>
  <c r="I9" i="38"/>
  <c r="F9" i="38"/>
  <c r="Q8" i="38"/>
  <c r="K8" i="38"/>
  <c r="I8" i="38"/>
  <c r="F8" i="38"/>
  <c r="Q7" i="38"/>
  <c r="K7" i="38"/>
  <c r="I7" i="38"/>
  <c r="F7" i="38"/>
  <c r="Q6" i="38"/>
  <c r="K6" i="38"/>
  <c r="I6" i="38"/>
  <c r="F6" i="38"/>
  <c r="Q5" i="38"/>
  <c r="K5" i="38"/>
  <c r="I5" i="38"/>
  <c r="F5" i="38"/>
  <c r="F36" i="37"/>
  <c r="F34" i="37"/>
  <c r="M26" i="37"/>
  <c r="F40" i="37" s="1"/>
  <c r="L26" i="37"/>
  <c r="N26" i="37" s="1"/>
  <c r="F21" i="37"/>
  <c r="F20" i="37"/>
  <c r="L20" i="37" s="1"/>
  <c r="N20" i="37" s="1"/>
  <c r="Q12" i="37"/>
  <c r="K12" i="37"/>
  <c r="I12" i="37"/>
  <c r="F12" i="37"/>
  <c r="Q11" i="37"/>
  <c r="K11" i="37"/>
  <c r="I11" i="37"/>
  <c r="F11" i="37"/>
  <c r="Q10" i="37"/>
  <c r="K10" i="37"/>
  <c r="I10" i="37"/>
  <c r="F10" i="37"/>
  <c r="Q9" i="37"/>
  <c r="K9" i="37"/>
  <c r="I9" i="37"/>
  <c r="F9" i="37"/>
  <c r="Q8" i="37"/>
  <c r="K8" i="37"/>
  <c r="I8" i="37"/>
  <c r="F8" i="37"/>
  <c r="Q7" i="37"/>
  <c r="K7" i="37"/>
  <c r="I7" i="37"/>
  <c r="F7" i="37"/>
  <c r="Q6" i="37"/>
  <c r="K6" i="37"/>
  <c r="I6" i="37"/>
  <c r="F6" i="37"/>
  <c r="Q5" i="37"/>
  <c r="K5" i="37"/>
  <c r="I5" i="37"/>
  <c r="F5" i="37"/>
  <c r="F36" i="36"/>
  <c r="F34" i="36"/>
  <c r="M26" i="36"/>
  <c r="F40" i="36" s="1"/>
  <c r="L26" i="36"/>
  <c r="N26" i="36" s="1"/>
  <c r="F21" i="36"/>
  <c r="F20" i="36"/>
  <c r="L20" i="36" s="1"/>
  <c r="N20" i="36" s="1"/>
  <c r="Q9" i="36"/>
  <c r="K9" i="36"/>
  <c r="I9" i="36"/>
  <c r="F9" i="36"/>
  <c r="Q8" i="36"/>
  <c r="K8" i="36"/>
  <c r="I8" i="36"/>
  <c r="F8" i="36"/>
  <c r="Q7" i="36"/>
  <c r="K7" i="36"/>
  <c r="I7" i="36"/>
  <c r="F7" i="36"/>
  <c r="Q6" i="36"/>
  <c r="K6" i="36"/>
  <c r="I6" i="36"/>
  <c r="F6" i="36"/>
  <c r="Q5" i="36"/>
  <c r="K5" i="36"/>
  <c r="I5" i="36"/>
  <c r="F5" i="36"/>
  <c r="F36" i="35"/>
  <c r="F34" i="35"/>
  <c r="M26" i="35"/>
  <c r="F40" i="35" s="1"/>
  <c r="L26" i="35"/>
  <c r="N26" i="35" s="1"/>
  <c r="F21" i="35"/>
  <c r="F20" i="35"/>
  <c r="L20" i="35" s="1"/>
  <c r="N20" i="35" s="1"/>
  <c r="R9" i="35"/>
  <c r="Q9" i="35"/>
  <c r="K9" i="35"/>
  <c r="S9" i="35" s="1"/>
  <c r="I9" i="35"/>
  <c r="F9" i="35"/>
  <c r="R8" i="35"/>
  <c r="Q8" i="35"/>
  <c r="K8" i="35"/>
  <c r="S8" i="35" s="1"/>
  <c r="I8" i="35"/>
  <c r="F8" i="35"/>
  <c r="R7" i="35"/>
  <c r="Q7" i="35"/>
  <c r="K7" i="35"/>
  <c r="S7" i="35" s="1"/>
  <c r="I7" i="35"/>
  <c r="F7" i="35"/>
  <c r="R6" i="35"/>
  <c r="Q6" i="35"/>
  <c r="K6" i="35"/>
  <c r="S6" i="35" s="1"/>
  <c r="I6" i="35"/>
  <c r="F6" i="35"/>
  <c r="R5" i="35"/>
  <c r="Q5" i="35"/>
  <c r="K5" i="35"/>
  <c r="S5" i="35" s="1"/>
  <c r="I5" i="35"/>
  <c r="F5" i="35"/>
  <c r="F36" i="34"/>
  <c r="F34" i="34"/>
  <c r="M26" i="34"/>
  <c r="F40" i="34" s="1"/>
  <c r="L26" i="34"/>
  <c r="N26" i="34" s="1"/>
  <c r="F21" i="34"/>
  <c r="F20" i="34"/>
  <c r="L20" i="34" s="1"/>
  <c r="N20" i="34" s="1"/>
  <c r="Q14" i="34"/>
  <c r="K14" i="34"/>
  <c r="I14" i="34"/>
  <c r="F14" i="34"/>
  <c r="Q13" i="34"/>
  <c r="K13" i="34"/>
  <c r="I13" i="34"/>
  <c r="F13" i="34"/>
  <c r="Q12" i="34"/>
  <c r="K12" i="34"/>
  <c r="I12" i="34"/>
  <c r="F12" i="34"/>
  <c r="Q11" i="34"/>
  <c r="K11" i="34"/>
  <c r="I11" i="34"/>
  <c r="F11" i="34"/>
  <c r="Q10" i="34"/>
  <c r="K10" i="34"/>
  <c r="I10" i="34"/>
  <c r="F10" i="34"/>
  <c r="Q9" i="34"/>
  <c r="K9" i="34"/>
  <c r="I9" i="34"/>
  <c r="F9" i="34"/>
  <c r="Q8" i="34"/>
  <c r="K8" i="34"/>
  <c r="I8" i="34"/>
  <c r="F8" i="34"/>
  <c r="Q7" i="34"/>
  <c r="K7" i="34"/>
  <c r="I7" i="34"/>
  <c r="F7" i="34"/>
  <c r="Q6" i="34"/>
  <c r="K6" i="34"/>
  <c r="I6" i="34"/>
  <c r="F6" i="34"/>
  <c r="Q5" i="34"/>
  <c r="K5" i="34"/>
  <c r="I5" i="34"/>
  <c r="F5" i="34"/>
  <c r="F36" i="33"/>
  <c r="F34" i="33"/>
  <c r="M26" i="33"/>
  <c r="F40" i="33" s="1"/>
  <c r="L26" i="33"/>
  <c r="N26" i="33" s="1"/>
  <c r="F21" i="33"/>
  <c r="F20" i="33"/>
  <c r="L20" i="33" s="1"/>
  <c r="N20" i="33" s="1"/>
  <c r="Q12" i="33"/>
  <c r="K12" i="33"/>
  <c r="I12" i="33"/>
  <c r="F12" i="33"/>
  <c r="Q11" i="33"/>
  <c r="K11" i="33"/>
  <c r="I11" i="33"/>
  <c r="F11" i="33"/>
  <c r="Q10" i="33"/>
  <c r="K10" i="33"/>
  <c r="I10" i="33"/>
  <c r="F10" i="33"/>
  <c r="Q9" i="33"/>
  <c r="K9" i="33"/>
  <c r="I9" i="33"/>
  <c r="F9" i="33"/>
  <c r="Q8" i="33"/>
  <c r="K8" i="33"/>
  <c r="I8" i="33"/>
  <c r="F8" i="33"/>
  <c r="Q7" i="33"/>
  <c r="K7" i="33"/>
  <c r="I7" i="33"/>
  <c r="F7" i="33"/>
  <c r="Q6" i="33"/>
  <c r="K6" i="33"/>
  <c r="I6" i="33"/>
  <c r="F6" i="33"/>
  <c r="Q5" i="33"/>
  <c r="K5" i="33"/>
  <c r="I5" i="33"/>
  <c r="F5" i="33"/>
  <c r="F36" i="32"/>
  <c r="F34" i="32"/>
  <c r="M26" i="32"/>
  <c r="F40" i="32" s="1"/>
  <c r="L26" i="32"/>
  <c r="N26" i="32" s="1"/>
  <c r="F21" i="32"/>
  <c r="F20" i="32"/>
  <c r="L20" i="32" s="1"/>
  <c r="N20" i="32" s="1"/>
  <c r="Q14" i="32"/>
  <c r="K14" i="32"/>
  <c r="I14" i="32"/>
  <c r="F14" i="32"/>
  <c r="Q13" i="32"/>
  <c r="K13" i="32"/>
  <c r="I13" i="32"/>
  <c r="Q12" i="32"/>
  <c r="K12" i="32"/>
  <c r="I12" i="32"/>
  <c r="F12" i="32"/>
  <c r="Q11" i="32"/>
  <c r="K11" i="32"/>
  <c r="I11" i="32"/>
  <c r="F11" i="32"/>
  <c r="Q10" i="32"/>
  <c r="K10" i="32"/>
  <c r="I10" i="32"/>
  <c r="F10" i="32"/>
  <c r="Q9" i="32"/>
  <c r="K9" i="32"/>
  <c r="I9" i="32"/>
  <c r="F9" i="32"/>
  <c r="Q8" i="32"/>
  <c r="K8" i="32"/>
  <c r="I8" i="32"/>
  <c r="F8" i="32"/>
  <c r="Q7" i="32"/>
  <c r="K7" i="32"/>
  <c r="I7" i="32"/>
  <c r="F7" i="32"/>
  <c r="Q6" i="32"/>
  <c r="K6" i="32"/>
  <c r="I6" i="32"/>
  <c r="F6" i="32"/>
  <c r="Q5" i="32"/>
  <c r="K5" i="32"/>
  <c r="I5" i="32"/>
  <c r="F5" i="32"/>
  <c r="F36" i="31"/>
  <c r="F34" i="31"/>
  <c r="M26" i="31"/>
  <c r="F40" i="31" s="1"/>
  <c r="L26" i="31"/>
  <c r="N26" i="31" s="1"/>
  <c r="F21" i="31"/>
  <c r="F20" i="31"/>
  <c r="L20" i="31" s="1"/>
  <c r="N20" i="31" s="1"/>
  <c r="Q9" i="31"/>
  <c r="K9" i="31"/>
  <c r="I9" i="31"/>
  <c r="F9" i="31"/>
  <c r="Q8" i="31"/>
  <c r="K8" i="31"/>
  <c r="I8" i="31"/>
  <c r="F8" i="31"/>
  <c r="Q7" i="31"/>
  <c r="K7" i="31"/>
  <c r="I7" i="31"/>
  <c r="F7" i="31"/>
  <c r="Q6" i="31"/>
  <c r="K6" i="31"/>
  <c r="I6" i="31"/>
  <c r="F6" i="31"/>
  <c r="Q5" i="31"/>
  <c r="K5" i="31"/>
  <c r="I5" i="31"/>
  <c r="F5" i="31"/>
  <c r="F36" i="30"/>
  <c r="F34" i="30"/>
  <c r="M26" i="30"/>
  <c r="F40" i="30" s="1"/>
  <c r="L26" i="30"/>
  <c r="N26" i="30" s="1"/>
  <c r="F21" i="30"/>
  <c r="F20" i="30"/>
  <c r="L20" i="30" s="1"/>
  <c r="N20" i="30" s="1"/>
  <c r="Q16" i="30"/>
  <c r="K16" i="30"/>
  <c r="I16" i="30"/>
  <c r="F16" i="30"/>
  <c r="Q15" i="30"/>
  <c r="T15" i="30" s="1"/>
  <c r="K15" i="30"/>
  <c r="I15" i="30"/>
  <c r="L15" i="30" s="1"/>
  <c r="N15" i="30" s="1"/>
  <c r="Q14" i="30"/>
  <c r="T14" i="30" s="1"/>
  <c r="K14" i="30"/>
  <c r="I14" i="30"/>
  <c r="L14" i="30" s="1"/>
  <c r="N14" i="30" s="1"/>
  <c r="Q13" i="30"/>
  <c r="K13" i="30"/>
  <c r="I13" i="30"/>
  <c r="F13" i="30"/>
  <c r="Q12" i="30"/>
  <c r="T12" i="30" s="1"/>
  <c r="K12" i="30"/>
  <c r="I12" i="30"/>
  <c r="L12" i="30" s="1"/>
  <c r="N12" i="30" s="1"/>
  <c r="Q11" i="30"/>
  <c r="K11" i="30"/>
  <c r="I11" i="30"/>
  <c r="F11" i="30"/>
  <c r="Q10" i="30"/>
  <c r="K10" i="30"/>
  <c r="I10" i="30"/>
  <c r="F10" i="30"/>
  <c r="Q9" i="30"/>
  <c r="K9" i="30"/>
  <c r="I9" i="30"/>
  <c r="F9" i="30"/>
  <c r="Q8" i="30"/>
  <c r="K8" i="30"/>
  <c r="I8" i="30"/>
  <c r="F8" i="30"/>
  <c r="Q7" i="30"/>
  <c r="K7" i="30"/>
  <c r="I7" i="30"/>
  <c r="F7" i="30"/>
  <c r="Q6" i="30"/>
  <c r="K6" i="30"/>
  <c r="I6" i="30"/>
  <c r="F6" i="30"/>
  <c r="Q5" i="30"/>
  <c r="K5" i="30"/>
  <c r="I5" i="30"/>
  <c r="F5" i="30"/>
  <c r="F36" i="29"/>
  <c r="F34" i="29"/>
  <c r="M26" i="29"/>
  <c r="F40" i="29" s="1"/>
  <c r="L26" i="29"/>
  <c r="N26" i="29" s="1"/>
  <c r="F20" i="29"/>
  <c r="L20" i="29" s="1"/>
  <c r="N20" i="29" s="1"/>
  <c r="Q11" i="29"/>
  <c r="K11" i="29"/>
  <c r="I11" i="29"/>
  <c r="F11" i="29"/>
  <c r="Q10" i="29"/>
  <c r="K10" i="29"/>
  <c r="I10" i="29"/>
  <c r="F10" i="29"/>
  <c r="Q9" i="29"/>
  <c r="K9" i="29"/>
  <c r="I9" i="29"/>
  <c r="F9" i="29"/>
  <c r="Q8" i="29"/>
  <c r="K8" i="29"/>
  <c r="I8" i="29"/>
  <c r="F8" i="29"/>
  <c r="Q7" i="29"/>
  <c r="K7" i="29"/>
  <c r="I7" i="29"/>
  <c r="F7" i="29"/>
  <c r="Q6" i="29"/>
  <c r="K6" i="29"/>
  <c r="I6" i="29"/>
  <c r="F6" i="29"/>
  <c r="Q5" i="29"/>
  <c r="K5" i="29"/>
  <c r="I5" i="29"/>
  <c r="F5" i="29"/>
  <c r="F36" i="28"/>
  <c r="F34" i="28"/>
  <c r="M26" i="28"/>
  <c r="F40" i="28" s="1"/>
  <c r="L26" i="28"/>
  <c r="N26" i="28" s="1"/>
  <c r="F21" i="28"/>
  <c r="F20" i="28"/>
  <c r="L20" i="28" s="1"/>
  <c r="N20" i="28" s="1"/>
  <c r="Q11" i="28"/>
  <c r="T11" i="28" s="1"/>
  <c r="K11" i="28"/>
  <c r="I11" i="28"/>
  <c r="L11" i="28" s="1"/>
  <c r="N11" i="28" s="1"/>
  <c r="Q10" i="28"/>
  <c r="K10" i="28"/>
  <c r="I10" i="28"/>
  <c r="F10" i="28"/>
  <c r="Q9" i="28"/>
  <c r="T9" i="28" s="1"/>
  <c r="K9" i="28"/>
  <c r="I9" i="28"/>
  <c r="L9" i="28" s="1"/>
  <c r="N9" i="28" s="1"/>
  <c r="Q8" i="28"/>
  <c r="T8" i="28" s="1"/>
  <c r="K8" i="28"/>
  <c r="I8" i="28"/>
  <c r="L8" i="28" s="1"/>
  <c r="N8" i="28" s="1"/>
  <c r="Q7" i="28"/>
  <c r="K7" i="28"/>
  <c r="I7" i="28"/>
  <c r="F7" i="28"/>
  <c r="Q6" i="28"/>
  <c r="T6" i="28" s="1"/>
  <c r="K6" i="28"/>
  <c r="I6" i="28"/>
  <c r="L6" i="28" s="1"/>
  <c r="N6" i="28" s="1"/>
  <c r="Q5" i="28"/>
  <c r="T5" i="28" s="1"/>
  <c r="K5" i="28"/>
  <c r="I5" i="28"/>
  <c r="L5" i="28" s="1"/>
  <c r="F36" i="27"/>
  <c r="F34" i="27"/>
  <c r="M26" i="27"/>
  <c r="F40" i="27" s="1"/>
  <c r="L26" i="27"/>
  <c r="N26" i="27" s="1"/>
  <c r="F21" i="27"/>
  <c r="F20" i="27"/>
  <c r="L20" i="27" s="1"/>
  <c r="N20" i="27" s="1"/>
  <c r="Q18" i="27"/>
  <c r="K18" i="27"/>
  <c r="I18" i="27"/>
  <c r="F18" i="27"/>
  <c r="Q17" i="27"/>
  <c r="K17" i="27"/>
  <c r="I17" i="27"/>
  <c r="F17" i="27"/>
  <c r="Q16" i="27"/>
  <c r="K16" i="27"/>
  <c r="I16" i="27"/>
  <c r="F16" i="27"/>
  <c r="Q15" i="27"/>
  <c r="K15" i="27"/>
  <c r="I15" i="27"/>
  <c r="F15" i="27"/>
  <c r="Q14" i="27"/>
  <c r="L14" i="27"/>
  <c r="N14" i="27" s="1"/>
  <c r="K14" i="27"/>
  <c r="I14" i="27"/>
  <c r="F14" i="27"/>
  <c r="T14" i="27" s="1"/>
  <c r="Q13" i="27"/>
  <c r="K13" i="27"/>
  <c r="I13" i="27"/>
  <c r="F13" i="27"/>
  <c r="Q12" i="27"/>
  <c r="K12" i="27"/>
  <c r="I12" i="27"/>
  <c r="F12" i="27"/>
  <c r="Q11" i="27"/>
  <c r="K11" i="27"/>
  <c r="I11" i="27"/>
  <c r="F11" i="27"/>
  <c r="Q10" i="27"/>
  <c r="K10" i="27"/>
  <c r="I10" i="27"/>
  <c r="F10" i="27"/>
  <c r="Q9" i="27"/>
  <c r="K9" i="27"/>
  <c r="I9" i="27"/>
  <c r="F9" i="27"/>
  <c r="Q8" i="27"/>
  <c r="K8" i="27"/>
  <c r="I8" i="27"/>
  <c r="F8" i="27"/>
  <c r="Q7" i="27"/>
  <c r="K7" i="27"/>
  <c r="I7" i="27"/>
  <c r="F7" i="27"/>
  <c r="Q6" i="27"/>
  <c r="K6" i="27"/>
  <c r="I6" i="27"/>
  <c r="F6" i="27"/>
  <c r="Q5" i="27"/>
  <c r="K5" i="27"/>
  <c r="I5" i="27"/>
  <c r="F5" i="27"/>
  <c r="F36" i="26"/>
  <c r="F34" i="26"/>
  <c r="M26" i="26"/>
  <c r="F40" i="26" s="1"/>
  <c r="L26" i="26"/>
  <c r="N26" i="26" s="1"/>
  <c r="F21" i="26"/>
  <c r="F20" i="26"/>
  <c r="L20" i="26" s="1"/>
  <c r="N20" i="26" s="1"/>
  <c r="Q16" i="26"/>
  <c r="K16" i="26"/>
  <c r="I16" i="26"/>
  <c r="F16" i="26"/>
  <c r="Q15" i="26"/>
  <c r="K15" i="26"/>
  <c r="I15" i="26"/>
  <c r="F15" i="26"/>
  <c r="Q14" i="26"/>
  <c r="K14" i="26"/>
  <c r="I14" i="26"/>
  <c r="F14" i="26"/>
  <c r="Q13" i="26"/>
  <c r="K13" i="26"/>
  <c r="I13" i="26"/>
  <c r="F13" i="26"/>
  <c r="Q12" i="26"/>
  <c r="K12" i="26"/>
  <c r="I12" i="26"/>
  <c r="F12" i="26"/>
  <c r="Q11" i="26"/>
  <c r="K11" i="26"/>
  <c r="I11" i="26"/>
  <c r="F11" i="26"/>
  <c r="Q10" i="26"/>
  <c r="K10" i="26"/>
  <c r="I10" i="26"/>
  <c r="F10" i="26"/>
  <c r="Q9" i="26"/>
  <c r="K9" i="26"/>
  <c r="I9" i="26"/>
  <c r="F9" i="26"/>
  <c r="Q8" i="26"/>
  <c r="K8" i="26"/>
  <c r="I8" i="26"/>
  <c r="F8" i="26"/>
  <c r="Q7" i="26"/>
  <c r="K7" i="26"/>
  <c r="I7" i="26"/>
  <c r="F7" i="26"/>
  <c r="Q6" i="26"/>
  <c r="K6" i="26"/>
  <c r="I6" i="26"/>
  <c r="F6" i="26"/>
  <c r="Q5" i="26"/>
  <c r="K5" i="26"/>
  <c r="I5" i="26"/>
  <c r="F5" i="26"/>
  <c r="F36" i="25"/>
  <c r="F34" i="25"/>
  <c r="M26" i="25"/>
  <c r="F40" i="25" s="1"/>
  <c r="L26" i="25"/>
  <c r="N26" i="25" s="1"/>
  <c r="F21" i="25"/>
  <c r="F20" i="25"/>
  <c r="L20" i="25" s="1"/>
  <c r="N20" i="25" s="1"/>
  <c r="Q16" i="25"/>
  <c r="K16" i="25"/>
  <c r="I16" i="25"/>
  <c r="F16" i="25"/>
  <c r="Q15" i="25"/>
  <c r="K15" i="25"/>
  <c r="I15" i="25"/>
  <c r="F15" i="25"/>
  <c r="Q14" i="25"/>
  <c r="K14" i="25"/>
  <c r="I14" i="25"/>
  <c r="F14" i="25"/>
  <c r="Q13" i="25"/>
  <c r="K13" i="25"/>
  <c r="I13" i="25"/>
  <c r="F13" i="25"/>
  <c r="Q12" i="25"/>
  <c r="K12" i="25"/>
  <c r="I12" i="25"/>
  <c r="F12" i="25"/>
  <c r="Q11" i="25"/>
  <c r="K11" i="25"/>
  <c r="I11" i="25"/>
  <c r="F11" i="25"/>
  <c r="Q10" i="25"/>
  <c r="K10" i="25"/>
  <c r="I10" i="25"/>
  <c r="F10" i="25"/>
  <c r="Q9" i="25"/>
  <c r="K9" i="25"/>
  <c r="I9" i="25"/>
  <c r="F9" i="25"/>
  <c r="Q8" i="25"/>
  <c r="K8" i="25"/>
  <c r="I8" i="25"/>
  <c r="F8" i="25"/>
  <c r="Q7" i="25"/>
  <c r="K7" i="25"/>
  <c r="I7" i="25"/>
  <c r="F7" i="25"/>
  <c r="Q6" i="25"/>
  <c r="K6" i="25"/>
  <c r="I6" i="25"/>
  <c r="F6" i="25"/>
  <c r="Q5" i="25"/>
  <c r="K5" i="25"/>
  <c r="I5" i="25"/>
  <c r="F5" i="25"/>
  <c r="F36" i="24"/>
  <c r="F34" i="24"/>
  <c r="M26" i="24"/>
  <c r="F40" i="24" s="1"/>
  <c r="L26" i="24"/>
  <c r="N26" i="24" s="1"/>
  <c r="F21" i="24"/>
  <c r="F20" i="24"/>
  <c r="L20" i="24" s="1"/>
  <c r="N20" i="24" s="1"/>
  <c r="Q12" i="24"/>
  <c r="K12" i="24"/>
  <c r="I12" i="24"/>
  <c r="F12" i="24"/>
  <c r="Q11" i="24"/>
  <c r="K11" i="24"/>
  <c r="I11" i="24"/>
  <c r="F11" i="24"/>
  <c r="Q10" i="24"/>
  <c r="K10" i="24"/>
  <c r="I10" i="24"/>
  <c r="F10" i="24"/>
  <c r="Q9" i="24"/>
  <c r="K9" i="24"/>
  <c r="I9" i="24"/>
  <c r="F9" i="24"/>
  <c r="Q8" i="24"/>
  <c r="K8" i="24"/>
  <c r="I8" i="24"/>
  <c r="F8" i="24"/>
  <c r="Q7" i="24"/>
  <c r="K7" i="24"/>
  <c r="I7" i="24"/>
  <c r="F7" i="24"/>
  <c r="Q6" i="24"/>
  <c r="K6" i="24"/>
  <c r="I6" i="24"/>
  <c r="F6" i="24"/>
  <c r="Q5" i="24"/>
  <c r="K5" i="24"/>
  <c r="I5" i="24"/>
  <c r="F5" i="24"/>
  <c r="F36" i="23"/>
  <c r="F34" i="23"/>
  <c r="M26" i="23"/>
  <c r="F40" i="23" s="1"/>
  <c r="L26" i="23"/>
  <c r="N26" i="23" s="1"/>
  <c r="F21" i="23"/>
  <c r="F20" i="23"/>
  <c r="L20" i="23" s="1"/>
  <c r="N20" i="23" s="1"/>
  <c r="Q15" i="23"/>
  <c r="K15" i="23"/>
  <c r="I15" i="23"/>
  <c r="F15" i="23"/>
  <c r="Q14" i="23"/>
  <c r="K14" i="23"/>
  <c r="I14" i="23"/>
  <c r="F14" i="23"/>
  <c r="Q13" i="23"/>
  <c r="K13" i="23"/>
  <c r="I13" i="23"/>
  <c r="F13" i="23"/>
  <c r="Q12" i="23"/>
  <c r="K12" i="23"/>
  <c r="I12" i="23"/>
  <c r="F12" i="23"/>
  <c r="Q11" i="23"/>
  <c r="K11" i="23"/>
  <c r="I11" i="23"/>
  <c r="F11" i="23"/>
  <c r="Q10" i="23"/>
  <c r="K10" i="23"/>
  <c r="I10" i="23"/>
  <c r="F10" i="23"/>
  <c r="Q9" i="23"/>
  <c r="K9" i="23"/>
  <c r="I9" i="23"/>
  <c r="F9" i="23"/>
  <c r="Q8" i="23"/>
  <c r="K8" i="23"/>
  <c r="I8" i="23"/>
  <c r="F8" i="23"/>
  <c r="Q7" i="23"/>
  <c r="K7" i="23"/>
  <c r="I7" i="23"/>
  <c r="F7" i="23"/>
  <c r="Q6" i="23"/>
  <c r="K6" i="23"/>
  <c r="I6" i="23"/>
  <c r="F6" i="23"/>
  <c r="Q5" i="23"/>
  <c r="K5" i="23"/>
  <c r="I5" i="23"/>
  <c r="F5" i="23"/>
  <c r="F36" i="22"/>
  <c r="F34" i="22"/>
  <c r="M26" i="22"/>
  <c r="F40" i="22" s="1"/>
  <c r="L26" i="22"/>
  <c r="N26" i="22" s="1"/>
  <c r="F21" i="22"/>
  <c r="F20" i="22"/>
  <c r="L20" i="22" s="1"/>
  <c r="N20" i="22" s="1"/>
  <c r="Q18" i="22"/>
  <c r="K18" i="22"/>
  <c r="I18" i="22"/>
  <c r="F18" i="22"/>
  <c r="Q17" i="22"/>
  <c r="K17" i="22"/>
  <c r="I17" i="22"/>
  <c r="F17" i="22"/>
  <c r="Q16" i="22"/>
  <c r="K16" i="22"/>
  <c r="I16" i="22"/>
  <c r="F16" i="22"/>
  <c r="Q15" i="22"/>
  <c r="K15" i="22"/>
  <c r="I15" i="22"/>
  <c r="F15" i="22"/>
  <c r="Q14" i="22"/>
  <c r="K14" i="22"/>
  <c r="I14" i="22"/>
  <c r="F14" i="22"/>
  <c r="Q13" i="22"/>
  <c r="K13" i="22"/>
  <c r="I13" i="22"/>
  <c r="F13" i="22"/>
  <c r="Q12" i="22"/>
  <c r="K12" i="22"/>
  <c r="I12" i="22"/>
  <c r="F12" i="22"/>
  <c r="Q11" i="22"/>
  <c r="K11" i="22"/>
  <c r="I11" i="22"/>
  <c r="F11" i="22"/>
  <c r="Q10" i="22"/>
  <c r="K10" i="22"/>
  <c r="I10" i="22"/>
  <c r="F10" i="22"/>
  <c r="Q9" i="22"/>
  <c r="T9" i="22" s="1"/>
  <c r="L9" i="22"/>
  <c r="N9" i="22" s="1"/>
  <c r="K9" i="22"/>
  <c r="I9" i="22"/>
  <c r="F9" i="22"/>
  <c r="Q8" i="22"/>
  <c r="K8" i="22"/>
  <c r="I8" i="22"/>
  <c r="F8" i="22"/>
  <c r="Q7" i="22"/>
  <c r="K7" i="22"/>
  <c r="I7" i="22"/>
  <c r="F7" i="22"/>
  <c r="Q6" i="22"/>
  <c r="K6" i="22"/>
  <c r="I6" i="22"/>
  <c r="F6" i="22"/>
  <c r="Q5" i="22"/>
  <c r="K5" i="22"/>
  <c r="I5" i="22"/>
  <c r="F5" i="22"/>
  <c r="F36" i="21"/>
  <c r="F34" i="21"/>
  <c r="M26" i="21"/>
  <c r="F40" i="21" s="1"/>
  <c r="L26" i="21"/>
  <c r="N26" i="21" s="1"/>
  <c r="F21" i="21"/>
  <c r="F20" i="21"/>
  <c r="L20" i="21" s="1"/>
  <c r="N20" i="21" s="1"/>
  <c r="Q12" i="21"/>
  <c r="K12" i="21"/>
  <c r="I12" i="21"/>
  <c r="F12" i="21"/>
  <c r="Q11" i="21"/>
  <c r="K11" i="21"/>
  <c r="I11" i="21"/>
  <c r="F11" i="21"/>
  <c r="Q10" i="21"/>
  <c r="K10" i="21"/>
  <c r="I10" i="21"/>
  <c r="F10" i="21"/>
  <c r="Q9" i="21"/>
  <c r="K9" i="21"/>
  <c r="I9" i="21"/>
  <c r="F9" i="21"/>
  <c r="Q8" i="21"/>
  <c r="K8" i="21"/>
  <c r="I8" i="21"/>
  <c r="F8" i="21"/>
  <c r="Q7" i="21"/>
  <c r="K7" i="21"/>
  <c r="I7" i="21"/>
  <c r="F7" i="21"/>
  <c r="Q6" i="21"/>
  <c r="K6" i="21"/>
  <c r="I6" i="21"/>
  <c r="F6" i="21"/>
  <c r="Q5" i="21"/>
  <c r="K5" i="21"/>
  <c r="I5" i="21"/>
  <c r="F5" i="21"/>
  <c r="F36" i="20"/>
  <c r="F34" i="20"/>
  <c r="M26" i="20"/>
  <c r="F40" i="20" s="1"/>
  <c r="L26" i="20"/>
  <c r="N26" i="20" s="1"/>
  <c r="F21" i="20"/>
  <c r="F20" i="20"/>
  <c r="L20" i="20" s="1"/>
  <c r="N20" i="20" s="1"/>
  <c r="Q15" i="20"/>
  <c r="K15" i="20"/>
  <c r="I15" i="20"/>
  <c r="F15" i="20"/>
  <c r="Q10" i="20"/>
  <c r="K10" i="20"/>
  <c r="I10" i="20"/>
  <c r="F10" i="20"/>
  <c r="Q7" i="20"/>
  <c r="K7" i="20"/>
  <c r="I7" i="20"/>
  <c r="F7" i="20"/>
  <c r="Q6" i="20"/>
  <c r="K6" i="20"/>
  <c r="I6" i="20"/>
  <c r="F6" i="20"/>
  <c r="Q5" i="20"/>
  <c r="K5" i="20"/>
  <c r="I5" i="20"/>
  <c r="F5" i="20"/>
  <c r="F36" i="19"/>
  <c r="F34" i="19"/>
  <c r="M26" i="19"/>
  <c r="F40" i="19" s="1"/>
  <c r="L26" i="19"/>
  <c r="N26" i="19" s="1"/>
  <c r="F21" i="19"/>
  <c r="F20" i="19"/>
  <c r="L20" i="19" s="1"/>
  <c r="N20" i="19" s="1"/>
  <c r="Q11" i="19"/>
  <c r="K11" i="19"/>
  <c r="I11" i="19"/>
  <c r="F11" i="19"/>
  <c r="Q9" i="19"/>
  <c r="K9" i="19"/>
  <c r="I9" i="19"/>
  <c r="F9" i="19"/>
  <c r="Q8" i="19"/>
  <c r="K8" i="19"/>
  <c r="I8" i="19"/>
  <c r="F8" i="19"/>
  <c r="Q6" i="19"/>
  <c r="K6" i="19"/>
  <c r="I6" i="19"/>
  <c r="F6" i="19"/>
  <c r="Q5" i="19"/>
  <c r="K5" i="19"/>
  <c r="I5" i="19"/>
  <c r="F5" i="19"/>
  <c r="F36" i="18"/>
  <c r="F34" i="18"/>
  <c r="M26" i="18"/>
  <c r="F40" i="18" s="1"/>
  <c r="L26" i="18"/>
  <c r="N26" i="18" s="1"/>
  <c r="F21" i="18"/>
  <c r="Q10" i="18"/>
  <c r="K10" i="18"/>
  <c r="I10" i="18"/>
  <c r="F10" i="18"/>
  <c r="Q9" i="18"/>
  <c r="K9" i="18"/>
  <c r="I9" i="18"/>
  <c r="F9" i="18"/>
  <c r="Q8" i="18"/>
  <c r="K8" i="18"/>
  <c r="I8" i="18"/>
  <c r="F8" i="18"/>
  <c r="Q7" i="18"/>
  <c r="K7" i="18"/>
  <c r="I7" i="18"/>
  <c r="F7" i="18"/>
  <c r="F36" i="17"/>
  <c r="F34" i="17"/>
  <c r="M26" i="17"/>
  <c r="F40" i="17" s="1"/>
  <c r="L26" i="17"/>
  <c r="N26" i="17" s="1"/>
  <c r="F21" i="17"/>
  <c r="Q13" i="17"/>
  <c r="K13" i="17"/>
  <c r="I13" i="17"/>
  <c r="F13" i="17"/>
  <c r="Q12" i="17"/>
  <c r="K12" i="17"/>
  <c r="I12" i="17"/>
  <c r="F12" i="17"/>
  <c r="Q11" i="17"/>
  <c r="K11" i="17"/>
  <c r="I11" i="17"/>
  <c r="F11" i="17"/>
  <c r="Q10" i="17"/>
  <c r="K10" i="17"/>
  <c r="I10" i="17"/>
  <c r="F10" i="17"/>
  <c r="Q9" i="17"/>
  <c r="K9" i="17"/>
  <c r="I9" i="17"/>
  <c r="F9" i="17"/>
  <c r="Q8" i="17"/>
  <c r="K8" i="17"/>
  <c r="I8" i="17"/>
  <c r="F8" i="17"/>
  <c r="Q7" i="17"/>
  <c r="K7" i="17"/>
  <c r="I7" i="17"/>
  <c r="F7" i="17"/>
  <c r="Q6" i="17"/>
  <c r="K6" i="17"/>
  <c r="I6" i="17"/>
  <c r="F6" i="17"/>
  <c r="Q5" i="17"/>
  <c r="K5" i="17"/>
  <c r="I5" i="17"/>
  <c r="F5" i="17"/>
  <c r="F36" i="16"/>
  <c r="F34" i="16"/>
  <c r="M26" i="16"/>
  <c r="F40" i="16" s="1"/>
  <c r="L26" i="16"/>
  <c r="N26" i="16" s="1"/>
  <c r="F21" i="16"/>
  <c r="F20" i="16"/>
  <c r="L20" i="16" s="1"/>
  <c r="N20" i="16" s="1"/>
  <c r="Q15" i="16"/>
  <c r="K15" i="16"/>
  <c r="I15" i="16"/>
  <c r="F15" i="16"/>
  <c r="Q14" i="16"/>
  <c r="K14" i="16"/>
  <c r="I14" i="16"/>
  <c r="F14" i="16"/>
  <c r="Q13" i="16"/>
  <c r="K13" i="16"/>
  <c r="I13" i="16"/>
  <c r="F13" i="16"/>
  <c r="Q12" i="16"/>
  <c r="K12" i="16"/>
  <c r="I12" i="16"/>
  <c r="F12" i="16"/>
  <c r="Q11" i="16"/>
  <c r="K11" i="16"/>
  <c r="I11" i="16"/>
  <c r="F11" i="16"/>
  <c r="Q10" i="16"/>
  <c r="K10" i="16"/>
  <c r="I10" i="16"/>
  <c r="F10" i="16"/>
  <c r="Q9" i="16"/>
  <c r="K9" i="16"/>
  <c r="I9" i="16"/>
  <c r="F9" i="16"/>
  <c r="Q8" i="16"/>
  <c r="K8" i="16"/>
  <c r="I8" i="16"/>
  <c r="F8" i="16"/>
  <c r="Q7" i="16"/>
  <c r="K7" i="16"/>
  <c r="I7" i="16"/>
  <c r="F7" i="16"/>
  <c r="Q6" i="16"/>
  <c r="K6" i="16"/>
  <c r="I6" i="16"/>
  <c r="F6" i="16"/>
  <c r="Q5" i="16"/>
  <c r="K5" i="16"/>
  <c r="I5" i="16"/>
  <c r="F5" i="16"/>
  <c r="F36" i="15"/>
  <c r="F35" i="15"/>
  <c r="F37" i="15" s="1"/>
  <c r="F34" i="15"/>
  <c r="M27" i="15"/>
  <c r="F40" i="15" s="1"/>
  <c r="L27" i="15"/>
  <c r="N27" i="15" s="1"/>
  <c r="L25" i="15"/>
  <c r="N25" i="15" s="1"/>
  <c r="L24" i="15"/>
  <c r="N24" i="15" s="1"/>
  <c r="L23" i="15"/>
  <c r="N23" i="15" s="1"/>
  <c r="L22" i="15"/>
  <c r="N22" i="15" s="1"/>
  <c r="F21" i="15"/>
  <c r="L21" i="15" s="1"/>
  <c r="N21" i="15" s="1"/>
  <c r="F20" i="15"/>
  <c r="L20" i="15" s="1"/>
  <c r="N20" i="15" s="1"/>
  <c r="R15" i="15"/>
  <c r="Q15" i="15"/>
  <c r="K15" i="15"/>
  <c r="S15" i="15" s="1"/>
  <c r="I15" i="15"/>
  <c r="F15" i="15"/>
  <c r="R14" i="15"/>
  <c r="Q14" i="15"/>
  <c r="K14" i="15"/>
  <c r="S14" i="15" s="1"/>
  <c r="I14" i="15"/>
  <c r="F14" i="15"/>
  <c r="R13" i="15"/>
  <c r="Q13" i="15"/>
  <c r="K13" i="15"/>
  <c r="S13" i="15" s="1"/>
  <c r="I13" i="15"/>
  <c r="F13" i="15"/>
  <c r="R12" i="15"/>
  <c r="Q12" i="15"/>
  <c r="K12" i="15"/>
  <c r="S12" i="15" s="1"/>
  <c r="I12" i="15"/>
  <c r="F12" i="15"/>
  <c r="R11" i="15"/>
  <c r="Q11" i="15"/>
  <c r="K11" i="15"/>
  <c r="S11" i="15" s="1"/>
  <c r="I11" i="15"/>
  <c r="F11" i="15"/>
  <c r="R10" i="15"/>
  <c r="Q10" i="15"/>
  <c r="K10" i="15"/>
  <c r="S10" i="15" s="1"/>
  <c r="I10" i="15"/>
  <c r="F10" i="15"/>
  <c r="R9" i="15"/>
  <c r="Q9" i="15"/>
  <c r="K9" i="15"/>
  <c r="S9" i="15" s="1"/>
  <c r="I9" i="15"/>
  <c r="F9" i="15"/>
  <c r="R8" i="15"/>
  <c r="Q8" i="15"/>
  <c r="K8" i="15"/>
  <c r="S8" i="15" s="1"/>
  <c r="I8" i="15"/>
  <c r="F8" i="15"/>
  <c r="R7" i="15"/>
  <c r="Q7" i="15"/>
  <c r="K7" i="15"/>
  <c r="S7" i="15" s="1"/>
  <c r="I7" i="15"/>
  <c r="F7" i="15"/>
  <c r="R6" i="15"/>
  <c r="Q6" i="15"/>
  <c r="K6" i="15"/>
  <c r="S6" i="15" s="1"/>
  <c r="I6" i="15"/>
  <c r="F6" i="15"/>
  <c r="R5" i="15"/>
  <c r="Q5" i="15"/>
  <c r="K5" i="15"/>
  <c r="S5" i="15" s="1"/>
  <c r="I5" i="15"/>
  <c r="F5" i="15"/>
  <c r="F36" i="14"/>
  <c r="F34" i="14"/>
  <c r="M26" i="14"/>
  <c r="L26" i="14"/>
  <c r="N26" i="14" s="1"/>
  <c r="M25" i="14"/>
  <c r="F40" i="14" s="1"/>
  <c r="L25" i="14"/>
  <c r="N25" i="14" s="1"/>
  <c r="N24" i="14"/>
  <c r="N23" i="14"/>
  <c r="N22" i="14"/>
  <c r="F21" i="14"/>
  <c r="F20" i="14"/>
  <c r="L20" i="14" s="1"/>
  <c r="N20" i="14" s="1"/>
  <c r="Q14" i="14"/>
  <c r="K14" i="14"/>
  <c r="I14" i="14"/>
  <c r="F14" i="14"/>
  <c r="Q13" i="14"/>
  <c r="K13" i="14"/>
  <c r="I13" i="14"/>
  <c r="F13" i="14"/>
  <c r="Q12" i="14"/>
  <c r="K12" i="14"/>
  <c r="I12" i="14"/>
  <c r="F12" i="14"/>
  <c r="Q11" i="14"/>
  <c r="K11" i="14"/>
  <c r="I11" i="14"/>
  <c r="F11" i="14"/>
  <c r="Q10" i="14"/>
  <c r="K10" i="14"/>
  <c r="I10" i="14"/>
  <c r="F10" i="14"/>
  <c r="Q9" i="14"/>
  <c r="K9" i="14"/>
  <c r="I9" i="14"/>
  <c r="F9" i="14"/>
  <c r="Q8" i="14"/>
  <c r="K8" i="14"/>
  <c r="I8" i="14"/>
  <c r="F8" i="14"/>
  <c r="Q7" i="14"/>
  <c r="K7" i="14"/>
  <c r="I7" i="14"/>
  <c r="F7" i="14"/>
  <c r="Q6" i="14"/>
  <c r="K6" i="14"/>
  <c r="I6" i="14"/>
  <c r="F6" i="14"/>
  <c r="Q5" i="14"/>
  <c r="K5" i="14"/>
  <c r="I5" i="14"/>
  <c r="F5" i="14"/>
  <c r="F36" i="13"/>
  <c r="F34" i="13"/>
  <c r="M26" i="13"/>
  <c r="L26" i="13"/>
  <c r="N26" i="13" s="1"/>
  <c r="M25" i="13"/>
  <c r="F40" i="13" s="1"/>
  <c r="L25" i="13"/>
  <c r="N25" i="13" s="1"/>
  <c r="N24" i="13"/>
  <c r="N23" i="13"/>
  <c r="N22" i="13"/>
  <c r="F21" i="13"/>
  <c r="F20" i="13"/>
  <c r="L20" i="13" s="1"/>
  <c r="N20" i="13" s="1"/>
  <c r="Q13" i="13"/>
  <c r="K13" i="13"/>
  <c r="I13" i="13"/>
  <c r="F13" i="13"/>
  <c r="Q12" i="13"/>
  <c r="K12" i="13"/>
  <c r="I12" i="13"/>
  <c r="F12" i="13"/>
  <c r="Q11" i="13"/>
  <c r="K11" i="13"/>
  <c r="I11" i="13"/>
  <c r="F11" i="13"/>
  <c r="Q10" i="13"/>
  <c r="K10" i="13"/>
  <c r="I10" i="13"/>
  <c r="F10" i="13"/>
  <c r="Q9" i="13"/>
  <c r="K9" i="13"/>
  <c r="I9" i="13"/>
  <c r="F9" i="13"/>
  <c r="Q8" i="13"/>
  <c r="K8" i="13"/>
  <c r="I8" i="13"/>
  <c r="F8" i="13"/>
  <c r="Q7" i="13"/>
  <c r="K7" i="13"/>
  <c r="I7" i="13"/>
  <c r="F7" i="13"/>
  <c r="Q6" i="13"/>
  <c r="K6" i="13"/>
  <c r="I6" i="13"/>
  <c r="F6" i="13"/>
  <c r="Q5" i="13"/>
  <c r="K5" i="13"/>
  <c r="I5" i="13"/>
  <c r="F5" i="13"/>
  <c r="F36" i="12"/>
  <c r="F34" i="12"/>
  <c r="M27" i="12"/>
  <c r="L27" i="12"/>
  <c r="N27" i="12" s="1"/>
  <c r="M26" i="12"/>
  <c r="F40" i="12" s="1"/>
  <c r="L26" i="12"/>
  <c r="N26" i="12" s="1"/>
  <c r="N25" i="12"/>
  <c r="N24" i="12"/>
  <c r="N23" i="12"/>
  <c r="N22" i="12"/>
  <c r="F21" i="12"/>
  <c r="F20" i="12"/>
  <c r="L20" i="12" s="1"/>
  <c r="N20" i="12" s="1"/>
  <c r="Q17" i="12"/>
  <c r="K17" i="12"/>
  <c r="I17" i="12"/>
  <c r="F17" i="12"/>
  <c r="Q16" i="12"/>
  <c r="K16" i="12"/>
  <c r="I16" i="12"/>
  <c r="F16" i="12"/>
  <c r="Q15" i="12"/>
  <c r="K15" i="12"/>
  <c r="I15" i="12"/>
  <c r="F15" i="12"/>
  <c r="Q14" i="12"/>
  <c r="K14" i="12"/>
  <c r="I14" i="12"/>
  <c r="F14" i="12"/>
  <c r="Q13" i="12"/>
  <c r="K13" i="12"/>
  <c r="I13" i="12"/>
  <c r="F13" i="12"/>
  <c r="Q12" i="12"/>
  <c r="K12" i="12"/>
  <c r="I12" i="12"/>
  <c r="F12" i="12"/>
  <c r="Q11" i="12"/>
  <c r="K11" i="12"/>
  <c r="I11" i="12"/>
  <c r="F11" i="12"/>
  <c r="Q10" i="12"/>
  <c r="K10" i="12"/>
  <c r="I10" i="12"/>
  <c r="F10" i="12"/>
  <c r="Q9" i="12"/>
  <c r="K9" i="12"/>
  <c r="I9" i="12"/>
  <c r="F9" i="12"/>
  <c r="Q8" i="12"/>
  <c r="K8" i="12"/>
  <c r="I8" i="12"/>
  <c r="F8" i="12"/>
  <c r="Q7" i="12"/>
  <c r="K7" i="12"/>
  <c r="I7" i="12"/>
  <c r="F7" i="12"/>
  <c r="Q6" i="12"/>
  <c r="K6" i="12"/>
  <c r="I6" i="12"/>
  <c r="F6" i="12"/>
  <c r="Q5" i="12"/>
  <c r="K5" i="12"/>
  <c r="I5" i="12"/>
  <c r="F5" i="12"/>
  <c r="F36" i="10"/>
  <c r="F34" i="10"/>
  <c r="M26" i="10"/>
  <c r="F40" i="10" s="1"/>
  <c r="L26" i="10"/>
  <c r="N26" i="10" s="1"/>
  <c r="F21" i="10"/>
  <c r="F20" i="10"/>
  <c r="L20" i="10" s="1"/>
  <c r="N20" i="10" s="1"/>
  <c r="R15" i="10"/>
  <c r="Q15" i="10"/>
  <c r="K15" i="10"/>
  <c r="S15" i="10" s="1"/>
  <c r="I15" i="10"/>
  <c r="F15" i="10"/>
  <c r="R14" i="10"/>
  <c r="Q14" i="10"/>
  <c r="K14" i="10"/>
  <c r="S14" i="10" s="1"/>
  <c r="I14" i="10"/>
  <c r="F14" i="10"/>
  <c r="R13" i="10"/>
  <c r="Q13" i="10"/>
  <c r="K13" i="10"/>
  <c r="S13" i="10" s="1"/>
  <c r="I13" i="10"/>
  <c r="F13" i="10"/>
  <c r="R12" i="10"/>
  <c r="Q12" i="10"/>
  <c r="K12" i="10"/>
  <c r="S12" i="10" s="1"/>
  <c r="I12" i="10"/>
  <c r="F12" i="10"/>
  <c r="T11" i="10"/>
  <c r="S11" i="10"/>
  <c r="R11" i="10"/>
  <c r="Q11" i="10"/>
  <c r="K11" i="10"/>
  <c r="I11" i="10"/>
  <c r="F11" i="10"/>
  <c r="L11" i="10" s="1"/>
  <c r="N11" i="10" s="1"/>
  <c r="R10" i="10"/>
  <c r="Q10" i="10"/>
  <c r="T10" i="10" s="1"/>
  <c r="K10" i="10"/>
  <c r="S10" i="10" s="1"/>
  <c r="I10" i="10"/>
  <c r="L10" i="10" s="1"/>
  <c r="N10" i="10" s="1"/>
  <c r="R9" i="10"/>
  <c r="Q9" i="10"/>
  <c r="K9" i="10"/>
  <c r="S9" i="10" s="1"/>
  <c r="I9" i="10"/>
  <c r="F9" i="10"/>
  <c r="R8" i="10"/>
  <c r="Q8" i="10"/>
  <c r="K8" i="10"/>
  <c r="S8" i="10" s="1"/>
  <c r="I8" i="10"/>
  <c r="F8" i="10"/>
  <c r="R7" i="10"/>
  <c r="Q7" i="10"/>
  <c r="K7" i="10"/>
  <c r="S7" i="10" s="1"/>
  <c r="I7" i="10"/>
  <c r="F7" i="10"/>
  <c r="R6" i="10"/>
  <c r="Q6" i="10"/>
  <c r="K6" i="10"/>
  <c r="S6" i="10" s="1"/>
  <c r="I6" i="10"/>
  <c r="F6" i="10"/>
  <c r="R5" i="10"/>
  <c r="Q5" i="10"/>
  <c r="K5" i="10"/>
  <c r="S5" i="10" s="1"/>
  <c r="I5" i="10"/>
  <c r="F5" i="10"/>
  <c r="F42" i="9"/>
  <c r="F36" i="9"/>
  <c r="F34" i="9"/>
  <c r="M23" i="9"/>
  <c r="F40" i="9" s="1"/>
  <c r="L23" i="9"/>
  <c r="N23" i="9" s="1"/>
  <c r="Q13" i="9"/>
  <c r="K13" i="9"/>
  <c r="S13" i="9" s="1"/>
  <c r="I13" i="9"/>
  <c r="F13" i="9"/>
  <c r="Q12" i="9"/>
  <c r="K12" i="9"/>
  <c r="S12" i="9" s="1"/>
  <c r="I12" i="9"/>
  <c r="F12" i="9"/>
  <c r="Q11" i="9"/>
  <c r="K11" i="9"/>
  <c r="S11" i="9" s="1"/>
  <c r="I11" i="9"/>
  <c r="F11" i="9"/>
  <c r="Q10" i="9"/>
  <c r="K10" i="9"/>
  <c r="S10" i="9" s="1"/>
  <c r="I10" i="9"/>
  <c r="F10" i="9"/>
  <c r="Q9" i="9"/>
  <c r="K9" i="9"/>
  <c r="S9" i="9" s="1"/>
  <c r="I9" i="9"/>
  <c r="F9" i="9"/>
  <c r="Q8" i="9"/>
  <c r="K8" i="9"/>
  <c r="S8" i="9" s="1"/>
  <c r="I8" i="9"/>
  <c r="F8" i="9"/>
  <c r="Q7" i="9"/>
  <c r="K7" i="9"/>
  <c r="S7" i="9" s="1"/>
  <c r="I7" i="9"/>
  <c r="F7" i="9"/>
  <c r="Q6" i="9"/>
  <c r="K6" i="9"/>
  <c r="S6" i="9" s="1"/>
  <c r="I6" i="9"/>
  <c r="F6" i="9"/>
  <c r="Q5" i="9"/>
  <c r="K5" i="9"/>
  <c r="S5" i="9" s="1"/>
  <c r="I5" i="9"/>
  <c r="F5" i="9"/>
  <c r="F36" i="8"/>
  <c r="F34" i="8"/>
  <c r="M24" i="8"/>
  <c r="F40" i="8" s="1"/>
  <c r="L24" i="8"/>
  <c r="N24" i="8" s="1"/>
  <c r="L23" i="8"/>
  <c r="N23" i="8" s="1"/>
  <c r="N22" i="8"/>
  <c r="F20" i="8"/>
  <c r="L20" i="8" s="1"/>
  <c r="N20" i="8" s="1"/>
  <c r="R10" i="8"/>
  <c r="Q10" i="8"/>
  <c r="K10" i="8"/>
  <c r="S10" i="8" s="1"/>
  <c r="I10" i="8"/>
  <c r="F10" i="8"/>
  <c r="R9" i="8"/>
  <c r="Q9" i="8"/>
  <c r="K9" i="8"/>
  <c r="S9" i="8" s="1"/>
  <c r="I9" i="8"/>
  <c r="F9" i="8"/>
  <c r="R8" i="8"/>
  <c r="Q8" i="8"/>
  <c r="K8" i="8"/>
  <c r="S8" i="8" s="1"/>
  <c r="I8" i="8"/>
  <c r="F8" i="8"/>
  <c r="R7" i="8"/>
  <c r="Q7" i="8"/>
  <c r="K7" i="8"/>
  <c r="S7" i="8" s="1"/>
  <c r="I7" i="8"/>
  <c r="F7" i="8"/>
  <c r="R6" i="8"/>
  <c r="Q6" i="8"/>
  <c r="K6" i="8"/>
  <c r="S6" i="8" s="1"/>
  <c r="I6" i="8"/>
  <c r="F6" i="8"/>
  <c r="R5" i="8"/>
  <c r="Q5" i="8"/>
  <c r="K5" i="8"/>
  <c r="S5" i="8" s="1"/>
  <c r="I5" i="8"/>
  <c r="F5" i="8"/>
  <c r="B24" i="7"/>
  <c r="D15" i="1" s="1"/>
  <c r="F6" i="7"/>
  <c r="B24" i="6"/>
  <c r="D14" i="1" s="1"/>
  <c r="F16" i="6"/>
  <c r="F15" i="6"/>
  <c r="F14" i="6"/>
  <c r="F13" i="6"/>
  <c r="F12" i="6"/>
  <c r="F11" i="6"/>
  <c r="F10" i="6"/>
  <c r="F9" i="6"/>
  <c r="F8" i="6"/>
  <c r="F7" i="6"/>
  <c r="F6" i="6"/>
  <c r="B24" i="5"/>
  <c r="D13" i="1" s="1"/>
  <c r="D10" i="5"/>
  <c r="E7" i="5"/>
  <c r="D7" i="5"/>
  <c r="E6" i="5"/>
  <c r="D6" i="5"/>
  <c r="B24" i="4"/>
  <c r="D12" i="1" s="1"/>
  <c r="B24" i="3"/>
  <c r="D11" i="1" s="1"/>
  <c r="H11" i="3"/>
  <c r="G11" i="3"/>
  <c r="G7" i="3"/>
  <c r="B24" i="2"/>
  <c r="D10" i="1" s="1"/>
  <c r="D6" i="2"/>
  <c r="F36" i="11"/>
  <c r="F34" i="11"/>
  <c r="M26" i="11"/>
  <c r="F40" i="11" s="1"/>
  <c r="L26" i="11"/>
  <c r="N26" i="11" s="1"/>
  <c r="L25" i="11"/>
  <c r="N25" i="11" s="1"/>
  <c r="L24" i="11"/>
  <c r="N24" i="11" s="1"/>
  <c r="L23" i="11"/>
  <c r="N23" i="11" s="1"/>
  <c r="L22" i="11"/>
  <c r="N22" i="11" s="1"/>
  <c r="F21" i="11"/>
  <c r="F20" i="11"/>
  <c r="L20" i="11" s="1"/>
  <c r="N20" i="11" s="1"/>
  <c r="R16" i="11"/>
  <c r="Q16" i="11"/>
  <c r="K16" i="11"/>
  <c r="S16" i="11" s="1"/>
  <c r="I16" i="11"/>
  <c r="F16" i="11"/>
  <c r="R15" i="11"/>
  <c r="Q15" i="11"/>
  <c r="K15" i="11"/>
  <c r="S15" i="11" s="1"/>
  <c r="I15" i="11"/>
  <c r="F15" i="11"/>
  <c r="R14" i="11"/>
  <c r="Q14" i="11"/>
  <c r="K14" i="11"/>
  <c r="S14" i="11" s="1"/>
  <c r="I14" i="11"/>
  <c r="F14" i="11"/>
  <c r="R13" i="11"/>
  <c r="Q13" i="11"/>
  <c r="K13" i="11"/>
  <c r="S13" i="11" s="1"/>
  <c r="I13" i="11"/>
  <c r="F13" i="11"/>
  <c r="R12" i="11"/>
  <c r="Q12" i="11"/>
  <c r="K12" i="11"/>
  <c r="S12" i="11" s="1"/>
  <c r="I12" i="11"/>
  <c r="F12" i="11"/>
  <c r="R11" i="11"/>
  <c r="Q11" i="11"/>
  <c r="K11" i="11"/>
  <c r="S11" i="11" s="1"/>
  <c r="I11" i="11"/>
  <c r="F11" i="11"/>
  <c r="R10" i="11"/>
  <c r="Q10" i="11"/>
  <c r="K10" i="11"/>
  <c r="S10" i="11" s="1"/>
  <c r="I10" i="11"/>
  <c r="F10" i="11"/>
  <c r="R9" i="11"/>
  <c r="Q9" i="11"/>
  <c r="K9" i="11"/>
  <c r="S9" i="11" s="1"/>
  <c r="I9" i="11"/>
  <c r="F9" i="11"/>
  <c r="R8" i="11"/>
  <c r="Q8" i="11"/>
  <c r="K8" i="11"/>
  <c r="S8" i="11" s="1"/>
  <c r="I8" i="11"/>
  <c r="F8" i="11"/>
  <c r="R7" i="11"/>
  <c r="Q7" i="11"/>
  <c r="K7" i="11"/>
  <c r="S7" i="11" s="1"/>
  <c r="I7" i="11"/>
  <c r="F7" i="11"/>
  <c r="R6" i="11"/>
  <c r="Q6" i="11"/>
  <c r="K6" i="11"/>
  <c r="S6" i="11" s="1"/>
  <c r="I6" i="11"/>
  <c r="F6" i="11"/>
  <c r="R5" i="11"/>
  <c r="Q5" i="11"/>
  <c r="K5" i="11"/>
  <c r="S5" i="11" s="1"/>
  <c r="I5" i="11"/>
  <c r="F5" i="11"/>
  <c r="BJ176" i="54" l="1"/>
  <c r="BI176" i="54"/>
  <c r="AH176" i="54"/>
  <c r="AG176" i="54"/>
  <c r="Y176" i="54"/>
  <c r="N176" i="54"/>
  <c r="BJ175" i="54"/>
  <c r="BI175" i="54"/>
  <c r="AH175" i="54"/>
  <c r="AG175" i="54"/>
  <c r="N175" i="54"/>
  <c r="Y175" i="54"/>
  <c r="BI174" i="54"/>
  <c r="AH174" i="54"/>
  <c r="AG174" i="54"/>
  <c r="BJ174" i="54"/>
  <c r="Y174" i="54"/>
  <c r="N174" i="54"/>
  <c r="BJ173" i="54"/>
  <c r="BI173" i="54"/>
  <c r="AH173" i="54"/>
  <c r="AG173" i="54"/>
  <c r="N173" i="54"/>
  <c r="Y173" i="54"/>
  <c r="AH172" i="54"/>
  <c r="BJ172" i="54"/>
  <c r="BI172" i="54"/>
  <c r="AG172" i="54"/>
  <c r="Y172" i="54"/>
  <c r="N172" i="54"/>
  <c r="BJ171" i="54"/>
  <c r="BI171" i="54"/>
  <c r="AH171" i="54"/>
  <c r="AG171" i="54"/>
  <c r="Y171" i="54"/>
  <c r="N171" i="54"/>
  <c r="BJ170" i="54"/>
  <c r="BI170" i="54"/>
  <c r="AH170" i="54"/>
  <c r="AG170" i="54"/>
  <c r="Y170" i="54"/>
  <c r="N170" i="54"/>
  <c r="BJ169" i="54"/>
  <c r="BI169" i="54"/>
  <c r="AH169" i="54"/>
  <c r="AG169" i="54"/>
  <c r="Y169" i="54"/>
  <c r="N169" i="54"/>
  <c r="AG168" i="54"/>
  <c r="BJ168" i="54"/>
  <c r="BI168" i="54"/>
  <c r="AH168" i="54"/>
  <c r="Y168" i="54"/>
  <c r="N168" i="54"/>
  <c r="AH167" i="54"/>
  <c r="BJ167" i="54"/>
  <c r="BI167" i="54"/>
  <c r="AG167" i="54"/>
  <c r="Y167" i="54"/>
  <c r="N167" i="54"/>
  <c r="BJ166" i="54"/>
  <c r="BI166" i="54"/>
  <c r="AH166" i="54"/>
  <c r="AG166" i="54"/>
  <c r="N166" i="54"/>
  <c r="Y166" i="54"/>
  <c r="BJ165" i="54"/>
  <c r="BI165" i="54"/>
  <c r="AH165" i="54"/>
  <c r="AG165" i="54"/>
  <c r="Y165" i="54"/>
  <c r="N165" i="54"/>
  <c r="AG164" i="54"/>
  <c r="BJ164" i="54"/>
  <c r="BI164" i="54"/>
  <c r="AH164" i="54"/>
  <c r="Y164" i="54"/>
  <c r="N164" i="54"/>
  <c r="BF164" i="54"/>
  <c r="BD164" i="54"/>
  <c r="AL164" i="54"/>
  <c r="AE164" i="54"/>
  <c r="AD164" i="54"/>
  <c r="E166" i="54"/>
  <c r="BG164" i="54"/>
  <c r="BJ163" i="54"/>
  <c r="BI163" i="54"/>
  <c r="AH163" i="54"/>
  <c r="AG163" i="54"/>
  <c r="Y163" i="54"/>
  <c r="N163" i="54"/>
  <c r="BJ162" i="54"/>
  <c r="BI162" i="54"/>
  <c r="AH162" i="54"/>
  <c r="AG162" i="54"/>
  <c r="Y162" i="54"/>
  <c r="N162" i="54"/>
  <c r="Y143" i="54"/>
  <c r="N143" i="54"/>
  <c r="AG141" i="54"/>
  <c r="AH141" i="54"/>
  <c r="N141" i="54"/>
  <c r="Y141" i="54"/>
  <c r="AE141" i="54"/>
  <c r="AD141" i="54"/>
  <c r="N140" i="54"/>
  <c r="Y140" i="54"/>
  <c r="N139" i="54"/>
  <c r="Y139" i="54"/>
  <c r="AG138" i="54"/>
  <c r="AH138" i="54"/>
  <c r="N138" i="54"/>
  <c r="Y138" i="54"/>
  <c r="AD138" i="54"/>
  <c r="AE138" i="54"/>
  <c r="N137" i="54"/>
  <c r="Y137" i="54"/>
  <c r="AG136" i="54"/>
  <c r="AH136" i="54"/>
  <c r="N136" i="54"/>
  <c r="Y136" i="54"/>
  <c r="AD136" i="54"/>
  <c r="AE136" i="54"/>
  <c r="N133" i="54"/>
  <c r="Y133" i="54"/>
  <c r="Y132" i="54"/>
  <c r="N132" i="54"/>
  <c r="AH131" i="54"/>
  <c r="AG131" i="54"/>
  <c r="Y131" i="54"/>
  <c r="N131" i="54"/>
  <c r="AE131" i="54"/>
  <c r="AD131" i="54"/>
  <c r="Y130" i="54"/>
  <c r="N130" i="54"/>
  <c r="AH129" i="54"/>
  <c r="AG129" i="54"/>
  <c r="Y129" i="54"/>
  <c r="N129" i="54"/>
  <c r="AE129" i="54"/>
  <c r="AD129" i="54"/>
  <c r="N128" i="54"/>
  <c r="Y128" i="54"/>
  <c r="AH127" i="54"/>
  <c r="AG127" i="54"/>
  <c r="Y127" i="54"/>
  <c r="N127" i="54"/>
  <c r="J129" i="54"/>
  <c r="J138" i="54" s="1"/>
  <c r="J136" i="54"/>
  <c r="AE127" i="54"/>
  <c r="AD127" i="54"/>
  <c r="N126" i="54"/>
  <c r="Y126" i="54"/>
  <c r="N125" i="54"/>
  <c r="Y125" i="54"/>
  <c r="AH124" i="54"/>
  <c r="AG124" i="54"/>
  <c r="Y124" i="54"/>
  <c r="N124" i="54"/>
  <c r="AH123" i="54"/>
  <c r="AG123" i="54"/>
  <c r="N123" i="54"/>
  <c r="Y123" i="54"/>
  <c r="AE123" i="54"/>
  <c r="AE144" i="54" s="1"/>
  <c r="AD123" i="54"/>
  <c r="AD144" i="54" s="1"/>
  <c r="J123" i="54"/>
  <c r="J132" i="54" s="1"/>
  <c r="J141" i="54" s="1"/>
  <c r="J130" i="54"/>
  <c r="J139" i="54" s="1"/>
  <c r="AG121" i="54"/>
  <c r="AG144" i="54" s="1"/>
  <c r="AH121" i="54"/>
  <c r="AH144" i="54" s="1"/>
  <c r="N121" i="54"/>
  <c r="Y121" i="54"/>
  <c r="J86" i="54"/>
  <c r="J93" i="54"/>
  <c r="J26" i="54"/>
  <c r="J23" i="54"/>
  <c r="J24" i="54" s="1"/>
  <c r="J25" i="54" s="1"/>
  <c r="L21" i="52"/>
  <c r="N21" i="52" s="1"/>
  <c r="F35" i="52"/>
  <c r="L17" i="52"/>
  <c r="N17" i="52" s="1"/>
  <c r="T17" i="52"/>
  <c r="T16" i="52"/>
  <c r="L16" i="52"/>
  <c r="N16" i="52" s="1"/>
  <c r="L15" i="52"/>
  <c r="N15" i="52" s="1"/>
  <c r="T15" i="52"/>
  <c r="T14" i="52"/>
  <c r="L14" i="52"/>
  <c r="N14" i="52" s="1"/>
  <c r="L13" i="52"/>
  <c r="N13" i="52" s="1"/>
  <c r="T13" i="52"/>
  <c r="L12" i="52"/>
  <c r="N12" i="52" s="1"/>
  <c r="T12" i="52"/>
  <c r="L11" i="52"/>
  <c r="N11" i="52" s="1"/>
  <c r="T11" i="52"/>
  <c r="L9" i="52"/>
  <c r="N9" i="52" s="1"/>
  <c r="T9" i="52"/>
  <c r="T7" i="52"/>
  <c r="L7" i="52"/>
  <c r="N7" i="52" s="1"/>
  <c r="L6" i="52"/>
  <c r="N6" i="52" s="1"/>
  <c r="T6" i="52"/>
  <c r="L5" i="52"/>
  <c r="T5" i="52"/>
  <c r="T19" i="52" s="1"/>
  <c r="T29" i="52" s="1"/>
  <c r="F42" i="52" s="1"/>
  <c r="G16" i="6"/>
  <c r="F37" i="51"/>
  <c r="T7" i="51"/>
  <c r="L7" i="51"/>
  <c r="N7" i="51" s="1"/>
  <c r="T6" i="51"/>
  <c r="L6" i="51"/>
  <c r="N6" i="51" s="1"/>
  <c r="T5" i="51"/>
  <c r="T19" i="51" s="1"/>
  <c r="T29" i="51" s="1"/>
  <c r="F42" i="51" s="1"/>
  <c r="L5" i="51"/>
  <c r="F40" i="50"/>
  <c r="M29" i="50"/>
  <c r="F35" i="50"/>
  <c r="L21" i="50"/>
  <c r="N21" i="50" s="1"/>
  <c r="T10" i="50"/>
  <c r="L10" i="50"/>
  <c r="N10" i="50" s="1"/>
  <c r="L9" i="50"/>
  <c r="N9" i="50" s="1"/>
  <c r="T9" i="50"/>
  <c r="L8" i="50"/>
  <c r="N8" i="50" s="1"/>
  <c r="T8" i="50"/>
  <c r="T7" i="50"/>
  <c r="L7" i="50"/>
  <c r="N7" i="50" s="1"/>
  <c r="T6" i="50"/>
  <c r="L6" i="50"/>
  <c r="N6" i="50" s="1"/>
  <c r="L5" i="50"/>
  <c r="T5" i="50"/>
  <c r="L21" i="49"/>
  <c r="N21" i="49" s="1"/>
  <c r="F35" i="49"/>
  <c r="T8" i="49"/>
  <c r="L8" i="49"/>
  <c r="N8" i="49" s="1"/>
  <c r="L7" i="49"/>
  <c r="N7" i="49" s="1"/>
  <c r="T7" i="49"/>
  <c r="T5" i="49"/>
  <c r="T19" i="49" s="1"/>
  <c r="T29" i="49" s="1"/>
  <c r="F42" i="49" s="1"/>
  <c r="L5" i="49"/>
  <c r="L21" i="48"/>
  <c r="N21" i="48" s="1"/>
  <c r="F35" i="48"/>
  <c r="T13" i="48"/>
  <c r="L13" i="48"/>
  <c r="N13" i="48" s="1"/>
  <c r="L12" i="48"/>
  <c r="N12" i="48" s="1"/>
  <c r="T12" i="48"/>
  <c r="T11" i="48"/>
  <c r="L11" i="48"/>
  <c r="N11" i="48" s="1"/>
  <c r="T10" i="48"/>
  <c r="L10" i="48"/>
  <c r="N10" i="48" s="1"/>
  <c r="T9" i="48"/>
  <c r="L9" i="48"/>
  <c r="N9" i="48" s="1"/>
  <c r="T8" i="48"/>
  <c r="L8" i="48"/>
  <c r="N8" i="48" s="1"/>
  <c r="T7" i="48"/>
  <c r="L7" i="48"/>
  <c r="N7" i="48" s="1"/>
  <c r="T6" i="48"/>
  <c r="L6" i="48"/>
  <c r="N6" i="48" s="1"/>
  <c r="T5" i="48"/>
  <c r="T19" i="48" s="1"/>
  <c r="T29" i="48" s="1"/>
  <c r="F42" i="48" s="1"/>
  <c r="L5" i="48"/>
  <c r="F35" i="47"/>
  <c r="L21" i="47"/>
  <c r="N21" i="47" s="1"/>
  <c r="T17" i="47"/>
  <c r="L17" i="47"/>
  <c r="N17" i="47" s="1"/>
  <c r="T16" i="47"/>
  <c r="L16" i="47"/>
  <c r="N16" i="47" s="1"/>
  <c r="T15" i="47"/>
  <c r="L15" i="47"/>
  <c r="N15" i="47" s="1"/>
  <c r="L14" i="47"/>
  <c r="N14" i="47" s="1"/>
  <c r="T14" i="47"/>
  <c r="L13" i="47"/>
  <c r="N13" i="47" s="1"/>
  <c r="T13" i="47"/>
  <c r="L12" i="47"/>
  <c r="N12" i="47" s="1"/>
  <c r="T12" i="47"/>
  <c r="T11" i="47"/>
  <c r="L11" i="47"/>
  <c r="N11" i="47" s="1"/>
  <c r="T10" i="47"/>
  <c r="L10" i="47"/>
  <c r="N10" i="47" s="1"/>
  <c r="T9" i="47"/>
  <c r="L9" i="47"/>
  <c r="N9" i="47" s="1"/>
  <c r="T8" i="47"/>
  <c r="L8" i="47"/>
  <c r="N8" i="47" s="1"/>
  <c r="T7" i="47"/>
  <c r="L7" i="47"/>
  <c r="N7" i="47" s="1"/>
  <c r="L6" i="47"/>
  <c r="N6" i="47" s="1"/>
  <c r="T6" i="47"/>
  <c r="L5" i="47"/>
  <c r="T5" i="47"/>
  <c r="T19" i="47" s="1"/>
  <c r="T29" i="47" s="1"/>
  <c r="F42" i="47" s="1"/>
  <c r="F35" i="46"/>
  <c r="L21" i="46"/>
  <c r="N21" i="46" s="1"/>
  <c r="L11" i="46"/>
  <c r="N11" i="46" s="1"/>
  <c r="T11" i="46"/>
  <c r="L10" i="46"/>
  <c r="N10" i="46" s="1"/>
  <c r="T10" i="46"/>
  <c r="L9" i="46"/>
  <c r="N9" i="46" s="1"/>
  <c r="T9" i="46"/>
  <c r="T8" i="46"/>
  <c r="L8" i="46"/>
  <c r="N8" i="46" s="1"/>
  <c r="T7" i="46"/>
  <c r="L7" i="46"/>
  <c r="N7" i="46" s="1"/>
  <c r="T6" i="46"/>
  <c r="L6" i="46"/>
  <c r="N6" i="46" s="1"/>
  <c r="T5" i="46"/>
  <c r="T19" i="46" s="1"/>
  <c r="T29" i="46" s="1"/>
  <c r="F42" i="46" s="1"/>
  <c r="L5" i="46"/>
  <c r="F35" i="45"/>
  <c r="L21" i="45"/>
  <c r="N21" i="45" s="1"/>
  <c r="T7" i="45"/>
  <c r="L7" i="45"/>
  <c r="N7" i="45" s="1"/>
  <c r="T6" i="45"/>
  <c r="L6" i="45"/>
  <c r="N6" i="45" s="1"/>
  <c r="T5" i="45"/>
  <c r="T19" i="45" s="1"/>
  <c r="T29" i="45" s="1"/>
  <c r="F42" i="45" s="1"/>
  <c r="L5" i="45"/>
  <c r="F35" i="44"/>
  <c r="L21" i="44"/>
  <c r="N21" i="44" s="1"/>
  <c r="T11" i="44"/>
  <c r="L11" i="44"/>
  <c r="N11" i="44" s="1"/>
  <c r="T10" i="44"/>
  <c r="L10" i="44"/>
  <c r="N10" i="44" s="1"/>
  <c r="T9" i="44"/>
  <c r="L9" i="44"/>
  <c r="N9" i="44" s="1"/>
  <c r="T8" i="44"/>
  <c r="L8" i="44"/>
  <c r="N8" i="44" s="1"/>
  <c r="T7" i="44"/>
  <c r="L7" i="44"/>
  <c r="N7" i="44" s="1"/>
  <c r="T6" i="44"/>
  <c r="L6" i="44"/>
  <c r="N6" i="44" s="1"/>
  <c r="T5" i="44"/>
  <c r="T19" i="44" s="1"/>
  <c r="T29" i="44" s="1"/>
  <c r="F42" i="44" s="1"/>
  <c r="L5" i="44"/>
  <c r="F35" i="43"/>
  <c r="L21" i="43"/>
  <c r="N21" i="43" s="1"/>
  <c r="T8" i="43"/>
  <c r="L8" i="43"/>
  <c r="N8" i="43" s="1"/>
  <c r="T7" i="43"/>
  <c r="L7" i="43"/>
  <c r="N7" i="43" s="1"/>
  <c r="T6" i="43"/>
  <c r="L6" i="43"/>
  <c r="N6" i="43" s="1"/>
  <c r="T5" i="43"/>
  <c r="T19" i="43" s="1"/>
  <c r="T29" i="43" s="1"/>
  <c r="F42" i="43" s="1"/>
  <c r="L5" i="43"/>
  <c r="F35" i="42"/>
  <c r="L21" i="42"/>
  <c r="N21" i="42" s="1"/>
  <c r="T17" i="42"/>
  <c r="L17" i="42"/>
  <c r="N17" i="42" s="1"/>
  <c r="T16" i="42"/>
  <c r="L16" i="42"/>
  <c r="N16" i="42" s="1"/>
  <c r="T15" i="42"/>
  <c r="L15" i="42"/>
  <c r="N15" i="42" s="1"/>
  <c r="T14" i="42"/>
  <c r="L14" i="42"/>
  <c r="N14" i="42" s="1"/>
  <c r="T13" i="42"/>
  <c r="L13" i="42"/>
  <c r="N13" i="42" s="1"/>
  <c r="T11" i="42"/>
  <c r="L11" i="42"/>
  <c r="N11" i="42" s="1"/>
  <c r="T10" i="42"/>
  <c r="L10" i="42"/>
  <c r="N10" i="42" s="1"/>
  <c r="L9" i="42"/>
  <c r="N9" i="42" s="1"/>
  <c r="T9" i="42"/>
  <c r="T8" i="42"/>
  <c r="L8" i="42"/>
  <c r="N8" i="42" s="1"/>
  <c r="T7" i="42"/>
  <c r="L7" i="42"/>
  <c r="N7" i="42" s="1"/>
  <c r="L6" i="42"/>
  <c r="N6" i="42" s="1"/>
  <c r="T6" i="42"/>
  <c r="T5" i="42"/>
  <c r="T19" i="42" s="1"/>
  <c r="T29" i="42" s="1"/>
  <c r="F42" i="42" s="1"/>
  <c r="L5" i="42"/>
  <c r="F35" i="41"/>
  <c r="L21" i="41"/>
  <c r="N21" i="41" s="1"/>
  <c r="T10" i="41"/>
  <c r="L10" i="41"/>
  <c r="N10" i="41" s="1"/>
  <c r="L9" i="41"/>
  <c r="N9" i="41" s="1"/>
  <c r="T9" i="41"/>
  <c r="T8" i="41"/>
  <c r="L8" i="41"/>
  <c r="N8" i="41" s="1"/>
  <c r="T7" i="41"/>
  <c r="L7" i="41"/>
  <c r="N7" i="41" s="1"/>
  <c r="T6" i="41"/>
  <c r="L6" i="41"/>
  <c r="N6" i="41" s="1"/>
  <c r="T5" i="41"/>
  <c r="T19" i="41" s="1"/>
  <c r="T29" i="41" s="1"/>
  <c r="F42" i="41" s="1"/>
  <c r="L5" i="41"/>
  <c r="F35" i="40"/>
  <c r="L21" i="40"/>
  <c r="N21" i="40" s="1"/>
  <c r="T12" i="40"/>
  <c r="L12" i="40"/>
  <c r="N12" i="40" s="1"/>
  <c r="T11" i="40"/>
  <c r="L11" i="40"/>
  <c r="N11" i="40" s="1"/>
  <c r="T10" i="40"/>
  <c r="L10" i="40"/>
  <c r="N10" i="40" s="1"/>
  <c r="T9" i="40"/>
  <c r="L9" i="40"/>
  <c r="N9" i="40" s="1"/>
  <c r="L8" i="40"/>
  <c r="N8" i="40" s="1"/>
  <c r="T8" i="40"/>
  <c r="T7" i="40"/>
  <c r="L7" i="40"/>
  <c r="N7" i="40" s="1"/>
  <c r="T6" i="40"/>
  <c r="L6" i="40"/>
  <c r="N6" i="40" s="1"/>
  <c r="L5" i="40"/>
  <c r="T5" i="40"/>
  <c r="F35" i="39"/>
  <c r="L21" i="39"/>
  <c r="N21" i="39" s="1"/>
  <c r="T11" i="39"/>
  <c r="L11" i="39"/>
  <c r="N11" i="39" s="1"/>
  <c r="T10" i="39"/>
  <c r="L10" i="39"/>
  <c r="N10" i="39" s="1"/>
  <c r="T9" i="39"/>
  <c r="L9" i="39"/>
  <c r="N9" i="39" s="1"/>
  <c r="T8" i="39"/>
  <c r="L8" i="39"/>
  <c r="N8" i="39" s="1"/>
  <c r="T7" i="39"/>
  <c r="L7" i="39"/>
  <c r="N7" i="39" s="1"/>
  <c r="T6" i="39"/>
  <c r="L6" i="39"/>
  <c r="N6" i="39" s="1"/>
  <c r="L5" i="39"/>
  <c r="T5" i="39"/>
  <c r="T19" i="39" s="1"/>
  <c r="T29" i="39" s="1"/>
  <c r="F42" i="39" s="1"/>
  <c r="L21" i="38"/>
  <c r="N21" i="38" s="1"/>
  <c r="F35" i="38"/>
  <c r="L13" i="38"/>
  <c r="N13" i="38" s="1"/>
  <c r="T13" i="38"/>
  <c r="L12" i="38"/>
  <c r="N12" i="38" s="1"/>
  <c r="T12" i="38"/>
  <c r="L11" i="38"/>
  <c r="N11" i="38" s="1"/>
  <c r="T11" i="38"/>
  <c r="T10" i="38"/>
  <c r="L10" i="38"/>
  <c r="N10" i="38" s="1"/>
  <c r="L9" i="38"/>
  <c r="N9" i="38" s="1"/>
  <c r="T9" i="38"/>
  <c r="T8" i="38"/>
  <c r="L8" i="38"/>
  <c r="N8" i="38" s="1"/>
  <c r="L7" i="38"/>
  <c r="N7" i="38" s="1"/>
  <c r="T7" i="38"/>
  <c r="L6" i="38"/>
  <c r="N6" i="38" s="1"/>
  <c r="T6" i="38"/>
  <c r="L5" i="38"/>
  <c r="T5" i="38"/>
  <c r="T19" i="38" s="1"/>
  <c r="T29" i="38" s="1"/>
  <c r="F42" i="38" s="1"/>
  <c r="L21" i="37"/>
  <c r="N21" i="37" s="1"/>
  <c r="F35" i="37"/>
  <c r="L12" i="37"/>
  <c r="N12" i="37" s="1"/>
  <c r="T12" i="37"/>
  <c r="T11" i="37"/>
  <c r="L11" i="37"/>
  <c r="N11" i="37" s="1"/>
  <c r="T10" i="37"/>
  <c r="L10" i="37"/>
  <c r="N10" i="37" s="1"/>
  <c r="T9" i="37"/>
  <c r="L9" i="37"/>
  <c r="N9" i="37" s="1"/>
  <c r="T8" i="37"/>
  <c r="L8" i="37"/>
  <c r="N8" i="37" s="1"/>
  <c r="T7" i="37"/>
  <c r="L7" i="37"/>
  <c r="N7" i="37" s="1"/>
  <c r="T6" i="37"/>
  <c r="L6" i="37"/>
  <c r="N6" i="37" s="1"/>
  <c r="T5" i="37"/>
  <c r="T19" i="37" s="1"/>
  <c r="T29" i="37" s="1"/>
  <c r="F42" i="37" s="1"/>
  <c r="L5" i="37"/>
  <c r="L21" i="36"/>
  <c r="N21" i="36" s="1"/>
  <c r="F35" i="36"/>
  <c r="F37" i="36" s="1"/>
  <c r="F38" i="36" s="1"/>
  <c r="T9" i="36"/>
  <c r="L9" i="36"/>
  <c r="N9" i="36" s="1"/>
  <c r="T8" i="36"/>
  <c r="L8" i="36"/>
  <c r="N8" i="36" s="1"/>
  <c r="T7" i="36"/>
  <c r="L7" i="36"/>
  <c r="N7" i="36" s="1"/>
  <c r="T6" i="36"/>
  <c r="L6" i="36"/>
  <c r="N6" i="36" s="1"/>
  <c r="T5" i="36"/>
  <c r="L5" i="36"/>
  <c r="L21" i="35"/>
  <c r="N21" i="35" s="1"/>
  <c r="F35" i="35"/>
  <c r="F37" i="35" s="1"/>
  <c r="F38" i="35" s="1"/>
  <c r="L9" i="35"/>
  <c r="N9" i="35" s="1"/>
  <c r="T9" i="35"/>
  <c r="L8" i="35"/>
  <c r="N8" i="35" s="1"/>
  <c r="T8" i="35"/>
  <c r="L7" i="35"/>
  <c r="N7" i="35" s="1"/>
  <c r="T7" i="35"/>
  <c r="L6" i="35"/>
  <c r="N6" i="35" s="1"/>
  <c r="T6" i="35"/>
  <c r="T5" i="35"/>
  <c r="T19" i="35" s="1"/>
  <c r="T29" i="35" s="1"/>
  <c r="F42" i="35" s="1"/>
  <c r="L5" i="35"/>
  <c r="F35" i="34"/>
  <c r="F37" i="34" s="1"/>
  <c r="F38" i="34" s="1"/>
  <c r="J26" i="53" s="1"/>
  <c r="N26" i="53" s="1"/>
  <c r="L21" i="34"/>
  <c r="N21" i="34" s="1"/>
  <c r="T14" i="34"/>
  <c r="L14" i="34"/>
  <c r="N14" i="34" s="1"/>
  <c r="T13" i="34"/>
  <c r="L13" i="34"/>
  <c r="N13" i="34" s="1"/>
  <c r="L12" i="34"/>
  <c r="N12" i="34" s="1"/>
  <c r="T12" i="34"/>
  <c r="L11" i="34"/>
  <c r="N11" i="34" s="1"/>
  <c r="T11" i="34"/>
  <c r="L10" i="34"/>
  <c r="N10" i="34" s="1"/>
  <c r="T10" i="34"/>
  <c r="T9" i="34"/>
  <c r="L9" i="34"/>
  <c r="N9" i="34" s="1"/>
  <c r="T8" i="34"/>
  <c r="L8" i="34"/>
  <c r="N8" i="34" s="1"/>
  <c r="L7" i="34"/>
  <c r="N7" i="34" s="1"/>
  <c r="T7" i="34"/>
  <c r="T6" i="34"/>
  <c r="L6" i="34"/>
  <c r="N6" i="34" s="1"/>
  <c r="L5" i="34"/>
  <c r="T5" i="34"/>
  <c r="T19" i="34" s="1"/>
  <c r="T29" i="34" s="1"/>
  <c r="F42" i="34" s="1"/>
  <c r="L21" i="33"/>
  <c r="N21" i="33" s="1"/>
  <c r="F35" i="33"/>
  <c r="T12" i="33"/>
  <c r="L12" i="33"/>
  <c r="N12" i="33" s="1"/>
  <c r="T11" i="33"/>
  <c r="L11" i="33"/>
  <c r="N11" i="33" s="1"/>
  <c r="T10" i="33"/>
  <c r="L10" i="33"/>
  <c r="N10" i="33" s="1"/>
  <c r="T9" i="33"/>
  <c r="L9" i="33"/>
  <c r="N9" i="33" s="1"/>
  <c r="T8" i="33"/>
  <c r="L8" i="33"/>
  <c r="N8" i="33" s="1"/>
  <c r="T7" i="33"/>
  <c r="L7" i="33"/>
  <c r="N7" i="33" s="1"/>
  <c r="T6" i="33"/>
  <c r="L6" i="33"/>
  <c r="N6" i="33" s="1"/>
  <c r="L5" i="33"/>
  <c r="T5" i="33"/>
  <c r="T19" i="33" s="1"/>
  <c r="T29" i="33" s="1"/>
  <c r="F42" i="33" s="1"/>
  <c r="F35" i="32"/>
  <c r="L21" i="32"/>
  <c r="N21" i="32" s="1"/>
  <c r="T14" i="32"/>
  <c r="L14" i="32"/>
  <c r="N14" i="32" s="1"/>
  <c r="T12" i="32"/>
  <c r="L12" i="32"/>
  <c r="N12" i="32" s="1"/>
  <c r="F13" i="32"/>
  <c r="T11" i="32"/>
  <c r="L11" i="32"/>
  <c r="N11" i="32" s="1"/>
  <c r="L10" i="32"/>
  <c r="N10" i="32" s="1"/>
  <c r="T10" i="32"/>
  <c r="T9" i="32"/>
  <c r="L9" i="32"/>
  <c r="N9" i="32" s="1"/>
  <c r="L8" i="32"/>
  <c r="N8" i="32" s="1"/>
  <c r="T8" i="32"/>
  <c r="T7" i="32"/>
  <c r="L7" i="32"/>
  <c r="N7" i="32" s="1"/>
  <c r="T6" i="32"/>
  <c r="L6" i="32"/>
  <c r="N6" i="32" s="1"/>
  <c r="L5" i="32"/>
  <c r="T5" i="32"/>
  <c r="F35" i="31"/>
  <c r="L21" i="31"/>
  <c r="N21" i="31" s="1"/>
  <c r="T9" i="31"/>
  <c r="L9" i="31"/>
  <c r="N9" i="31" s="1"/>
  <c r="T8" i="31"/>
  <c r="L8" i="31"/>
  <c r="N8" i="31" s="1"/>
  <c r="T7" i="31"/>
  <c r="L7" i="31"/>
  <c r="N7" i="31" s="1"/>
  <c r="T6" i="31"/>
  <c r="L6" i="31"/>
  <c r="N6" i="31" s="1"/>
  <c r="L5" i="31"/>
  <c r="T5" i="31"/>
  <c r="T19" i="31" s="1"/>
  <c r="T29" i="31" s="1"/>
  <c r="F42" i="31" s="1"/>
  <c r="L21" i="30"/>
  <c r="N21" i="30" s="1"/>
  <c r="F35" i="30"/>
  <c r="T16" i="30"/>
  <c r="L16" i="30"/>
  <c r="N16" i="30" s="1"/>
  <c r="L13" i="30"/>
  <c r="N13" i="30" s="1"/>
  <c r="T13" i="30"/>
  <c r="L11" i="30"/>
  <c r="N11" i="30" s="1"/>
  <c r="T11" i="30"/>
  <c r="T10" i="30"/>
  <c r="L10" i="30"/>
  <c r="N10" i="30" s="1"/>
  <c r="L9" i="30"/>
  <c r="N9" i="30" s="1"/>
  <c r="T9" i="30"/>
  <c r="T8" i="30"/>
  <c r="L8" i="30"/>
  <c r="N8" i="30" s="1"/>
  <c r="T7" i="30"/>
  <c r="L7" i="30"/>
  <c r="N7" i="30" s="1"/>
  <c r="T6" i="30"/>
  <c r="L6" i="30"/>
  <c r="N6" i="30" s="1"/>
  <c r="T5" i="30"/>
  <c r="T19" i="30" s="1"/>
  <c r="T29" i="30" s="1"/>
  <c r="F42" i="30" s="1"/>
  <c r="L5" i="30"/>
  <c r="L11" i="29"/>
  <c r="N11" i="29" s="1"/>
  <c r="T11" i="29"/>
  <c r="F21" i="29"/>
  <c r="L10" i="29"/>
  <c r="N10" i="29" s="1"/>
  <c r="T10" i="29"/>
  <c r="T9" i="29"/>
  <c r="L9" i="29"/>
  <c r="N9" i="29" s="1"/>
  <c r="T8" i="29"/>
  <c r="L8" i="29"/>
  <c r="N8" i="29" s="1"/>
  <c r="L7" i="29"/>
  <c r="N7" i="29" s="1"/>
  <c r="T7" i="29"/>
  <c r="T6" i="29"/>
  <c r="L6" i="29"/>
  <c r="N6" i="29" s="1"/>
  <c r="T5" i="29"/>
  <c r="T19" i="29" s="1"/>
  <c r="T29" i="29" s="1"/>
  <c r="F42" i="29" s="1"/>
  <c r="L5" i="29"/>
  <c r="L21" i="28"/>
  <c r="N21" i="28" s="1"/>
  <c r="F35" i="28"/>
  <c r="T10" i="28"/>
  <c r="L10" i="28"/>
  <c r="N10" i="28" s="1"/>
  <c r="T7" i="28"/>
  <c r="T19" i="28" s="1"/>
  <c r="T29" i="28" s="1"/>
  <c r="F42" i="28" s="1"/>
  <c r="L7" i="28"/>
  <c r="N7" i="28" s="1"/>
  <c r="N5" i="28"/>
  <c r="N19" i="28" s="1"/>
  <c r="N29" i="28" s="1"/>
  <c r="F39" i="28"/>
  <c r="F35" i="27"/>
  <c r="L21" i="27"/>
  <c r="N21" i="27" s="1"/>
  <c r="T18" i="27"/>
  <c r="L18" i="27"/>
  <c r="N18" i="27" s="1"/>
  <c r="T17" i="27"/>
  <c r="L17" i="27"/>
  <c r="N17" i="27" s="1"/>
  <c r="L16" i="27"/>
  <c r="N16" i="27" s="1"/>
  <c r="T16" i="27"/>
  <c r="L15" i="27"/>
  <c r="N15" i="27" s="1"/>
  <c r="T15" i="27"/>
  <c r="T13" i="27"/>
  <c r="L13" i="27"/>
  <c r="N13" i="27" s="1"/>
  <c r="T12" i="27"/>
  <c r="L12" i="27"/>
  <c r="N12" i="27" s="1"/>
  <c r="T11" i="27"/>
  <c r="L11" i="27"/>
  <c r="N11" i="27" s="1"/>
  <c r="T10" i="27"/>
  <c r="L10" i="27"/>
  <c r="N10" i="27" s="1"/>
  <c r="L9" i="27"/>
  <c r="N9" i="27" s="1"/>
  <c r="T9" i="27"/>
  <c r="T8" i="27"/>
  <c r="L8" i="27"/>
  <c r="N8" i="27" s="1"/>
  <c r="L7" i="27"/>
  <c r="N7" i="27" s="1"/>
  <c r="T7" i="27"/>
  <c r="L6" i="27"/>
  <c r="N6" i="27" s="1"/>
  <c r="T6" i="27"/>
  <c r="T5" i="27"/>
  <c r="T19" i="27" s="1"/>
  <c r="T29" i="27" s="1"/>
  <c r="F42" i="27" s="1"/>
  <c r="L5" i="27"/>
  <c r="L21" i="26"/>
  <c r="N21" i="26" s="1"/>
  <c r="F35" i="26"/>
  <c r="T16" i="26"/>
  <c r="L16" i="26"/>
  <c r="N16" i="26" s="1"/>
  <c r="T15" i="26"/>
  <c r="L15" i="26"/>
  <c r="N15" i="26" s="1"/>
  <c r="T14" i="26"/>
  <c r="L14" i="26"/>
  <c r="N14" i="26" s="1"/>
  <c r="L13" i="26"/>
  <c r="N13" i="26" s="1"/>
  <c r="T13" i="26"/>
  <c r="T12" i="26"/>
  <c r="L12" i="26"/>
  <c r="N12" i="26" s="1"/>
  <c r="L11" i="26"/>
  <c r="N11" i="26" s="1"/>
  <c r="T11" i="26"/>
  <c r="L10" i="26"/>
  <c r="N10" i="26" s="1"/>
  <c r="T10" i="26"/>
  <c r="L9" i="26"/>
  <c r="N9" i="26" s="1"/>
  <c r="T9" i="26"/>
  <c r="L8" i="26"/>
  <c r="N8" i="26" s="1"/>
  <c r="T8" i="26"/>
  <c r="L7" i="26"/>
  <c r="N7" i="26" s="1"/>
  <c r="T7" i="26"/>
  <c r="L6" i="26"/>
  <c r="N6" i="26" s="1"/>
  <c r="T6" i="26"/>
  <c r="T5" i="26"/>
  <c r="T19" i="26" s="1"/>
  <c r="T29" i="26" s="1"/>
  <c r="F42" i="26" s="1"/>
  <c r="L5" i="26"/>
  <c r="F35" i="25"/>
  <c r="L21" i="25"/>
  <c r="N21" i="25" s="1"/>
  <c r="T16" i="25"/>
  <c r="L16" i="25"/>
  <c r="N16" i="25" s="1"/>
  <c r="L15" i="25"/>
  <c r="N15" i="25" s="1"/>
  <c r="T15" i="25"/>
  <c r="T14" i="25"/>
  <c r="L14" i="25"/>
  <c r="N14" i="25" s="1"/>
  <c r="T13" i="25"/>
  <c r="L13" i="25"/>
  <c r="N13" i="25" s="1"/>
  <c r="T12" i="25"/>
  <c r="L12" i="25"/>
  <c r="N12" i="25" s="1"/>
  <c r="T11" i="25"/>
  <c r="L11" i="25"/>
  <c r="N11" i="25" s="1"/>
  <c r="L10" i="25"/>
  <c r="N10" i="25" s="1"/>
  <c r="T10" i="25"/>
  <c r="L9" i="25"/>
  <c r="N9" i="25" s="1"/>
  <c r="T9" i="25"/>
  <c r="L8" i="25"/>
  <c r="N8" i="25" s="1"/>
  <c r="T8" i="25"/>
  <c r="L7" i="25"/>
  <c r="N7" i="25" s="1"/>
  <c r="T7" i="25"/>
  <c r="T6" i="25"/>
  <c r="L6" i="25"/>
  <c r="N6" i="25" s="1"/>
  <c r="L5" i="25"/>
  <c r="T5" i="25"/>
  <c r="T19" i="25" s="1"/>
  <c r="T29" i="25" s="1"/>
  <c r="F42" i="25" s="1"/>
  <c r="L21" i="24"/>
  <c r="N21" i="24" s="1"/>
  <c r="F35" i="24"/>
  <c r="L12" i="24"/>
  <c r="N12" i="24" s="1"/>
  <c r="T12" i="24"/>
  <c r="T11" i="24"/>
  <c r="L11" i="24"/>
  <c r="N11" i="24" s="1"/>
  <c r="T10" i="24"/>
  <c r="L10" i="24"/>
  <c r="N10" i="24" s="1"/>
  <c r="T9" i="24"/>
  <c r="L9" i="24"/>
  <c r="N9" i="24" s="1"/>
  <c r="L8" i="24"/>
  <c r="N8" i="24" s="1"/>
  <c r="T8" i="24"/>
  <c r="T7" i="24"/>
  <c r="L7" i="24"/>
  <c r="N7" i="24" s="1"/>
  <c r="L6" i="24"/>
  <c r="N6" i="24" s="1"/>
  <c r="T6" i="24"/>
  <c r="L5" i="24"/>
  <c r="T5" i="24"/>
  <c r="T19" i="24" s="1"/>
  <c r="T29" i="24" s="1"/>
  <c r="F42" i="24" s="1"/>
  <c r="L21" i="23"/>
  <c r="N21" i="23" s="1"/>
  <c r="F35" i="23"/>
  <c r="T15" i="23"/>
  <c r="L15" i="23"/>
  <c r="N15" i="23" s="1"/>
  <c r="T14" i="23"/>
  <c r="L14" i="23"/>
  <c r="N14" i="23" s="1"/>
  <c r="T13" i="23"/>
  <c r="L13" i="23"/>
  <c r="N13" i="23" s="1"/>
  <c r="T12" i="23"/>
  <c r="L12" i="23"/>
  <c r="N12" i="23" s="1"/>
  <c r="L11" i="23"/>
  <c r="N11" i="23" s="1"/>
  <c r="T11" i="23"/>
  <c r="T10" i="23"/>
  <c r="L10" i="23"/>
  <c r="N10" i="23" s="1"/>
  <c r="L9" i="23"/>
  <c r="N9" i="23" s="1"/>
  <c r="T9" i="23"/>
  <c r="T8" i="23"/>
  <c r="L8" i="23"/>
  <c r="N8" i="23" s="1"/>
  <c r="T7" i="23"/>
  <c r="L7" i="23"/>
  <c r="N7" i="23" s="1"/>
  <c r="L6" i="23"/>
  <c r="N6" i="23" s="1"/>
  <c r="T6" i="23"/>
  <c r="T5" i="23"/>
  <c r="L5" i="23"/>
  <c r="F35" i="22"/>
  <c r="L21" i="22"/>
  <c r="N21" i="22" s="1"/>
  <c r="T18" i="22"/>
  <c r="L18" i="22"/>
  <c r="N18" i="22" s="1"/>
  <c r="T17" i="22"/>
  <c r="L17" i="22"/>
  <c r="N17" i="22" s="1"/>
  <c r="T16" i="22"/>
  <c r="L16" i="22"/>
  <c r="N16" i="22" s="1"/>
  <c r="L15" i="22"/>
  <c r="N15" i="22" s="1"/>
  <c r="T15" i="22"/>
  <c r="T14" i="22"/>
  <c r="L14" i="22"/>
  <c r="N14" i="22" s="1"/>
  <c r="T13" i="22"/>
  <c r="L13" i="22"/>
  <c r="N13" i="22" s="1"/>
  <c r="L12" i="22"/>
  <c r="N12" i="22" s="1"/>
  <c r="T12" i="22"/>
  <c r="L11" i="22"/>
  <c r="N11" i="22" s="1"/>
  <c r="T11" i="22"/>
  <c r="T10" i="22"/>
  <c r="L10" i="22"/>
  <c r="N10" i="22" s="1"/>
  <c r="T8" i="22"/>
  <c r="L8" i="22"/>
  <c r="N8" i="22" s="1"/>
  <c r="L7" i="22"/>
  <c r="N7" i="22" s="1"/>
  <c r="T7" i="22"/>
  <c r="T6" i="22"/>
  <c r="L6" i="22"/>
  <c r="N6" i="22" s="1"/>
  <c r="T5" i="22"/>
  <c r="T19" i="22" s="1"/>
  <c r="T29" i="22" s="1"/>
  <c r="F42" i="22" s="1"/>
  <c r="L5" i="22"/>
  <c r="F35" i="21"/>
  <c r="L21" i="21"/>
  <c r="N21" i="21" s="1"/>
  <c r="L12" i="21"/>
  <c r="N12" i="21" s="1"/>
  <c r="T12" i="21"/>
  <c r="T11" i="21"/>
  <c r="L11" i="21"/>
  <c r="N11" i="21" s="1"/>
  <c r="T10" i="21"/>
  <c r="L10" i="21"/>
  <c r="N10" i="21" s="1"/>
  <c r="L9" i="21"/>
  <c r="N9" i="21" s="1"/>
  <c r="T9" i="21"/>
  <c r="L8" i="21"/>
  <c r="N8" i="21" s="1"/>
  <c r="T8" i="21"/>
  <c r="T7" i="21"/>
  <c r="L7" i="21"/>
  <c r="N7" i="21" s="1"/>
  <c r="T6" i="21"/>
  <c r="L6" i="21"/>
  <c r="N6" i="21" s="1"/>
  <c r="L5" i="21"/>
  <c r="T5" i="21"/>
  <c r="T19" i="21" s="1"/>
  <c r="T29" i="21" s="1"/>
  <c r="F42" i="21" s="1"/>
  <c r="L21" i="20"/>
  <c r="N21" i="20" s="1"/>
  <c r="F35" i="20"/>
  <c r="T15" i="20"/>
  <c r="L15" i="20"/>
  <c r="N15" i="20" s="1"/>
  <c r="T10" i="20"/>
  <c r="L10" i="20"/>
  <c r="N10" i="20" s="1"/>
  <c r="L7" i="20"/>
  <c r="N7" i="20" s="1"/>
  <c r="T7" i="20"/>
  <c r="T6" i="20"/>
  <c r="L6" i="20"/>
  <c r="N6" i="20" s="1"/>
  <c r="T5" i="20"/>
  <c r="T19" i="20" s="1"/>
  <c r="T29" i="20" s="1"/>
  <c r="F42" i="20" s="1"/>
  <c r="L5" i="20"/>
  <c r="F35" i="19"/>
  <c r="L21" i="19"/>
  <c r="N21" i="19" s="1"/>
  <c r="T11" i="19"/>
  <c r="L11" i="19"/>
  <c r="N11" i="19" s="1"/>
  <c r="T9" i="19"/>
  <c r="L9" i="19"/>
  <c r="N9" i="19" s="1"/>
  <c r="T8" i="19"/>
  <c r="L8" i="19"/>
  <c r="N8" i="19" s="1"/>
  <c r="T6" i="19"/>
  <c r="L6" i="19"/>
  <c r="N6" i="19" s="1"/>
  <c r="T5" i="19"/>
  <c r="T19" i="19" s="1"/>
  <c r="T29" i="19" s="1"/>
  <c r="F42" i="19" s="1"/>
  <c r="L5" i="19"/>
  <c r="F35" i="18"/>
  <c r="L21" i="18"/>
  <c r="N21" i="18" s="1"/>
  <c r="L10" i="18"/>
  <c r="N10" i="18" s="1"/>
  <c r="T10" i="18"/>
  <c r="T9" i="18"/>
  <c r="L9" i="18"/>
  <c r="N9" i="18" s="1"/>
  <c r="L8" i="18"/>
  <c r="N8" i="18" s="1"/>
  <c r="T8" i="18"/>
  <c r="T7" i="18"/>
  <c r="T19" i="18" s="1"/>
  <c r="T29" i="18" s="1"/>
  <c r="F42" i="18" s="1"/>
  <c r="L7" i="18"/>
  <c r="L21" i="17"/>
  <c r="N21" i="17" s="1"/>
  <c r="F35" i="17"/>
  <c r="L13" i="17"/>
  <c r="N13" i="17" s="1"/>
  <c r="T13" i="17"/>
  <c r="L12" i="17"/>
  <c r="N12" i="17" s="1"/>
  <c r="T12" i="17"/>
  <c r="L11" i="17"/>
  <c r="N11" i="17" s="1"/>
  <c r="T11" i="17"/>
  <c r="L10" i="17"/>
  <c r="N10" i="17" s="1"/>
  <c r="T10" i="17"/>
  <c r="L9" i="17"/>
  <c r="N9" i="17" s="1"/>
  <c r="T9" i="17"/>
  <c r="L8" i="17"/>
  <c r="N8" i="17" s="1"/>
  <c r="T8" i="17"/>
  <c r="T7" i="17"/>
  <c r="L7" i="17"/>
  <c r="N7" i="17" s="1"/>
  <c r="T6" i="17"/>
  <c r="L6" i="17"/>
  <c r="N6" i="17" s="1"/>
  <c r="L5" i="17"/>
  <c r="T5" i="17"/>
  <c r="T19" i="17" s="1"/>
  <c r="T29" i="17" s="1"/>
  <c r="F42" i="17" s="1"/>
  <c r="L21" i="16"/>
  <c r="N21" i="16" s="1"/>
  <c r="F35" i="16"/>
  <c r="L15" i="16"/>
  <c r="N15" i="16" s="1"/>
  <c r="T15" i="16"/>
  <c r="L14" i="16"/>
  <c r="N14" i="16" s="1"/>
  <c r="T14" i="16"/>
  <c r="T13" i="16"/>
  <c r="L13" i="16"/>
  <c r="N13" i="16" s="1"/>
  <c r="T12" i="16"/>
  <c r="L12" i="16"/>
  <c r="N12" i="16" s="1"/>
  <c r="T11" i="16"/>
  <c r="L11" i="16"/>
  <c r="N11" i="16" s="1"/>
  <c r="T10" i="16"/>
  <c r="L10" i="16"/>
  <c r="N10" i="16" s="1"/>
  <c r="L9" i="16"/>
  <c r="N9" i="16" s="1"/>
  <c r="T9" i="16"/>
  <c r="L8" i="16"/>
  <c r="N8" i="16" s="1"/>
  <c r="T8" i="16"/>
  <c r="L7" i="16"/>
  <c r="N7" i="16" s="1"/>
  <c r="T7" i="16"/>
  <c r="T6" i="16"/>
  <c r="L6" i="16"/>
  <c r="N6" i="16" s="1"/>
  <c r="L5" i="16"/>
  <c r="T5" i="16"/>
  <c r="T19" i="16" s="1"/>
  <c r="T29" i="16" s="1"/>
  <c r="F42" i="16" s="1"/>
  <c r="F38" i="15"/>
  <c r="J8" i="53" s="1"/>
  <c r="N8" i="53" s="1"/>
  <c r="H7" i="3"/>
  <c r="L15" i="15"/>
  <c r="N15" i="15" s="1"/>
  <c r="T15" i="15"/>
  <c r="L14" i="15"/>
  <c r="N14" i="15" s="1"/>
  <c r="T14" i="15"/>
  <c r="L13" i="15"/>
  <c r="N13" i="15" s="1"/>
  <c r="T13" i="15"/>
  <c r="T12" i="15"/>
  <c r="L12" i="15"/>
  <c r="N12" i="15" s="1"/>
  <c r="T11" i="15"/>
  <c r="L11" i="15"/>
  <c r="N11" i="15" s="1"/>
  <c r="L10" i="15"/>
  <c r="N10" i="15" s="1"/>
  <c r="T10" i="15"/>
  <c r="T9" i="15"/>
  <c r="L9" i="15"/>
  <c r="N9" i="15" s="1"/>
  <c r="L8" i="15"/>
  <c r="N8" i="15" s="1"/>
  <c r="T8" i="15"/>
  <c r="T7" i="15"/>
  <c r="L7" i="15"/>
  <c r="N7" i="15" s="1"/>
  <c r="T6" i="15"/>
  <c r="L6" i="15"/>
  <c r="N6" i="15" s="1"/>
  <c r="L5" i="15"/>
  <c r="T5" i="15"/>
  <c r="L21" i="14"/>
  <c r="N21" i="14" s="1"/>
  <c r="F35" i="14"/>
  <c r="L14" i="14"/>
  <c r="N14" i="14" s="1"/>
  <c r="T14" i="14"/>
  <c r="L13" i="14"/>
  <c r="N13" i="14" s="1"/>
  <c r="T13" i="14"/>
  <c r="L12" i="14"/>
  <c r="N12" i="14" s="1"/>
  <c r="T12" i="14"/>
  <c r="L11" i="14"/>
  <c r="N11" i="14" s="1"/>
  <c r="T11" i="14"/>
  <c r="L10" i="14"/>
  <c r="N10" i="14" s="1"/>
  <c r="T10" i="14"/>
  <c r="T9" i="14"/>
  <c r="L9" i="14"/>
  <c r="N9" i="14" s="1"/>
  <c r="L8" i="14"/>
  <c r="N8" i="14" s="1"/>
  <c r="T8" i="14"/>
  <c r="L7" i="14"/>
  <c r="N7" i="14" s="1"/>
  <c r="T7" i="14"/>
  <c r="L6" i="14"/>
  <c r="N6" i="14" s="1"/>
  <c r="T6" i="14"/>
  <c r="L5" i="14"/>
  <c r="T5" i="14"/>
  <c r="T19" i="14" s="1"/>
  <c r="T29" i="14" s="1"/>
  <c r="F42" i="14" s="1"/>
  <c r="F35" i="13"/>
  <c r="L21" i="13"/>
  <c r="N21" i="13" s="1"/>
  <c r="T13" i="13"/>
  <c r="L13" i="13"/>
  <c r="N13" i="13" s="1"/>
  <c r="L12" i="13"/>
  <c r="N12" i="13" s="1"/>
  <c r="T12" i="13"/>
  <c r="L11" i="13"/>
  <c r="N11" i="13" s="1"/>
  <c r="T11" i="13"/>
  <c r="L10" i="13"/>
  <c r="N10" i="13" s="1"/>
  <c r="T10" i="13"/>
  <c r="L9" i="13"/>
  <c r="N9" i="13" s="1"/>
  <c r="T9" i="13"/>
  <c r="L8" i="13"/>
  <c r="N8" i="13" s="1"/>
  <c r="T8" i="13"/>
  <c r="T7" i="13"/>
  <c r="L7" i="13"/>
  <c r="N7" i="13" s="1"/>
  <c r="L6" i="13"/>
  <c r="N6" i="13" s="1"/>
  <c r="T6" i="13"/>
  <c r="L5" i="13"/>
  <c r="T5" i="13"/>
  <c r="T19" i="13" s="1"/>
  <c r="T29" i="13" s="1"/>
  <c r="F42" i="13" s="1"/>
  <c r="F35" i="12"/>
  <c r="L21" i="12"/>
  <c r="N21" i="12" s="1"/>
  <c r="T17" i="12"/>
  <c r="L17" i="12"/>
  <c r="N17" i="12" s="1"/>
  <c r="T16" i="12"/>
  <c r="L16" i="12"/>
  <c r="N16" i="12" s="1"/>
  <c r="T15" i="12"/>
  <c r="L15" i="12"/>
  <c r="N15" i="12" s="1"/>
  <c r="L14" i="12"/>
  <c r="N14" i="12" s="1"/>
  <c r="T14" i="12"/>
  <c r="L13" i="12"/>
  <c r="N13" i="12" s="1"/>
  <c r="T13" i="12"/>
  <c r="L12" i="12"/>
  <c r="N12" i="12" s="1"/>
  <c r="T12" i="12"/>
  <c r="T11" i="12"/>
  <c r="L11" i="12"/>
  <c r="N11" i="12" s="1"/>
  <c r="L10" i="12"/>
  <c r="N10" i="12" s="1"/>
  <c r="T10" i="12"/>
  <c r="L9" i="12"/>
  <c r="N9" i="12" s="1"/>
  <c r="T9" i="12"/>
  <c r="T8" i="12"/>
  <c r="L8" i="12"/>
  <c r="N8" i="12" s="1"/>
  <c r="T7" i="12"/>
  <c r="L7" i="12"/>
  <c r="N7" i="12" s="1"/>
  <c r="T6" i="12"/>
  <c r="L6" i="12"/>
  <c r="N6" i="12" s="1"/>
  <c r="T5" i="12"/>
  <c r="T19" i="12" s="1"/>
  <c r="T29" i="12" s="1"/>
  <c r="F42" i="12" s="1"/>
  <c r="L5" i="12"/>
  <c r="L21" i="10"/>
  <c r="N21" i="10" s="1"/>
  <c r="F35" i="10"/>
  <c r="T15" i="10"/>
  <c r="L15" i="10"/>
  <c r="N15" i="10" s="1"/>
  <c r="L14" i="10"/>
  <c r="N14" i="10" s="1"/>
  <c r="T14" i="10"/>
  <c r="T13" i="10"/>
  <c r="L13" i="10"/>
  <c r="N13" i="10" s="1"/>
  <c r="T12" i="10"/>
  <c r="L12" i="10"/>
  <c r="N12" i="10" s="1"/>
  <c r="L9" i="10"/>
  <c r="N9" i="10" s="1"/>
  <c r="T9" i="10"/>
  <c r="T8" i="10"/>
  <c r="L8" i="10"/>
  <c r="N8" i="10" s="1"/>
  <c r="T7" i="10"/>
  <c r="L7" i="10"/>
  <c r="N7" i="10" s="1"/>
  <c r="T6" i="10"/>
  <c r="L6" i="10"/>
  <c r="N6" i="10" s="1"/>
  <c r="T5" i="10"/>
  <c r="T19" i="10" s="1"/>
  <c r="T29" i="10" s="1"/>
  <c r="F42" i="10" s="1"/>
  <c r="L5" i="10"/>
  <c r="T13" i="9"/>
  <c r="L13" i="9"/>
  <c r="N13" i="9" s="1"/>
  <c r="T12" i="9"/>
  <c r="L12" i="9"/>
  <c r="N12" i="9" s="1"/>
  <c r="T11" i="9"/>
  <c r="L11" i="9"/>
  <c r="N11" i="9" s="1"/>
  <c r="F21" i="9"/>
  <c r="T10" i="9"/>
  <c r="L10" i="9"/>
  <c r="N10" i="9" s="1"/>
  <c r="T9" i="9"/>
  <c r="L9" i="9"/>
  <c r="N9" i="9" s="1"/>
  <c r="T8" i="9"/>
  <c r="L8" i="9"/>
  <c r="N8" i="9" s="1"/>
  <c r="T7" i="9"/>
  <c r="L7" i="9"/>
  <c r="N7" i="9" s="1"/>
  <c r="L6" i="9"/>
  <c r="N6" i="9" s="1"/>
  <c r="T6" i="9"/>
  <c r="L5" i="9"/>
  <c r="T5" i="9"/>
  <c r="T20" i="9" s="1"/>
  <c r="T24" i="9" s="1"/>
  <c r="L10" i="8"/>
  <c r="N10" i="8" s="1"/>
  <c r="T10" i="8"/>
  <c r="T9" i="8"/>
  <c r="F21" i="8"/>
  <c r="L9" i="8"/>
  <c r="N9" i="8" s="1"/>
  <c r="L8" i="8"/>
  <c r="N8" i="8" s="1"/>
  <c r="T8" i="8"/>
  <c r="L7" i="8"/>
  <c r="N7" i="8" s="1"/>
  <c r="T7" i="8"/>
  <c r="T6" i="8"/>
  <c r="L6" i="8"/>
  <c r="N6" i="8" s="1"/>
  <c r="T5" i="8"/>
  <c r="T14" i="8" s="1"/>
  <c r="T29" i="8" s="1"/>
  <c r="F42" i="8" s="1"/>
  <c r="L5" i="8"/>
  <c r="F35" i="11"/>
  <c r="L21" i="11"/>
  <c r="N21" i="11" s="1"/>
  <c r="T16" i="11"/>
  <c r="L16" i="11"/>
  <c r="N16" i="11" s="1"/>
  <c r="T15" i="11"/>
  <c r="L15" i="11"/>
  <c r="N15" i="11" s="1"/>
  <c r="T14" i="11"/>
  <c r="L14" i="11"/>
  <c r="N14" i="11" s="1"/>
  <c r="T13" i="11"/>
  <c r="L13" i="11"/>
  <c r="N13" i="11" s="1"/>
  <c r="L12" i="11"/>
  <c r="N12" i="11" s="1"/>
  <c r="T12" i="11"/>
  <c r="T11" i="11"/>
  <c r="L11" i="11"/>
  <c r="N11" i="11" s="1"/>
  <c r="L10" i="11"/>
  <c r="N10" i="11" s="1"/>
  <c r="T10" i="11"/>
  <c r="L9" i="11"/>
  <c r="N9" i="11" s="1"/>
  <c r="T9" i="11"/>
  <c r="L8" i="11"/>
  <c r="N8" i="11" s="1"/>
  <c r="T8" i="11"/>
  <c r="L7" i="11"/>
  <c r="N7" i="11" s="1"/>
  <c r="T7" i="11"/>
  <c r="T6" i="11"/>
  <c r="L6" i="11"/>
  <c r="N6" i="11" s="1"/>
  <c r="L5" i="11"/>
  <c r="T5" i="11"/>
  <c r="T19" i="11" s="1"/>
  <c r="T29" i="11" s="1"/>
  <c r="F42" i="11" s="1"/>
  <c r="AD166" i="54" l="1"/>
  <c r="AE166" i="54"/>
  <c r="AL166" i="54"/>
  <c r="BD166" i="54"/>
  <c r="BF166" i="54"/>
  <c r="BG166" i="54"/>
  <c r="J87" i="54"/>
  <c r="J90" i="54"/>
  <c r="J95" i="54"/>
  <c r="J94" i="54"/>
  <c r="J27" i="54"/>
  <c r="J29" i="54"/>
  <c r="G6" i="7"/>
  <c r="F37" i="52"/>
  <c r="F39" i="52"/>
  <c r="L29" i="52"/>
  <c r="F42" i="53" s="1"/>
  <c r="N5" i="52"/>
  <c r="N19" i="52" s="1"/>
  <c r="N29" i="52" s="1"/>
  <c r="H16" i="6"/>
  <c r="F38" i="51"/>
  <c r="J41" i="53" s="1"/>
  <c r="N41" i="53" s="1"/>
  <c r="N5" i="51"/>
  <c r="N19" i="51" s="1"/>
  <c r="N29" i="51" s="1"/>
  <c r="L29" i="51"/>
  <c r="F41" i="53" s="1"/>
  <c r="F39" i="51"/>
  <c r="F37" i="50"/>
  <c r="G15" i="6"/>
  <c r="N5" i="50"/>
  <c r="N19" i="50" s="1"/>
  <c r="N29" i="50" s="1"/>
  <c r="L29" i="50"/>
  <c r="F40" i="53" s="1"/>
  <c r="F39" i="50"/>
  <c r="F37" i="49"/>
  <c r="G14" i="6"/>
  <c r="N5" i="49"/>
  <c r="N19" i="49" s="1"/>
  <c r="N29" i="49" s="1"/>
  <c r="F39" i="49"/>
  <c r="F37" i="48"/>
  <c r="G13" i="6"/>
  <c r="N5" i="48"/>
  <c r="N19" i="48" s="1"/>
  <c r="N29" i="48" s="1"/>
  <c r="F39" i="48"/>
  <c r="F37" i="47"/>
  <c r="G12" i="6"/>
  <c r="N5" i="47"/>
  <c r="N19" i="47" s="1"/>
  <c r="N29" i="47" s="1"/>
  <c r="F39" i="47"/>
  <c r="F37" i="46"/>
  <c r="G11" i="6"/>
  <c r="N5" i="46"/>
  <c r="N19" i="46" s="1"/>
  <c r="N29" i="46" s="1"/>
  <c r="F39" i="46"/>
  <c r="F37" i="45"/>
  <c r="G7" i="6"/>
  <c r="N5" i="45"/>
  <c r="N19" i="45" s="1"/>
  <c r="N29" i="45" s="1"/>
  <c r="F39" i="45"/>
  <c r="F37" i="44"/>
  <c r="G6" i="6"/>
  <c r="N5" i="44"/>
  <c r="N19" i="44" s="1"/>
  <c r="N29" i="44" s="1"/>
  <c r="F39" i="44"/>
  <c r="F37" i="43"/>
  <c r="G9" i="6"/>
  <c r="N5" i="43"/>
  <c r="N19" i="43" s="1"/>
  <c r="N29" i="43" s="1"/>
  <c r="F39" i="43"/>
  <c r="F37" i="42"/>
  <c r="G8" i="6"/>
  <c r="N5" i="42"/>
  <c r="N19" i="42" s="1"/>
  <c r="N29" i="42" s="1"/>
  <c r="F39" i="42"/>
  <c r="F37" i="41"/>
  <c r="G10" i="6"/>
  <c r="N5" i="41"/>
  <c r="N19" i="41" s="1"/>
  <c r="N29" i="41" s="1"/>
  <c r="F39" i="41"/>
  <c r="F37" i="40"/>
  <c r="G15" i="5"/>
  <c r="N5" i="40"/>
  <c r="N19" i="40" s="1"/>
  <c r="N29" i="40" s="1"/>
  <c r="F39" i="40"/>
  <c r="F37" i="39"/>
  <c r="G14" i="5"/>
  <c r="N5" i="39"/>
  <c r="N19" i="39" s="1"/>
  <c r="N29" i="39" s="1"/>
  <c r="F39" i="39"/>
  <c r="F37" i="38"/>
  <c r="G13" i="5"/>
  <c r="N5" i="38"/>
  <c r="N19" i="38" s="1"/>
  <c r="N29" i="38" s="1"/>
  <c r="F39" i="38"/>
  <c r="F37" i="37"/>
  <c r="G12" i="5"/>
  <c r="N5" i="37"/>
  <c r="N19" i="37" s="1"/>
  <c r="N29" i="37" s="1"/>
  <c r="F39" i="37"/>
  <c r="N5" i="36"/>
  <c r="N19" i="36" s="1"/>
  <c r="N29" i="36" s="1"/>
  <c r="F39" i="36"/>
  <c r="N5" i="35"/>
  <c r="N19" i="35" s="1"/>
  <c r="N29" i="35" s="1"/>
  <c r="F39" i="35"/>
  <c r="N5" i="34"/>
  <c r="N19" i="34" s="1"/>
  <c r="N29" i="34" s="1"/>
  <c r="F39" i="34"/>
  <c r="F37" i="33"/>
  <c r="G6" i="5"/>
  <c r="G10" i="5"/>
  <c r="N5" i="33"/>
  <c r="N19" i="33" s="1"/>
  <c r="N29" i="33" s="1"/>
  <c r="F39" i="33"/>
  <c r="F37" i="32"/>
  <c r="G7" i="5"/>
  <c r="L13" i="32"/>
  <c r="N13" i="32" s="1"/>
  <c r="T13" i="32"/>
  <c r="T19" i="32" s="1"/>
  <c r="T29" i="32" s="1"/>
  <c r="F42" i="32" s="1"/>
  <c r="N5" i="32"/>
  <c r="N19" i="32" s="1"/>
  <c r="N29" i="32" s="1"/>
  <c r="F39" i="32"/>
  <c r="F37" i="31"/>
  <c r="G8" i="5"/>
  <c r="N5" i="31"/>
  <c r="N19" i="31" s="1"/>
  <c r="N29" i="31" s="1"/>
  <c r="F39" i="31"/>
  <c r="F37" i="30"/>
  <c r="G9" i="5"/>
  <c r="N5" i="30"/>
  <c r="N19" i="30" s="1"/>
  <c r="N29" i="30" s="1"/>
  <c r="F39" i="30"/>
  <c r="L21" i="29"/>
  <c r="N21" i="29" s="1"/>
  <c r="F35" i="29"/>
  <c r="N5" i="29"/>
  <c r="N19" i="29" s="1"/>
  <c r="N29" i="29" s="1"/>
  <c r="F39" i="29"/>
  <c r="F37" i="28"/>
  <c r="G15" i="4"/>
  <c r="G30" i="28"/>
  <c r="F41" i="28"/>
  <c r="F43" i="28"/>
  <c r="F44" i="28" s="1"/>
  <c r="F45" i="28" s="1"/>
  <c r="F46" i="28"/>
  <c r="F37" i="27"/>
  <c r="G10" i="4"/>
  <c r="N5" i="27"/>
  <c r="N19" i="27" s="1"/>
  <c r="N29" i="27" s="1"/>
  <c r="F39" i="27"/>
  <c r="F37" i="26"/>
  <c r="G14" i="4"/>
  <c r="N5" i="26"/>
  <c r="N19" i="26" s="1"/>
  <c r="N29" i="26" s="1"/>
  <c r="F39" i="26"/>
  <c r="F37" i="25"/>
  <c r="G12" i="4"/>
  <c r="N5" i="25"/>
  <c r="N19" i="25" s="1"/>
  <c r="N29" i="25" s="1"/>
  <c r="F39" i="25"/>
  <c r="F37" i="24"/>
  <c r="G13" i="4"/>
  <c r="N5" i="24"/>
  <c r="N19" i="24" s="1"/>
  <c r="N29" i="24" s="1"/>
  <c r="F39" i="24"/>
  <c r="F37" i="23"/>
  <c r="G9" i="4"/>
  <c r="N5" i="23"/>
  <c r="N19" i="23" s="1"/>
  <c r="N29" i="23" s="1"/>
  <c r="F39" i="23"/>
  <c r="F37" i="22"/>
  <c r="G8" i="4"/>
  <c r="N5" i="22"/>
  <c r="N19" i="22" s="1"/>
  <c r="N29" i="22" s="1"/>
  <c r="F39" i="22"/>
  <c r="F37" i="21"/>
  <c r="G11" i="4"/>
  <c r="N5" i="21"/>
  <c r="N19" i="21" s="1"/>
  <c r="N29" i="21" s="1"/>
  <c r="F39" i="21"/>
  <c r="F37" i="20"/>
  <c r="G7" i="4"/>
  <c r="N5" i="20"/>
  <c r="N19" i="20" s="1"/>
  <c r="N29" i="20" s="1"/>
  <c r="F39" i="20"/>
  <c r="F37" i="19"/>
  <c r="G6" i="4"/>
  <c r="N5" i="19"/>
  <c r="N19" i="19" s="1"/>
  <c r="N29" i="19" s="1"/>
  <c r="F39" i="19"/>
  <c r="F37" i="18"/>
  <c r="G9" i="3"/>
  <c r="N7" i="18"/>
  <c r="N19" i="18" s="1"/>
  <c r="N29" i="18" s="1"/>
  <c r="F39" i="18"/>
  <c r="F37" i="17"/>
  <c r="G8" i="3"/>
  <c r="N5" i="17"/>
  <c r="N19" i="17" s="1"/>
  <c r="N29" i="17" s="1"/>
  <c r="F39" i="17"/>
  <c r="G6" i="3"/>
  <c r="F37" i="16"/>
  <c r="F39" i="16"/>
  <c r="N5" i="16"/>
  <c r="N19" i="16" s="1"/>
  <c r="N29" i="16" s="1"/>
  <c r="N5" i="15"/>
  <c r="N19" i="15" s="1"/>
  <c r="N29" i="15" s="1"/>
  <c r="F39" i="15"/>
  <c r="F37" i="14"/>
  <c r="G13" i="3"/>
  <c r="N5" i="14"/>
  <c r="N19" i="14" s="1"/>
  <c r="N29" i="14" s="1"/>
  <c r="F39" i="14"/>
  <c r="F37" i="13"/>
  <c r="G12" i="3"/>
  <c r="N5" i="13"/>
  <c r="N19" i="13" s="1"/>
  <c r="N29" i="13" s="1"/>
  <c r="F39" i="13"/>
  <c r="F37" i="12"/>
  <c r="G10" i="3"/>
  <c r="N5" i="12"/>
  <c r="N19" i="12" s="1"/>
  <c r="N29" i="12" s="1"/>
  <c r="F39" i="12"/>
  <c r="F37" i="10"/>
  <c r="G9" i="2"/>
  <c r="N5" i="10"/>
  <c r="N19" i="10" s="1"/>
  <c r="N29" i="10" s="1"/>
  <c r="F39" i="10"/>
  <c r="L21" i="9"/>
  <c r="N21" i="9" s="1"/>
  <c r="F35" i="9"/>
  <c r="N5" i="9"/>
  <c r="N20" i="9" s="1"/>
  <c r="N24" i="9" s="1"/>
  <c r="F39" i="9"/>
  <c r="L21" i="8"/>
  <c r="F35" i="8"/>
  <c r="N5" i="8"/>
  <c r="N14" i="8" s="1"/>
  <c r="F37" i="11"/>
  <c r="G8" i="2"/>
  <c r="N5" i="11"/>
  <c r="N19" i="11" s="1"/>
  <c r="N29" i="11" s="1"/>
  <c r="F39" i="11"/>
  <c r="T19" i="50"/>
  <c r="T29" i="50" s="1"/>
  <c r="F42" i="50" s="1"/>
  <c r="T19" i="40"/>
  <c r="T29" i="40" s="1"/>
  <c r="F42" i="40" s="1"/>
  <c r="T19" i="36"/>
  <c r="T29" i="36" s="1"/>
  <c r="F42" i="36" s="1"/>
  <c r="T19" i="23"/>
  <c r="T29" i="23" s="1"/>
  <c r="F42" i="23" s="1"/>
  <c r="T19" i="15"/>
  <c r="T29" i="15" s="1"/>
  <c r="F42" i="15" s="1"/>
  <c r="J88" i="54" l="1"/>
  <c r="J89" i="54"/>
  <c r="J91" i="54"/>
  <c r="J92" i="54"/>
  <c r="J96" i="54"/>
  <c r="J97" i="54"/>
  <c r="J30" i="54"/>
  <c r="J32" i="54"/>
  <c r="F38" i="52"/>
  <c r="J42" i="53" s="1"/>
  <c r="N42" i="53" s="1"/>
  <c r="H6" i="7"/>
  <c r="F43" i="52"/>
  <c r="F44" i="52" s="1"/>
  <c r="G30" i="52"/>
  <c r="F41" i="52"/>
  <c r="F46" i="52" s="1"/>
  <c r="I42" i="53" s="1"/>
  <c r="H42" i="53"/>
  <c r="H41" i="53"/>
  <c r="G30" i="51"/>
  <c r="F41" i="51"/>
  <c r="F43" i="51"/>
  <c r="F44" i="51" s="1"/>
  <c r="F46" i="51"/>
  <c r="I41" i="53" s="1"/>
  <c r="F38" i="50"/>
  <c r="J40" i="53" s="1"/>
  <c r="N40" i="53" s="1"/>
  <c r="H15" i="6"/>
  <c r="G30" i="50"/>
  <c r="F41" i="50"/>
  <c r="H40" i="53"/>
  <c r="F43" i="50"/>
  <c r="F44" i="50" s="1"/>
  <c r="F46" i="50"/>
  <c r="I40" i="53" s="1"/>
  <c r="F38" i="49"/>
  <c r="J39" i="53" s="1"/>
  <c r="N39" i="53" s="1"/>
  <c r="H14" i="6"/>
  <c r="G30" i="49"/>
  <c r="F41" i="49"/>
  <c r="F43" i="49"/>
  <c r="F44" i="49" s="1"/>
  <c r="F46" i="49"/>
  <c r="I39" i="53" s="1"/>
  <c r="F38" i="48"/>
  <c r="J38" i="53" s="1"/>
  <c r="N38" i="53" s="1"/>
  <c r="H13" i="6"/>
  <c r="G30" i="48"/>
  <c r="F41" i="48"/>
  <c r="F43" i="48"/>
  <c r="F44" i="48" s="1"/>
  <c r="F46" i="48"/>
  <c r="I38" i="53" s="1"/>
  <c r="F38" i="47"/>
  <c r="H12" i="6"/>
  <c r="G30" i="47"/>
  <c r="F41" i="47"/>
  <c r="F43" i="47"/>
  <c r="F44" i="47" s="1"/>
  <c r="F45" i="47" s="1"/>
  <c r="F46" i="47"/>
  <c r="F38" i="46"/>
  <c r="J37" i="53" s="1"/>
  <c r="N37" i="53" s="1"/>
  <c r="H11" i="6"/>
  <c r="G30" i="46"/>
  <c r="F41" i="46"/>
  <c r="F43" i="46"/>
  <c r="F44" i="46" s="1"/>
  <c r="F46" i="46"/>
  <c r="I37" i="53" s="1"/>
  <c r="F38" i="45"/>
  <c r="J33" i="53" s="1"/>
  <c r="N33" i="53" s="1"/>
  <c r="H7" i="6"/>
  <c r="G30" i="45"/>
  <c r="F41" i="45"/>
  <c r="F43" i="45"/>
  <c r="F44" i="45" s="1"/>
  <c r="F46" i="45"/>
  <c r="I33" i="53" s="1"/>
  <c r="F38" i="44"/>
  <c r="J32" i="53" s="1"/>
  <c r="N32" i="53" s="1"/>
  <c r="H6" i="6"/>
  <c r="G30" i="44"/>
  <c r="F41" i="44"/>
  <c r="F43" i="44"/>
  <c r="F44" i="44" s="1"/>
  <c r="F46" i="44"/>
  <c r="I32" i="53" s="1"/>
  <c r="F38" i="43"/>
  <c r="J35" i="53" s="1"/>
  <c r="N35" i="53" s="1"/>
  <c r="H9" i="6"/>
  <c r="G30" i="43"/>
  <c r="F41" i="43"/>
  <c r="F43" i="43"/>
  <c r="F44" i="43" s="1"/>
  <c r="F46" i="43"/>
  <c r="I35" i="53" s="1"/>
  <c r="F38" i="42"/>
  <c r="J34" i="53" s="1"/>
  <c r="N34" i="53" s="1"/>
  <c r="H8" i="6"/>
  <c r="G30" i="42"/>
  <c r="F41" i="42"/>
  <c r="F43" i="42"/>
  <c r="F44" i="42" s="1"/>
  <c r="F46" i="42"/>
  <c r="I34" i="53" s="1"/>
  <c r="F38" i="41"/>
  <c r="J36" i="53" s="1"/>
  <c r="N36" i="53" s="1"/>
  <c r="H10" i="6"/>
  <c r="G30" i="41"/>
  <c r="F41" i="41"/>
  <c r="F43" i="41"/>
  <c r="F44" i="41" s="1"/>
  <c r="F46" i="41"/>
  <c r="I36" i="53" s="1"/>
  <c r="F38" i="40"/>
  <c r="J31" i="53" s="1"/>
  <c r="N31" i="53" s="1"/>
  <c r="H15" i="5"/>
  <c r="G30" i="40"/>
  <c r="F41" i="40"/>
  <c r="F43" i="40"/>
  <c r="F44" i="40" s="1"/>
  <c r="F46" i="40"/>
  <c r="I31" i="53" s="1"/>
  <c r="F38" i="39"/>
  <c r="J30" i="53" s="1"/>
  <c r="N30" i="53" s="1"/>
  <c r="H14" i="5"/>
  <c r="G30" i="39"/>
  <c r="F41" i="39"/>
  <c r="F43" i="39"/>
  <c r="F44" i="39" s="1"/>
  <c r="F46" i="39"/>
  <c r="I30" i="53" s="1"/>
  <c r="F38" i="38"/>
  <c r="J29" i="53" s="1"/>
  <c r="N29" i="53" s="1"/>
  <c r="H13" i="5"/>
  <c r="G30" i="38"/>
  <c r="F41" i="38"/>
  <c r="F43" i="38"/>
  <c r="F44" i="38" s="1"/>
  <c r="F46" i="38"/>
  <c r="I29" i="53" s="1"/>
  <c r="F38" i="37"/>
  <c r="J28" i="53" s="1"/>
  <c r="N28" i="53" s="1"/>
  <c r="H12" i="5"/>
  <c r="G30" i="37"/>
  <c r="F41" i="37"/>
  <c r="F43" i="37"/>
  <c r="F44" i="37" s="1"/>
  <c r="F46" i="37"/>
  <c r="I28" i="53" s="1"/>
  <c r="G30" i="36"/>
  <c r="F41" i="36"/>
  <c r="F43" i="36"/>
  <c r="F44" i="36" s="1"/>
  <c r="F45" i="36" s="1"/>
  <c r="F46" i="36"/>
  <c r="G30" i="35"/>
  <c r="F41" i="35"/>
  <c r="F46" i="35" s="1"/>
  <c r="F43" i="35"/>
  <c r="F44" i="35" s="1"/>
  <c r="F45" i="35" s="1"/>
  <c r="G30" i="34"/>
  <c r="F41" i="34"/>
  <c r="F43" i="34"/>
  <c r="F44" i="34" s="1"/>
  <c r="F46" i="34"/>
  <c r="I26" i="53" s="1"/>
  <c r="F38" i="33"/>
  <c r="J22" i="53" s="1"/>
  <c r="N22" i="53" s="1"/>
  <c r="H6" i="5"/>
  <c r="H10" i="5"/>
  <c r="G30" i="33"/>
  <c r="F41" i="33"/>
  <c r="F43" i="33"/>
  <c r="F44" i="33" s="1"/>
  <c r="F46" i="33"/>
  <c r="I22" i="53" s="1"/>
  <c r="F38" i="32"/>
  <c r="J23" i="53" s="1"/>
  <c r="N23" i="53" s="1"/>
  <c r="H7" i="5"/>
  <c r="G30" i="32"/>
  <c r="F41" i="32"/>
  <c r="F43" i="32"/>
  <c r="F44" i="32" s="1"/>
  <c r="F46" i="32"/>
  <c r="I23" i="53" s="1"/>
  <c r="F38" i="31"/>
  <c r="J24" i="53" s="1"/>
  <c r="N24" i="53" s="1"/>
  <c r="H8" i="5"/>
  <c r="G30" i="31"/>
  <c r="F41" i="31"/>
  <c r="F43" i="31"/>
  <c r="F44" i="31" s="1"/>
  <c r="F46" i="31"/>
  <c r="I24" i="53" s="1"/>
  <c r="F38" i="30"/>
  <c r="J25" i="53" s="1"/>
  <c r="N25" i="53" s="1"/>
  <c r="H9" i="5"/>
  <c r="G30" i="30"/>
  <c r="F41" i="30"/>
  <c r="F43" i="30"/>
  <c r="F44" i="30" s="1"/>
  <c r="F46" i="30"/>
  <c r="I25" i="53" s="1"/>
  <c r="F37" i="29"/>
  <c r="G11" i="5"/>
  <c r="G30" i="29"/>
  <c r="F41" i="29"/>
  <c r="F43" i="29"/>
  <c r="F44" i="29" s="1"/>
  <c r="F46" i="29"/>
  <c r="I27" i="53" s="1"/>
  <c r="H15" i="4"/>
  <c r="F38" i="28"/>
  <c r="F38" i="27"/>
  <c r="J17" i="53" s="1"/>
  <c r="N17" i="53" s="1"/>
  <c r="H10" i="4"/>
  <c r="G30" i="27"/>
  <c r="F41" i="27"/>
  <c r="F43" i="27"/>
  <c r="F44" i="27" s="1"/>
  <c r="F46" i="27"/>
  <c r="I17" i="53" s="1"/>
  <c r="F38" i="26"/>
  <c r="J21" i="53" s="1"/>
  <c r="N21" i="53" s="1"/>
  <c r="H14" i="4"/>
  <c r="G30" i="26"/>
  <c r="F41" i="26"/>
  <c r="F43" i="26"/>
  <c r="F44" i="26" s="1"/>
  <c r="F46" i="26"/>
  <c r="I21" i="53" s="1"/>
  <c r="F38" i="25"/>
  <c r="J19" i="53" s="1"/>
  <c r="N19" i="53" s="1"/>
  <c r="H12" i="4"/>
  <c r="G30" i="25"/>
  <c r="F41" i="25"/>
  <c r="F43" i="25"/>
  <c r="F44" i="25" s="1"/>
  <c r="F46" i="25"/>
  <c r="I19" i="53" s="1"/>
  <c r="F38" i="24"/>
  <c r="J20" i="53" s="1"/>
  <c r="N20" i="53" s="1"/>
  <c r="H13" i="4"/>
  <c r="G30" i="24"/>
  <c r="F41" i="24"/>
  <c r="F43" i="24"/>
  <c r="F44" i="24" s="1"/>
  <c r="F46" i="24"/>
  <c r="I20" i="53" s="1"/>
  <c r="F38" i="23"/>
  <c r="J16" i="53" s="1"/>
  <c r="N16" i="53" s="1"/>
  <c r="H9" i="4"/>
  <c r="G30" i="23"/>
  <c r="F41" i="23"/>
  <c r="F43" i="23"/>
  <c r="F44" i="23" s="1"/>
  <c r="F46" i="23"/>
  <c r="I16" i="53" s="1"/>
  <c r="F38" i="22"/>
  <c r="J15" i="53" s="1"/>
  <c r="N15" i="53" s="1"/>
  <c r="H8" i="4"/>
  <c r="F41" i="22"/>
  <c r="G30" i="22"/>
  <c r="F43" i="22"/>
  <c r="F44" i="22" s="1"/>
  <c r="F46" i="22"/>
  <c r="I15" i="53" s="1"/>
  <c r="F38" i="21"/>
  <c r="J18" i="53" s="1"/>
  <c r="N18" i="53" s="1"/>
  <c r="H11" i="4"/>
  <c r="G30" i="21"/>
  <c r="F41" i="21"/>
  <c r="F43" i="21"/>
  <c r="F44" i="21" s="1"/>
  <c r="F46" i="21"/>
  <c r="I18" i="53" s="1"/>
  <c r="F38" i="20"/>
  <c r="J14" i="53" s="1"/>
  <c r="N14" i="53" s="1"/>
  <c r="H7" i="4"/>
  <c r="G30" i="20"/>
  <c r="F41" i="20"/>
  <c r="F43" i="20"/>
  <c r="F44" i="20" s="1"/>
  <c r="F46" i="20"/>
  <c r="I14" i="53" s="1"/>
  <c r="F38" i="19"/>
  <c r="J13" i="53" s="1"/>
  <c r="N13" i="53" s="1"/>
  <c r="H6" i="4"/>
  <c r="G30" i="19"/>
  <c r="F41" i="19"/>
  <c r="F43" i="19"/>
  <c r="F44" i="19" s="1"/>
  <c r="F46" i="19"/>
  <c r="I13" i="53" s="1"/>
  <c r="F38" i="18"/>
  <c r="H9" i="3"/>
  <c r="G30" i="18"/>
  <c r="F41" i="18"/>
  <c r="F43" i="18"/>
  <c r="F44" i="18" s="1"/>
  <c r="F45" i="18" s="1"/>
  <c r="F46" i="18"/>
  <c r="F38" i="17"/>
  <c r="J9" i="53" s="1"/>
  <c r="N9" i="53" s="1"/>
  <c r="H8" i="3"/>
  <c r="G30" i="17"/>
  <c r="F41" i="17"/>
  <c r="F43" i="17"/>
  <c r="F44" i="17" s="1"/>
  <c r="F46" i="17"/>
  <c r="I9" i="53" s="1"/>
  <c r="H6" i="3"/>
  <c r="F38" i="16"/>
  <c r="J7" i="53" s="1"/>
  <c r="N7" i="53" s="1"/>
  <c r="F46" i="16"/>
  <c r="I7" i="53" s="1"/>
  <c r="F43" i="16"/>
  <c r="G30" i="16"/>
  <c r="F41" i="16"/>
  <c r="G30" i="15"/>
  <c r="F41" i="15"/>
  <c r="F43" i="15"/>
  <c r="F44" i="15" s="1"/>
  <c r="F46" i="15"/>
  <c r="I8" i="53" s="1"/>
  <c r="F38" i="14"/>
  <c r="J12" i="53" s="1"/>
  <c r="N12" i="53" s="1"/>
  <c r="H13" i="3"/>
  <c r="G30" i="14"/>
  <c r="F41" i="14"/>
  <c r="F43" i="14"/>
  <c r="F44" i="14" s="1"/>
  <c r="F46" i="14"/>
  <c r="F38" i="13"/>
  <c r="J11" i="53" s="1"/>
  <c r="N11" i="53" s="1"/>
  <c r="H12" i="3"/>
  <c r="G30" i="13"/>
  <c r="F41" i="13"/>
  <c r="F43" i="13"/>
  <c r="F44" i="13" s="1"/>
  <c r="F46" i="13"/>
  <c r="F38" i="12"/>
  <c r="J10" i="53" s="1"/>
  <c r="N10" i="53" s="1"/>
  <c r="H10" i="3"/>
  <c r="G30" i="12"/>
  <c r="F41" i="12"/>
  <c r="F46" i="12" s="1"/>
  <c r="I10" i="53" s="1"/>
  <c r="F43" i="12"/>
  <c r="F44" i="12" s="1"/>
  <c r="F38" i="10"/>
  <c r="J6" i="53" s="1"/>
  <c r="N6" i="53" s="1"/>
  <c r="H9" i="2"/>
  <c r="G30" i="10"/>
  <c r="F41" i="10"/>
  <c r="F43" i="10"/>
  <c r="F44" i="10" s="1"/>
  <c r="F46" i="10"/>
  <c r="I6" i="53" s="1"/>
  <c r="F37" i="9"/>
  <c r="G7" i="2"/>
  <c r="G25" i="9"/>
  <c r="F41" i="9"/>
  <c r="F43" i="9"/>
  <c r="F44" i="9" s="1"/>
  <c r="F46" i="9"/>
  <c r="F37" i="8"/>
  <c r="G6" i="2"/>
  <c r="H8" i="2"/>
  <c r="F38" i="11"/>
  <c r="J5" i="53" s="1"/>
  <c r="N5" i="53" s="1"/>
  <c r="G30" i="11"/>
  <c r="F41" i="11"/>
  <c r="F43" i="11"/>
  <c r="F44" i="11" s="1"/>
  <c r="F46" i="11"/>
  <c r="I5" i="53" s="1"/>
  <c r="N21" i="8"/>
  <c r="N29" i="8" s="1"/>
  <c r="F39" i="8"/>
  <c r="J98" i="54" l="1"/>
  <c r="J99" i="54"/>
  <c r="J33" i="54"/>
  <c r="J40" i="54"/>
  <c r="J41" i="54" s="1"/>
  <c r="J42" i="54" s="1"/>
  <c r="M42" i="53"/>
  <c r="F45" i="52"/>
  <c r="M41" i="53"/>
  <c r="F45" i="51"/>
  <c r="F45" i="50"/>
  <c r="M40" i="53"/>
  <c r="F45" i="49"/>
  <c r="M39" i="53"/>
  <c r="F45" i="48"/>
  <c r="M38" i="53"/>
  <c r="F45" i="46"/>
  <c r="M37" i="53"/>
  <c r="F45" i="45"/>
  <c r="M33" i="53"/>
  <c r="F45" i="44"/>
  <c r="M32" i="53"/>
  <c r="F45" i="43"/>
  <c r="M35" i="53"/>
  <c r="F45" i="42"/>
  <c r="M34" i="53"/>
  <c r="F45" i="41"/>
  <c r="M36" i="53"/>
  <c r="F45" i="40"/>
  <c r="M31" i="53"/>
  <c r="F45" i="39"/>
  <c r="M30" i="53"/>
  <c r="F45" i="38"/>
  <c r="M29" i="53"/>
  <c r="F45" i="37"/>
  <c r="M28" i="53"/>
  <c r="F45" i="34"/>
  <c r="M26" i="53"/>
  <c r="F45" i="33"/>
  <c r="M22" i="53"/>
  <c r="F45" i="32"/>
  <c r="M23" i="53"/>
  <c r="F45" i="31"/>
  <c r="M24" i="53"/>
  <c r="F45" i="30"/>
  <c r="M25" i="53"/>
  <c r="F38" i="29"/>
  <c r="J27" i="53" s="1"/>
  <c r="N27" i="53" s="1"/>
  <c r="H11" i="5"/>
  <c r="F45" i="29"/>
  <c r="M27" i="53"/>
  <c r="F45" i="27"/>
  <c r="M17" i="53"/>
  <c r="F45" i="26"/>
  <c r="M21" i="53"/>
  <c r="F45" i="25"/>
  <c r="M19" i="53"/>
  <c r="F45" i="24"/>
  <c r="M20" i="53"/>
  <c r="F45" i="23"/>
  <c r="M16" i="53"/>
  <c r="F45" i="22"/>
  <c r="M15" i="53"/>
  <c r="F45" i="21"/>
  <c r="M18" i="53"/>
  <c r="F45" i="20"/>
  <c r="M14" i="53"/>
  <c r="F45" i="19"/>
  <c r="M13" i="53"/>
  <c r="F45" i="17"/>
  <c r="M9" i="53"/>
  <c r="O9" i="53" s="1"/>
  <c r="F44" i="16"/>
  <c r="I6" i="3"/>
  <c r="F45" i="15"/>
  <c r="M8" i="53"/>
  <c r="O8" i="53" s="1"/>
  <c r="F45" i="14"/>
  <c r="M12" i="53"/>
  <c r="O12" i="53" s="1"/>
  <c r="F45" i="13"/>
  <c r="M11" i="53"/>
  <c r="I12" i="53"/>
  <c r="I11" i="53"/>
  <c r="F45" i="12"/>
  <c r="M10" i="53"/>
  <c r="F45" i="10"/>
  <c r="M6" i="53"/>
  <c r="O6" i="53" s="1"/>
  <c r="F38" i="9"/>
  <c r="J4" i="53" s="1"/>
  <c r="N4" i="53" s="1"/>
  <c r="H7" i="2"/>
  <c r="F45" i="9"/>
  <c r="M4" i="53"/>
  <c r="O4" i="53" s="1"/>
  <c r="F38" i="8"/>
  <c r="J3" i="53" s="1"/>
  <c r="N3" i="53" s="1"/>
  <c r="H6" i="2"/>
  <c r="F45" i="11"/>
  <c r="M5" i="53"/>
  <c r="F41" i="8"/>
  <c r="G30" i="8"/>
  <c r="F46" i="8"/>
  <c r="I3" i="53" s="1"/>
  <c r="F43" i="8"/>
  <c r="J100" i="54" l="1"/>
  <c r="J102" i="54" s="1"/>
  <c r="J101" i="54"/>
  <c r="J103" i="54" s="1"/>
  <c r="J35" i="54"/>
  <c r="J34" i="54"/>
  <c r="J43" i="54"/>
  <c r="J46" i="54"/>
  <c r="J49" i="54"/>
  <c r="O42" i="53"/>
  <c r="M50" i="53"/>
  <c r="O41" i="53"/>
  <c r="E115" i="54"/>
  <c r="O40" i="53"/>
  <c r="E116" i="54"/>
  <c r="O39" i="53"/>
  <c r="E113" i="54"/>
  <c r="E114" i="54"/>
  <c r="O38" i="53"/>
  <c r="O37" i="53"/>
  <c r="E112" i="54"/>
  <c r="O33" i="53"/>
  <c r="E110" i="54"/>
  <c r="O32" i="53"/>
  <c r="M49" i="53"/>
  <c r="E111" i="54"/>
  <c r="O35" i="53"/>
  <c r="E108" i="54"/>
  <c r="E109" i="54"/>
  <c r="O34" i="53"/>
  <c r="O36" i="53"/>
  <c r="E107" i="54"/>
  <c r="E117" i="54" s="1"/>
  <c r="E74" i="54"/>
  <c r="E96" i="54" s="1"/>
  <c r="O31" i="53"/>
  <c r="O30" i="53"/>
  <c r="E73" i="54"/>
  <c r="E98" i="54" s="1"/>
  <c r="E72" i="54"/>
  <c r="O29" i="53"/>
  <c r="O28" i="53"/>
  <c r="E71" i="54"/>
  <c r="E102" i="54" s="1"/>
  <c r="O26" i="53"/>
  <c r="E69" i="54"/>
  <c r="E65" i="54"/>
  <c r="M48" i="53"/>
  <c r="O22" i="53"/>
  <c r="O23" i="53"/>
  <c r="E66" i="54"/>
  <c r="E91" i="54" s="1"/>
  <c r="O24" i="53"/>
  <c r="E67" i="54"/>
  <c r="O25" i="53"/>
  <c r="E68" i="54"/>
  <c r="E89" i="54" s="1"/>
  <c r="O27" i="53"/>
  <c r="E70" i="54"/>
  <c r="E94" i="54" s="1"/>
  <c r="E13" i="54"/>
  <c r="E39" i="54" s="1"/>
  <c r="E152" i="54"/>
  <c r="O17" i="53"/>
  <c r="O21" i="53"/>
  <c r="O19" i="53"/>
  <c r="E8" i="54"/>
  <c r="E154" i="54"/>
  <c r="E167" i="54" s="1"/>
  <c r="O20" i="53"/>
  <c r="E155" i="54"/>
  <c r="E7" i="54"/>
  <c r="E25" i="54" s="1"/>
  <c r="O16" i="53"/>
  <c r="E151" i="54"/>
  <c r="E6" i="54"/>
  <c r="O15" i="53"/>
  <c r="E12" i="54"/>
  <c r="E150" i="54"/>
  <c r="E175" i="54" s="1"/>
  <c r="O18" i="53"/>
  <c r="E9" i="54"/>
  <c r="E30" i="54" s="1"/>
  <c r="E153" i="54"/>
  <c r="O14" i="53"/>
  <c r="E10" i="54"/>
  <c r="E149" i="54"/>
  <c r="E171" i="54" s="1"/>
  <c r="E148" i="54"/>
  <c r="O13" i="53"/>
  <c r="M47" i="53"/>
  <c r="E11" i="54"/>
  <c r="F45" i="16"/>
  <c r="M7" i="53"/>
  <c r="D61" i="53"/>
  <c r="O11" i="53"/>
  <c r="O10" i="53"/>
  <c r="D60" i="53"/>
  <c r="O5" i="53"/>
  <c r="E14" i="54"/>
  <c r="F44" i="8"/>
  <c r="I6" i="2"/>
  <c r="J36" i="54" l="1"/>
  <c r="J37" i="54"/>
  <c r="J38" i="54" s="1"/>
  <c r="J39" i="54" s="1"/>
  <c r="J44" i="54"/>
  <c r="J45" i="54"/>
  <c r="J47" i="54"/>
  <c r="J48" i="54"/>
  <c r="J50" i="54"/>
  <c r="J53" i="54"/>
  <c r="D58" i="53"/>
  <c r="O50" i="53"/>
  <c r="D57" i="53"/>
  <c r="O49" i="53"/>
  <c r="E100" i="54"/>
  <c r="E103" i="54"/>
  <c r="E75" i="54"/>
  <c r="E80" i="54" s="1"/>
  <c r="E90" i="54"/>
  <c r="E92" i="54"/>
  <c r="O48" i="53"/>
  <c r="D56" i="53"/>
  <c r="E86" i="54"/>
  <c r="E87" i="54"/>
  <c r="E88" i="54"/>
  <c r="E26" i="54"/>
  <c r="E27" i="54"/>
  <c r="E168" i="54"/>
  <c r="AD167" i="54"/>
  <c r="AE167" i="54"/>
  <c r="AL167" i="54"/>
  <c r="BD167" i="54"/>
  <c r="BF167" i="54"/>
  <c r="BG167" i="54"/>
  <c r="E15" i="54"/>
  <c r="E21" i="54" s="1"/>
  <c r="E23" i="54"/>
  <c r="E24" i="54"/>
  <c r="E37" i="54"/>
  <c r="E38" i="54"/>
  <c r="AD175" i="54"/>
  <c r="AE175" i="54"/>
  <c r="AL175" i="54"/>
  <c r="BD175" i="54"/>
  <c r="BF175" i="54"/>
  <c r="BG175" i="54"/>
  <c r="E33" i="54"/>
  <c r="E34" i="54"/>
  <c r="AD171" i="54"/>
  <c r="AE171" i="54"/>
  <c r="AL171" i="54"/>
  <c r="BD171" i="54"/>
  <c r="BF171" i="54"/>
  <c r="BG171" i="54"/>
  <c r="E156" i="54"/>
  <c r="E173" i="54"/>
  <c r="O47" i="53"/>
  <c r="D55" i="53"/>
  <c r="E35" i="54"/>
  <c r="E36" i="54"/>
  <c r="M46" i="53"/>
  <c r="O46" i="53" s="1"/>
  <c r="O7" i="53"/>
  <c r="E41" i="54"/>
  <c r="E42" i="54"/>
  <c r="E40" i="54"/>
  <c r="F45" i="8"/>
  <c r="M3" i="53"/>
  <c r="E93" i="54"/>
  <c r="E95" i="54" s="1"/>
  <c r="E97" i="54" s="1"/>
  <c r="E99" i="54" s="1"/>
  <c r="J51" i="54" l="1"/>
  <c r="J52" i="54"/>
  <c r="J54" i="54"/>
  <c r="J55" i="54"/>
  <c r="E170" i="54"/>
  <c r="BG168" i="54"/>
  <c r="BF168" i="54"/>
  <c r="BD168" i="54"/>
  <c r="AL168" i="54"/>
  <c r="AE168" i="54"/>
  <c r="AD168" i="54"/>
  <c r="AD173" i="54"/>
  <c r="AE173" i="54"/>
  <c r="AL173" i="54"/>
  <c r="BD173" i="54"/>
  <c r="BF173" i="54"/>
  <c r="BG173" i="54"/>
  <c r="D59" i="53"/>
  <c r="F61" i="53" s="1"/>
  <c r="M43" i="53"/>
  <c r="B65" i="53" s="1"/>
  <c r="M45" i="53"/>
  <c r="O45" i="53" s="1"/>
  <c r="O3" i="53"/>
  <c r="O43" i="53" s="1"/>
  <c r="F58" i="53"/>
  <c r="E101" i="54"/>
  <c r="AD170" i="54" l="1"/>
  <c r="AE170" i="54"/>
  <c r="AL170" i="54"/>
  <c r="BD170" i="54"/>
  <c r="BF170" i="54"/>
  <c r="BG170" i="54"/>
  <c r="E172" i="54"/>
  <c r="B66" i="53"/>
  <c r="B68" i="53" s="1"/>
  <c r="B67" i="53" s="1"/>
  <c r="I65" i="53"/>
  <c r="I66" i="53" s="1"/>
  <c r="I68" i="53" s="1"/>
  <c r="I67" i="53" s="1"/>
  <c r="AD172" i="54" l="1"/>
  <c r="AE172" i="54"/>
  <c r="AL172" i="54"/>
  <c r="BD172" i="54"/>
  <c r="BF172" i="54"/>
  <c r="BG172" i="54"/>
  <c r="E174" i="54"/>
  <c r="AD174" i="54" l="1"/>
  <c r="AE174" i="54"/>
  <c r="AL174" i="54"/>
  <c r="BD174" i="54"/>
  <c r="BF174" i="54"/>
  <c r="BG174" i="54"/>
  <c r="E176" i="54"/>
  <c r="AD176" i="54" l="1"/>
  <c r="AE176" i="54"/>
  <c r="AE177" i="54" s="1"/>
  <c r="AL176" i="54"/>
  <c r="BD176" i="54"/>
  <c r="BF176" i="54"/>
  <c r="BG176" i="54"/>
  <c r="BG177" i="54" s="1"/>
</calcChain>
</file>

<file path=xl/sharedStrings.xml><?xml version="1.0" encoding="utf-8"?>
<sst xmlns="http://schemas.openxmlformats.org/spreadsheetml/2006/main" count="7017" uniqueCount="741">
  <si>
    <t>TOTAL JUMLAH RUANGAN yg DIKONDISIKAN</t>
  </si>
  <si>
    <t>Nama Kapal :</t>
  </si>
  <si>
    <t>MTM Antwerp</t>
  </si>
  <si>
    <t>Jenis Kapal :</t>
  </si>
  <si>
    <t>Product Oil Tanker</t>
  </si>
  <si>
    <t>Nama Mahasiswa :</t>
  </si>
  <si>
    <t>Daffa Gabillah Maulana Gapur</t>
  </si>
  <si>
    <t>NRP :</t>
  </si>
  <si>
    <t>0322040051</t>
  </si>
  <si>
    <t>No</t>
  </si>
  <si>
    <t>Room Name</t>
  </si>
  <si>
    <t>Jumlah Ruangan</t>
  </si>
  <si>
    <t>Main Deck</t>
  </si>
  <si>
    <t>Poop Deck</t>
  </si>
  <si>
    <t>A Deck</t>
  </si>
  <si>
    <t>B Deck</t>
  </si>
  <si>
    <t>C Deck</t>
  </si>
  <si>
    <t>Bridge Deck</t>
  </si>
  <si>
    <t>List Ruangan yg Perlu Dikondisikan dengan Sistem Air Handling Unit (AHU)</t>
  </si>
  <si>
    <t>Dimension in Meter</t>
  </si>
  <si>
    <r>
      <rPr>
        <b/>
        <sz val="12"/>
        <color theme="1"/>
        <rFont val="Calibri"/>
        <family val="2"/>
        <charset val="1"/>
      </rPr>
      <t>Area [ft</t>
    </r>
    <r>
      <rPr>
        <b/>
        <vertAlign val="superscript"/>
        <sz val="12"/>
        <color theme="1"/>
        <rFont val="Calibri"/>
        <family val="2"/>
        <charset val="1"/>
      </rPr>
      <t>2</t>
    </r>
    <r>
      <rPr>
        <b/>
        <sz val="12"/>
        <color theme="1"/>
        <rFont val="Calibri"/>
        <family val="2"/>
        <charset val="1"/>
      </rPr>
      <t>]</t>
    </r>
  </si>
  <si>
    <r>
      <rPr>
        <b/>
        <sz val="12"/>
        <color theme="1"/>
        <rFont val="Calibri"/>
        <family val="2"/>
        <charset val="1"/>
      </rPr>
      <t>Volume [ft</t>
    </r>
    <r>
      <rPr>
        <b/>
        <vertAlign val="superscript"/>
        <sz val="12"/>
        <color theme="1"/>
        <rFont val="Calibri"/>
        <family val="2"/>
        <charset val="1"/>
      </rPr>
      <t>3</t>
    </r>
    <r>
      <rPr>
        <b/>
        <sz val="12"/>
        <color theme="1"/>
        <rFont val="Calibri"/>
        <family val="2"/>
        <charset val="1"/>
      </rPr>
      <t>]</t>
    </r>
  </si>
  <si>
    <t>Cooling Capacity [Btu/hr]</t>
  </si>
  <si>
    <t>Length</t>
  </si>
  <si>
    <t>Width</t>
  </si>
  <si>
    <t xml:space="preserve">Height </t>
  </si>
  <si>
    <t>Vegetable Store</t>
  </si>
  <si>
    <t>Meat/Fish Store</t>
  </si>
  <si>
    <t>Engine Control Room</t>
  </si>
  <si>
    <t>Dry Provision Store</t>
  </si>
  <si>
    <t>Total Jumlah Ruangan</t>
  </si>
  <si>
    <t>Cargo Control Room</t>
  </si>
  <si>
    <t>Ship Office</t>
  </si>
  <si>
    <t>Deck Change Room</t>
  </si>
  <si>
    <t>Store</t>
  </si>
  <si>
    <t>Galley</t>
  </si>
  <si>
    <t>Pantry</t>
  </si>
  <si>
    <t>Crew Mess</t>
  </si>
  <si>
    <t>Office Mess</t>
  </si>
  <si>
    <t>Cooling Capacity</t>
  </si>
  <si>
    <t>Motorman 2 Cabin</t>
  </si>
  <si>
    <t>Motorman 1 Cabin</t>
  </si>
  <si>
    <t>AB 2 Cabin</t>
  </si>
  <si>
    <t>AB 1 Cabin</t>
  </si>
  <si>
    <t>Hospital</t>
  </si>
  <si>
    <t>OS Cabin</t>
  </si>
  <si>
    <t>Messman Cabin</t>
  </si>
  <si>
    <t>Fitter Cabin</t>
  </si>
  <si>
    <t>Suez Crew Room</t>
  </si>
  <si>
    <t>Hospital Bath Room</t>
  </si>
  <si>
    <t>2nd Engineer Cabin</t>
  </si>
  <si>
    <t>3rd Engineer Cabin</t>
  </si>
  <si>
    <t>Electrician Crew Cabin</t>
  </si>
  <si>
    <t>Bosun Crew Cabin</t>
  </si>
  <si>
    <t>Owner Cabin</t>
  </si>
  <si>
    <t>Gym Room</t>
  </si>
  <si>
    <t>2nd Officer Cabin</t>
  </si>
  <si>
    <t>3rd Officer Cabin</t>
  </si>
  <si>
    <t>Pumpman Cabin</t>
  </si>
  <si>
    <t>Cook Crew Cabin</t>
  </si>
  <si>
    <t>Captain Cabin</t>
  </si>
  <si>
    <t>Captain Bedroom</t>
  </si>
  <si>
    <t>Chief Officer Cabin</t>
  </si>
  <si>
    <t>Chief Officer Bedroom</t>
  </si>
  <si>
    <t>Pilot Cabin</t>
  </si>
  <si>
    <t>Office Room</t>
  </si>
  <si>
    <t>Instrumentation Room</t>
  </si>
  <si>
    <t>1st Engineer Cabin</t>
  </si>
  <si>
    <t>1st Engineer Bedroom</t>
  </si>
  <si>
    <t>Chief Engineer Cabin</t>
  </si>
  <si>
    <t>Chief Engineer Bedroom</t>
  </si>
  <si>
    <t>Wheel House</t>
  </si>
  <si>
    <t>SPACE</t>
  </si>
  <si>
    <t>SPACE NO.</t>
  </si>
  <si>
    <t>DECK</t>
  </si>
  <si>
    <t>FRAMES</t>
  </si>
  <si>
    <t>SPACE TEMP COOLING 78 °F</t>
  </si>
  <si>
    <t>SPACE TEMP HEATING 70 °F</t>
  </si>
  <si>
    <t>VEGETABLE STORE</t>
  </si>
  <si>
    <t>MAIN DECK</t>
  </si>
  <si>
    <t>-8 - 2</t>
  </si>
  <si>
    <t>ADJOINING SPACE</t>
  </si>
  <si>
    <t>LOAD KEY</t>
  </si>
  <si>
    <t>INSUL TYPE</t>
  </si>
  <si>
    <t>U KEY</t>
  </si>
  <si>
    <t>DIMENSION</t>
  </si>
  <si>
    <t>AREA [ft2]</t>
  </si>
  <si>
    <t>T</t>
  </si>
  <si>
    <t>T0</t>
  </si>
  <si>
    <t>ΔT</t>
  </si>
  <si>
    <t>U</t>
  </si>
  <si>
    <t>QS</t>
  </si>
  <si>
    <t>QL</t>
  </si>
  <si>
    <t>QT</t>
  </si>
  <si>
    <t>QW</t>
  </si>
  <si>
    <t>COEFF</t>
  </si>
  <si>
    <t>DIR</t>
  </si>
  <si>
    <t>ELECTRICIAN WORKSHOP</t>
  </si>
  <si>
    <t>0"-0</t>
  </si>
  <si>
    <t>H</t>
  </si>
  <si>
    <t>5.4812 m x 3 m</t>
  </si>
  <si>
    <t>MEAT/FISH STORE</t>
  </si>
  <si>
    <t>2.8 m x 3 m</t>
  </si>
  <si>
    <t>DRY PROVISION STORE</t>
  </si>
  <si>
    <t>0"-6</t>
  </si>
  <si>
    <t>TECH. FW TK</t>
  </si>
  <si>
    <t>D</t>
  </si>
  <si>
    <t>5.4812 m x 2.8 m</t>
  </si>
  <si>
    <t>OUTDOOR SPACE</t>
  </si>
  <si>
    <t>TRANSMISSION SUBTOTAL</t>
  </si>
  <si>
    <t>WINDOW</t>
  </si>
  <si>
    <t>LIGHTS</t>
  </si>
  <si>
    <t>EQUIPMENT</t>
  </si>
  <si>
    <t>FOOD</t>
  </si>
  <si>
    <t>PERSONNEL</t>
  </si>
  <si>
    <t>TOTAL HEAT</t>
  </si>
  <si>
    <r>
      <rPr>
        <sz val="11"/>
        <color theme="1"/>
        <rFont val="Times New Roman"/>
        <family val="1"/>
        <charset val="1"/>
      </rPr>
      <t>Δ</t>
    </r>
    <r>
      <rPr>
        <sz val="9.35"/>
        <color theme="1"/>
        <rFont val="Times New Roman"/>
        <family val="1"/>
        <charset val="1"/>
      </rPr>
      <t>T =</t>
    </r>
  </si>
  <si>
    <t>°F</t>
  </si>
  <si>
    <t>OCCUPANCY</t>
  </si>
  <si>
    <t>Sq. ft.</t>
  </si>
  <si>
    <t>sq. ft</t>
  </si>
  <si>
    <t>HEIGHT</t>
  </si>
  <si>
    <t>ft</t>
  </si>
  <si>
    <t>VOLUME</t>
  </si>
  <si>
    <t>cb. ft</t>
  </si>
  <si>
    <t>R of C</t>
  </si>
  <si>
    <t>CFM</t>
  </si>
  <si>
    <t>qS TOTAL</t>
  </si>
  <si>
    <t>Btu/hr</t>
  </si>
  <si>
    <t>qL TOTAL</t>
  </si>
  <si>
    <t>qT TOTAL</t>
  </si>
  <si>
    <t>qW TOTAL</t>
  </si>
  <si>
    <t>Q</t>
  </si>
  <si>
    <t>Q (kW)</t>
  </si>
  <si>
    <t>kW</t>
  </si>
  <si>
    <t>SHF</t>
  </si>
  <si>
    <t>SYMBOLS</t>
  </si>
  <si>
    <t>KEY</t>
  </si>
  <si>
    <t>HEATING AND COOLING LOAD CALCULATION</t>
  </si>
  <si>
    <t>A = Boundary Area</t>
  </si>
  <si>
    <t>[ft2]</t>
  </si>
  <si>
    <t>U = Heat Transfer Coefficient</t>
  </si>
  <si>
    <t>[Btu/ft2/hr/°F]</t>
  </si>
  <si>
    <t>1 = Deck Over</t>
  </si>
  <si>
    <t>6 = Inboard Bulkhead</t>
  </si>
  <si>
    <t>qS = Heat Load, Sensible</t>
  </si>
  <si>
    <t>[Btu/hr]</t>
  </si>
  <si>
    <t>T = Space Design Temp.</t>
  </si>
  <si>
    <t>[°F]</t>
  </si>
  <si>
    <t>2 = Deck Under</t>
  </si>
  <si>
    <t>7 = Lights</t>
  </si>
  <si>
    <t>qL = Heat Load, Latent</t>
  </si>
  <si>
    <t>TO = Temperature of</t>
  </si>
  <si>
    <t>3 = Outboard Bulkhead / Shell</t>
  </si>
  <si>
    <t>8 = Equipment</t>
  </si>
  <si>
    <t>qT = Heat Load, Total</t>
  </si>
  <si>
    <t>Adjacent Space / Outside</t>
  </si>
  <si>
    <t>4 = Forward Bulkhead</t>
  </si>
  <si>
    <t>9 = Personnel</t>
  </si>
  <si>
    <t>qW = Heat Load, Winter</t>
  </si>
  <si>
    <t>ΔT = Temperature Difference</t>
  </si>
  <si>
    <t>5 = After Bulkhead</t>
  </si>
  <si>
    <t>Q = Volumetric Flow Rate</t>
  </si>
  <si>
    <t>[CFM]</t>
  </si>
  <si>
    <t>R/C = Rate of Air Change</t>
  </si>
  <si>
    <t>CALCULATED BY:</t>
  </si>
  <si>
    <t>CHECKED BY:</t>
  </si>
  <si>
    <t>HULL OR JOB NO.:</t>
  </si>
  <si>
    <t>REV.</t>
  </si>
  <si>
    <t>SHEET NO.</t>
  </si>
  <si>
    <t>OF</t>
  </si>
  <si>
    <t>SPACE TEMP COOLING 40 F</t>
  </si>
  <si>
    <t>SPACE TEMP HEATING 40 F</t>
  </si>
  <si>
    <t>6"-150</t>
  </si>
  <si>
    <t>VENTILATION DUCT SPACE</t>
  </si>
  <si>
    <t>3"-94</t>
  </si>
  <si>
    <t>0.7 m x 3 m + 1.8 m x 3 m</t>
  </si>
  <si>
    <t>3.6 m x 3 m</t>
  </si>
  <si>
    <t>ENGINE ROOM</t>
  </si>
  <si>
    <t>2.4 m x 3 m</t>
  </si>
  <si>
    <t>WC</t>
  </si>
  <si>
    <t>2.1 m x 3 m</t>
  </si>
  <si>
    <t>NO. 3 HFO STORE TANK</t>
  </si>
  <si>
    <t>2.4 m x 0.7 m + 4.2 m x 2.1 m</t>
  </si>
  <si>
    <t>1.4 m x 4.2 m</t>
  </si>
  <si>
    <t>SAFETY EQUIPMENT STATION</t>
  </si>
  <si>
    <t>VENTILATION SPACE</t>
  </si>
  <si>
    <t>1.8 m x 0.7 m</t>
  </si>
  <si>
    <t>DRY PROVIISION STORE</t>
  </si>
  <si>
    <t>-9 ~ 13</t>
  </si>
  <si>
    <t>PASSAGEWAY</t>
  </si>
  <si>
    <t>1.1 m x 3 m</t>
  </si>
  <si>
    <t>LINEN ROOM</t>
  </si>
  <si>
    <t>2.3776 m x 3 m</t>
  </si>
  <si>
    <t>ENGINE CHANGE ROOM</t>
  </si>
  <si>
    <t>1.6 m x 3 m</t>
  </si>
  <si>
    <t>3.8 m x 3 m</t>
  </si>
  <si>
    <t>(3.052 m + 14.5 m)  x 3 m</t>
  </si>
  <si>
    <t>VOID COFFERDAM</t>
  </si>
  <si>
    <t>NO. 3 HFO STORAGE TANK (S)</t>
  </si>
  <si>
    <t>TECHNICAL FW TANK</t>
  </si>
  <si>
    <t>INFILTRATION</t>
  </si>
  <si>
    <t>ENGINE CONTROL ROOM</t>
  </si>
  <si>
    <t>20 ~ 23</t>
  </si>
  <si>
    <t>COFFERDAM</t>
  </si>
  <si>
    <t>4"-129</t>
  </si>
  <si>
    <t>11.1 m x 3 m</t>
  </si>
  <si>
    <t>VALVE CONTROL UNIT ROOM</t>
  </si>
  <si>
    <t>5.9 m x 3 m</t>
  </si>
  <si>
    <t>(4.9 m + 3.1 m) x 3 m</t>
  </si>
  <si>
    <t>STAIRWAY</t>
  </si>
  <si>
    <t>SERVICE DUCT TRUNK</t>
  </si>
  <si>
    <t>1 m x 3 m</t>
  </si>
  <si>
    <t>FIRE/FOAM STATION</t>
  </si>
  <si>
    <t>PASSAGE WAY</t>
  </si>
  <si>
    <t>(1.3 m x 1 m) + (2.2 m * 1 m)</t>
  </si>
  <si>
    <t>5.9 m x 6.45 m</t>
  </si>
  <si>
    <t>HYDRAULIC AGREGATES ROOM</t>
  </si>
  <si>
    <t>5.9 m x 4.65 m</t>
  </si>
  <si>
    <t>G/E LO STORAGE TANK</t>
  </si>
  <si>
    <t>2.4 m x 2.3 m</t>
  </si>
  <si>
    <t>MGO SERVICE TANK</t>
  </si>
  <si>
    <t>2.1 m x 3.2 m</t>
  </si>
  <si>
    <t>MGO SETTLING TANK</t>
  </si>
  <si>
    <t>1.45 m x 3.2 m</t>
  </si>
  <si>
    <t>EQUIPMENT: Control Panels</t>
  </si>
  <si>
    <t>EQUIPMENT: Computer Consoles</t>
  </si>
  <si>
    <t>EQUIPMENT: UCS System</t>
  </si>
  <si>
    <t>EQUIPMENT: Communication Equipment</t>
  </si>
  <si>
    <t>GALLEY</t>
  </si>
  <si>
    <t>POOP DECK</t>
  </si>
  <si>
    <t>16 ~ 24</t>
  </si>
  <si>
    <t>3 m x 2.7 m + 4.2 m x 2.7 m</t>
  </si>
  <si>
    <t>STORE</t>
  </si>
  <si>
    <t>1.2 m x 2.7 m + 0.8 m x 2.7 m</t>
  </si>
  <si>
    <t>DECK CHANGE ROOM</t>
  </si>
  <si>
    <t>2.6 m x 2.7 m</t>
  </si>
  <si>
    <t>PANTRY</t>
  </si>
  <si>
    <t>5 m x 2.7 m</t>
  </si>
  <si>
    <t>ESCAPE TRUNK</t>
  </si>
  <si>
    <t>0.8 m x 2.7 m</t>
  </si>
  <si>
    <t>1.2 m x 2.7 m + 1.2 m x 2.7 m</t>
  </si>
  <si>
    <t>VENTILATION TRUNK</t>
  </si>
  <si>
    <t>3 m x 1.2 m</t>
  </si>
  <si>
    <t>CO2 ROOM</t>
  </si>
  <si>
    <t>HOSPITAL</t>
  </si>
  <si>
    <t>1 m x 2.7 m</t>
  </si>
  <si>
    <t>0.6 m x 1 m</t>
  </si>
  <si>
    <t>EQUIPMENT: Convection Oven, Electric</t>
  </si>
  <si>
    <t>EQUIPMENT: Griddle, Electric</t>
  </si>
  <si>
    <t>EQUIPMENT: Mixer, Electric</t>
  </si>
  <si>
    <t>EQUIPMENT: Refrigerator (up to 20 cu.ft.)</t>
  </si>
  <si>
    <t>(5.8 m + 6 m) x 2.7 m</t>
  </si>
  <si>
    <t>4 m x 2.7 m</t>
  </si>
  <si>
    <t>(3 m + 3.5 m + 1.3 m) x 2.7 m</t>
  </si>
  <si>
    <t>1"-22</t>
  </si>
  <si>
    <t>ENGINE WORKSHOP ROOM</t>
  </si>
  <si>
    <t>5.8 m x 1.7 m</t>
  </si>
  <si>
    <t>AIR CONDITION ROOM</t>
  </si>
  <si>
    <t>AB 1 CABIN</t>
  </si>
  <si>
    <t>AB 1 TOILET</t>
  </si>
  <si>
    <t>OFFICE MESS</t>
  </si>
  <si>
    <t>27 ~ 35</t>
  </si>
  <si>
    <t>(5.9 m + 6.4 m) x 2.7 m</t>
  </si>
  <si>
    <t>(5.1 m + 1 m + 1.3 m) x 2.7 m</t>
  </si>
  <si>
    <t>SHIP OFFICE</t>
  </si>
  <si>
    <t>4.9 m x 2.7 m</t>
  </si>
  <si>
    <t>1"-25</t>
  </si>
  <si>
    <t>FITTER CABIN</t>
  </si>
  <si>
    <t>MESSMAN CABIN</t>
  </si>
  <si>
    <t>FITTER TOILET</t>
  </si>
  <si>
    <t>1.6 m x 1.7 m</t>
  </si>
  <si>
    <t>MESMAN TOILET</t>
  </si>
  <si>
    <t>28 ~ 35</t>
  </si>
  <si>
    <t>5.2 m x 2.7 m</t>
  </si>
  <si>
    <t>(1 m + 1.1 m + 1 m) x 2.7 m</t>
  </si>
  <si>
    <t>3.1 m x 2.7 m</t>
  </si>
  <si>
    <t>CARGO CONTROL ROOM</t>
  </si>
  <si>
    <t>MOTORMAN 1 CABIN</t>
  </si>
  <si>
    <t>MOTORMAN 1 TOILET</t>
  </si>
  <si>
    <t>0.6 m x 1.7 m</t>
  </si>
  <si>
    <t>OS CABIN</t>
  </si>
  <si>
    <t>OS TOILET</t>
  </si>
  <si>
    <t>1.7 m x 1.6 m</t>
  </si>
  <si>
    <t>EQUIPMENT: Computer</t>
  </si>
  <si>
    <t>EQUIPMENT: Monitor LCD</t>
  </si>
  <si>
    <t>EQUIPMENT: Printer</t>
  </si>
  <si>
    <t>EQUIPMENT: Telephone</t>
  </si>
  <si>
    <t xml:space="preserve">EQUIPMENT: Chart </t>
  </si>
  <si>
    <t>(4.2 m + 5.9 m) x 2.7 m</t>
  </si>
  <si>
    <t>(3.1 m + 1 m + 1.1 m) x 2.7 m</t>
  </si>
  <si>
    <t>FIRE FOAM STATION</t>
  </si>
  <si>
    <t>1.4 m x 5.9 m</t>
  </si>
  <si>
    <t>MOTORMAN 2 CABIN</t>
  </si>
  <si>
    <t>MOTORMAN 2 TOILET</t>
  </si>
  <si>
    <t>3.2 m x 1 m</t>
  </si>
  <si>
    <t>1.7 m x 1 m</t>
  </si>
  <si>
    <t>MOTORMAN 2 TOILET VOID</t>
  </si>
  <si>
    <t>SOLAR</t>
  </si>
  <si>
    <t>EQUIPMENT: Cargo control console</t>
  </si>
  <si>
    <t>EQUIPMENT: Cargo pump control console</t>
  </si>
  <si>
    <t>EQUIPMENT: Electrical cabinet</t>
  </si>
  <si>
    <t>23 ~ 26</t>
  </si>
  <si>
    <t>2.4 m x 2.7 m</t>
  </si>
  <si>
    <t>2.6 m x 2.4 m</t>
  </si>
  <si>
    <t>AB 2 CABIN</t>
  </si>
  <si>
    <t>AB 2 TOILET</t>
  </si>
  <si>
    <t>AB 2 TOILET VOID</t>
  </si>
  <si>
    <t>HYDRAULIC OIL STORAGE TANK</t>
  </si>
  <si>
    <t>(1.2 m + 1.7 m) x 2.7 m</t>
  </si>
  <si>
    <t>2.4 m x 1.2 m</t>
  </si>
  <si>
    <t>A DECK</t>
  </si>
  <si>
    <t>(1.6 m + 0.9 m) x 2.7 m</t>
  </si>
  <si>
    <t>1.6 m x 2.7 m</t>
  </si>
  <si>
    <t>1.7 m x 2.7 m</t>
  </si>
  <si>
    <t>(3 m + 2.7 m) x 2.7 m</t>
  </si>
  <si>
    <t>SH</t>
  </si>
  <si>
    <t>(1.6 m + 1.7 m) x 2.7 m</t>
  </si>
  <si>
    <t>SD</t>
  </si>
  <si>
    <t>1.5 m x 2.7 m</t>
  </si>
  <si>
    <t>2ND ENGINEER TOILET</t>
  </si>
  <si>
    <t>SU</t>
  </si>
  <si>
    <t>1.5 m x 2.1 m</t>
  </si>
  <si>
    <t>3.2 m x 2.7 m</t>
  </si>
  <si>
    <t>0.3 m x 1.5 m</t>
  </si>
  <si>
    <t>OWNER ROOM CABIN</t>
  </si>
  <si>
    <t>23 ~ 37</t>
  </si>
  <si>
    <t>0.1 m x 1.3 m</t>
  </si>
  <si>
    <t>3RD ENGINEER CABIN</t>
  </si>
  <si>
    <t>ELECTRICIAN CREW CABIN</t>
  </si>
  <si>
    <t>3RD ENGINEER TOILET</t>
  </si>
  <si>
    <t>ELECTRICIAN CREW TOILET</t>
  </si>
  <si>
    <t>(5 m + 1.4 m) x 2.7 m</t>
  </si>
  <si>
    <t>AIR COND ROOM</t>
  </si>
  <si>
    <t>3.5 m x 2.7 m</t>
  </si>
  <si>
    <t>(1.5 m + 2.1) x 2.7 m</t>
  </si>
  <si>
    <t>3RD OFFICER CABIN</t>
  </si>
  <si>
    <t>3RD OFFICER TOILET</t>
  </si>
  <si>
    <t>PUMPMAN CABIN</t>
  </si>
  <si>
    <t>CREW MESS</t>
  </si>
  <si>
    <t>VOID</t>
  </si>
  <si>
    <t>MESSMAN TOILET</t>
  </si>
  <si>
    <t>2ND OFFICER CABIN</t>
  </si>
  <si>
    <t>(3.2 m + 3.3 m) x 2.7 m</t>
  </si>
  <si>
    <t>2ND OFFICER TOILET</t>
  </si>
  <si>
    <t>OWNER CABIN</t>
  </si>
  <si>
    <t>OWNER TOILET</t>
  </si>
  <si>
    <t>(0.2 m + 0.3 m) x 2.7 m</t>
  </si>
  <si>
    <t>SUEZ CREW</t>
  </si>
  <si>
    <t>16 ~ 23</t>
  </si>
  <si>
    <t>5.6 m x 2.7 m</t>
  </si>
  <si>
    <t>(1.6 m + 2.4 m) x 2.7 m</t>
  </si>
  <si>
    <t>2.1 m x 2.7 m</t>
  </si>
  <si>
    <t>HOSPITAL ROOM</t>
  </si>
  <si>
    <t>HOSPITAL TOILET</t>
  </si>
  <si>
    <t>STORE (B DECK)</t>
  </si>
  <si>
    <t>BONDED STORE</t>
  </si>
  <si>
    <t>FAN ROOM</t>
  </si>
  <si>
    <t>19 ~ 23</t>
  </si>
  <si>
    <t>1.1 m x 2.7 m</t>
  </si>
  <si>
    <t>3.9 m x 2.7 m</t>
  </si>
  <si>
    <t>0.1 m x 2.7 m</t>
  </si>
  <si>
    <t>BOSUN CABIN</t>
  </si>
  <si>
    <t>ELECTRICIANMAN CABIN</t>
  </si>
  <si>
    <t>ELECTRICIANMAN TOILET</t>
  </si>
  <si>
    <t>3.3 m x 2.7 m</t>
  </si>
  <si>
    <t>SUEZ CREW ROOM</t>
  </si>
  <si>
    <t>PASAGEWAY</t>
  </si>
  <si>
    <t>GYM</t>
  </si>
  <si>
    <t>B DECK</t>
  </si>
  <si>
    <t>2.8 m x 2.7 m</t>
  </si>
  <si>
    <t>0.4 m x 2.7 m</t>
  </si>
  <si>
    <t>2.4 m x 3.2 m</t>
  </si>
  <si>
    <t>OUTDOOR SAPCE</t>
  </si>
  <si>
    <t>1.9 m x 2.7 m</t>
  </si>
  <si>
    <t>3.6 m x 2.7 m</t>
  </si>
  <si>
    <t>5.1 m x 2.7 m</t>
  </si>
  <si>
    <t>BOSUN TOILET</t>
  </si>
  <si>
    <t>PILOT CABIN</t>
  </si>
  <si>
    <t>PILOT TOILET</t>
  </si>
  <si>
    <t>CHIEF OFFICER BEDROOM</t>
  </si>
  <si>
    <t>CHIEF OFFICER TOILET</t>
  </si>
  <si>
    <t>1.8 m x 2.7 m</t>
  </si>
  <si>
    <t>25 ~ 30</t>
  </si>
  <si>
    <t>(1.7 + 1.6) m x 2.7 m</t>
  </si>
  <si>
    <t>MASTER TOILET</t>
  </si>
  <si>
    <t>MASTER TOILET VOID</t>
  </si>
  <si>
    <t>1.2 m x 5.1 m</t>
  </si>
  <si>
    <t>MOTORMAN 1 TOILET VOID</t>
  </si>
  <si>
    <t>2ND ENGINEER CABIN</t>
  </si>
  <si>
    <t>(1.5 m + 2.1 m) x 2.7 m</t>
  </si>
  <si>
    <t>0.2 m x 1.1 m</t>
  </si>
  <si>
    <t>(3.8 m x 4.6 m) x 2.7 m</t>
  </si>
  <si>
    <t>1.4 m x 2.7 m</t>
  </si>
  <si>
    <t>3 m x 2.7 m</t>
  </si>
  <si>
    <t>5.4 m x 2.7 m</t>
  </si>
  <si>
    <t>OWNER TOIILET</t>
  </si>
  <si>
    <t>(0.9 m + 1.5 m + 2.1 m) x 2.7 m</t>
  </si>
  <si>
    <t>2ND OFFICER TOILET VOID</t>
  </si>
  <si>
    <t>1.3 m x 2.7 m</t>
  </si>
  <si>
    <t>2ND ENGINEER TOILET VOID</t>
  </si>
  <si>
    <t>OS TOILET VOID</t>
  </si>
  <si>
    <t>18 ~ 22</t>
  </si>
  <si>
    <t>BATTERY ROOM</t>
  </si>
  <si>
    <t>1.2 m x 1.2 m</t>
  </si>
  <si>
    <t>0.4 m x 1.6 m</t>
  </si>
  <si>
    <t>21 ~ 23</t>
  </si>
  <si>
    <t>VOID TRUNK</t>
  </si>
  <si>
    <t>(1.2 m + 0.3 m) x 2.7 m</t>
  </si>
  <si>
    <t>1.2 m x 2.7 m</t>
  </si>
  <si>
    <t>29 ~ 35</t>
  </si>
  <si>
    <t>(2.1 m + 1.5 m) x 2.7 m</t>
  </si>
  <si>
    <t>OWNER ROOM TOILET VOID TRUNK</t>
  </si>
  <si>
    <t>(0.8 m + 0.6 m) x 2.7 m</t>
  </si>
  <si>
    <t>OWNER ROOM TOILET</t>
  </si>
  <si>
    <t>(0.5 m + 0.6 m) x 2.7 m</t>
  </si>
  <si>
    <t>FITTER TOILET VOID TRUNK</t>
  </si>
  <si>
    <t>MESSMAN TOILET VOID TRUNK</t>
  </si>
  <si>
    <t>25 ~ 29</t>
  </si>
  <si>
    <t>CHIEF ENGINEER TOILET</t>
  </si>
  <si>
    <t>CHIEF ENGINEER TOILET VOID TRUNK</t>
  </si>
  <si>
    <t>AIR CONDITIONAIR ROOM</t>
  </si>
  <si>
    <t>1ST ENGINEER TOILET</t>
  </si>
  <si>
    <t>1ST ENGINEER TOILET VOID TRUNK</t>
  </si>
  <si>
    <t>COOKMAN CABIN</t>
  </si>
  <si>
    <t>COOKMAN TOILET TOILET</t>
  </si>
  <si>
    <t>(3.5 m + 3.6 m) x 2.7 m</t>
  </si>
  <si>
    <t>C DECK</t>
  </si>
  <si>
    <t>16 ~ 20</t>
  </si>
  <si>
    <t>(3.2 m + 3.8 m) x 2.7 m</t>
  </si>
  <si>
    <t>CHIEF OFFICER TOILET VOID TRUNK</t>
  </si>
  <si>
    <t>CHIEF OFFICER CABIN</t>
  </si>
  <si>
    <t>2.7 m x 2.7 m</t>
  </si>
  <si>
    <t>3.8 m x 2.7 m</t>
  </si>
  <si>
    <t>MASTER TOILET VOID TRUNK</t>
  </si>
  <si>
    <t>(1.4 m + 0.1 m) x 2.7 m</t>
  </si>
  <si>
    <t>WHEEL HOUSE</t>
  </si>
  <si>
    <t>ELECTRICIANMAN TOILET VOID TRUNK</t>
  </si>
  <si>
    <t>3RD ENGINEER TOILET VOID TRUNK</t>
  </si>
  <si>
    <t>2.2 m x 2.7 m</t>
  </si>
  <si>
    <t>MASTER CABIN</t>
  </si>
  <si>
    <t>(3.8 m + 4.25 m) x 2.7 m</t>
  </si>
  <si>
    <t>MASTER BEDROOM</t>
  </si>
  <si>
    <t>27 ~ 30</t>
  </si>
  <si>
    <t>OFFICE</t>
  </si>
  <si>
    <t>7.3 m x 2.7 m</t>
  </si>
  <si>
    <t>(1 m + 1.9 m + 1.1 m) x 2.7 m</t>
  </si>
  <si>
    <t>INTRUMENTATION ROOM</t>
  </si>
  <si>
    <t>18 ~ 23</t>
  </si>
  <si>
    <t>STORE B DECK</t>
  </si>
  <si>
    <t>0.343 m x 1 m</t>
  </si>
  <si>
    <t>1ST ENGINEER CABIN</t>
  </si>
  <si>
    <t>PUMPMAN TOILET</t>
  </si>
  <si>
    <t>1ST ENGINEER BEDROOM</t>
  </si>
  <si>
    <t>(3.8 m + 2.2 m) x 2.7 m</t>
  </si>
  <si>
    <t>3.8 m x 2.2 m</t>
  </si>
  <si>
    <t>CHIEF ENGINEER CABIN</t>
  </si>
  <si>
    <t>Td</t>
  </si>
  <si>
    <t>qS</t>
  </si>
  <si>
    <t>qL</t>
  </si>
  <si>
    <t>qT</t>
  </si>
  <si>
    <t>qW</t>
  </si>
  <si>
    <t>(1.2 m + 1 m) x 2.7 m</t>
  </si>
  <si>
    <t>Td = Temperature Difference</t>
  </si>
  <si>
    <t>CHIEF ENGINEER BEDROOM</t>
  </si>
  <si>
    <t>TOTAL</t>
  </si>
  <si>
    <t>BRIDGE DECK</t>
  </si>
  <si>
    <t>(2.8 m + 7.6 m + 8.0718/2 m + 7.8/2 m + 4.8 m + 5 m) x 2.9 m</t>
  </si>
  <si>
    <t>OUTDOOR SPACE PORTSIDE</t>
  </si>
  <si>
    <t>OUTDOOR SPACE STARBOARD SIDE</t>
  </si>
  <si>
    <t>TRUNK</t>
  </si>
  <si>
    <t>1 m x 1.9 m</t>
  </si>
  <si>
    <t>2.2 m x 1.4 m</t>
  </si>
  <si>
    <t>R/C</t>
  </si>
  <si>
    <t>SPACE NO</t>
  </si>
  <si>
    <t>SIDE</t>
  </si>
  <si>
    <t>BTU/HR</t>
  </si>
  <si>
    <t>OUTSIDE AIR BASED</t>
  </si>
  <si>
    <t>R/C TOTAL AIR</t>
  </si>
  <si>
    <t>AIR QUANTITY (L/s)</t>
  </si>
  <si>
    <t>FRICTION LOSS (Pa/mm)</t>
  </si>
  <si>
    <t>DUCT DIAMETER (mm)</t>
  </si>
  <si>
    <t>RECT. DUCT SIZE (mm)</t>
  </si>
  <si>
    <t>Ukuran Diffuser</t>
  </si>
  <si>
    <t>l/s</t>
  </si>
  <si>
    <t>JUMLAH DIFFUSER</t>
  </si>
  <si>
    <t>SENS.</t>
  </si>
  <si>
    <t>LATENT</t>
  </si>
  <si>
    <t>PERS.</t>
  </si>
  <si>
    <t>EXH.</t>
  </si>
  <si>
    <t>L x W</t>
  </si>
  <si>
    <t>GYM ROOM</t>
  </si>
  <si>
    <t>SECTION A</t>
  </si>
  <si>
    <t>SECTION A (A DECK tanpa Suez Crew Room)</t>
  </si>
  <si>
    <t>Ducting B</t>
  </si>
  <si>
    <t>Ducting C</t>
  </si>
  <si>
    <t>Ducting C (seluruh ruangan C Deck)</t>
  </si>
  <si>
    <t>Ducting D</t>
  </si>
  <si>
    <t>Ducting E</t>
  </si>
  <si>
    <t>Ducting F</t>
  </si>
  <si>
    <t>Ducting G</t>
  </si>
  <si>
    <t>Min.</t>
  </si>
  <si>
    <t>at least max</t>
  </si>
  <si>
    <t>Total Air Quantity =</t>
  </si>
  <si>
    <t>L/s</t>
  </si>
  <si>
    <t>m3/h</t>
  </si>
  <si>
    <t>m3/s</t>
  </si>
  <si>
    <t>Ukuran ruang AHU</t>
  </si>
  <si>
    <t>Height :</t>
  </si>
  <si>
    <t>m</t>
  </si>
  <si>
    <t>Width :</t>
  </si>
  <si>
    <t>Length :</t>
  </si>
  <si>
    <t>Pilihan 1</t>
  </si>
  <si>
    <t>Merk AHU :</t>
  </si>
  <si>
    <t>TRANE</t>
  </si>
  <si>
    <t>Tipe :</t>
  </si>
  <si>
    <t>Unit Size 40</t>
  </si>
  <si>
    <t>Link :</t>
  </si>
  <si>
    <t>https://www.trane.com/content/dam/Trane/Commercial/lar/es/product-systems/Sistemas-de-agua-helada/Performance-climate-changer/CSAA/Catalogo/CLCH-PRC022-EN_092013_Performance%20Air%20Handler%20Catalog.pdf</t>
  </si>
  <si>
    <t>Speed :</t>
  </si>
  <si>
    <t>fpm</t>
  </si>
  <si>
    <t>Airflow :</t>
  </si>
  <si>
    <t>at 625 fpm</t>
  </si>
  <si>
    <t>in</t>
  </si>
  <si>
    <t>Pilihan 2</t>
  </si>
  <si>
    <t>CLCP 035</t>
  </si>
  <si>
    <t>https://www.tranehk.com/files/Products/CLCH-PRC010B-EN_0619(English).pdf</t>
  </si>
  <si>
    <t>m/s</t>
  </si>
  <si>
    <t>Mixing box/intake section</t>
  </si>
  <si>
    <t>mm</t>
  </si>
  <si>
    <t>Per-filter section</t>
  </si>
  <si>
    <t>Secondary filter section</t>
  </si>
  <si>
    <t>Flat + Bag Filter section</t>
  </si>
  <si>
    <t>Cooling Coil section</t>
  </si>
  <si>
    <t>Hot water coil section</t>
  </si>
  <si>
    <t>Steam coil section</t>
  </si>
  <si>
    <t>Electric heater section</t>
  </si>
  <si>
    <t>Steam humidifier section</t>
  </si>
  <si>
    <t>Film humidifier section</t>
  </si>
  <si>
    <t>High-pressure atomizing humidifier section (include drop eliminator)</t>
  </si>
  <si>
    <t>Fan section</t>
  </si>
  <si>
    <t>Sound Attenuator section</t>
  </si>
  <si>
    <t>Hi-capacity filter section</t>
  </si>
  <si>
    <t>Access section</t>
  </si>
  <si>
    <t>Supply airflow section</t>
  </si>
  <si>
    <t>Heat wheel section</t>
  </si>
  <si>
    <t>Horizontal Unit: Fan Outlet Position &amp; Unit Dimension</t>
  </si>
  <si>
    <t>Position 1</t>
  </si>
  <si>
    <t>A + B :</t>
  </si>
  <si>
    <t>Pilihan 3</t>
  </si>
  <si>
    <t>Weight :</t>
  </si>
  <si>
    <t>kg</t>
  </si>
  <si>
    <t>Pilihan 4</t>
  </si>
  <si>
    <t>DAIKIN</t>
  </si>
  <si>
    <t>PROFESSIONAL 13</t>
  </si>
  <si>
    <t>https://industri.daikin.no/wp-content/uploads/2020/06/2020_04_Produktkatalog_Air_Handling_Ventilation.pdf?utm_source=chatgpt.com</t>
  </si>
  <si>
    <t>Pilihan 5</t>
  </si>
  <si>
    <t>62M</t>
  </si>
  <si>
    <t>https://www.daikin.com.sg/resources/ck/files/catalogue/Air%20Handling%20Unit%20%28AH%20Models%29.pdf?utm_source=chatgpt.com</t>
  </si>
  <si>
    <t>Pilihan 6</t>
  </si>
  <si>
    <t>Teknotherm</t>
  </si>
  <si>
    <t>CECE280</t>
  </si>
  <si>
    <t>2500 Pa</t>
  </si>
  <si>
    <t>https://www.teknotherm.no/wp-content/uploads/2015/11/73-11_air_handling_unit_2013.pdf</t>
  </si>
  <si>
    <t>Pilihan 7</t>
  </si>
  <si>
    <t>AERON</t>
  </si>
  <si>
    <t>2500Oa</t>
  </si>
  <si>
    <t>DUCTING A</t>
  </si>
  <si>
    <t>AB 1</t>
  </si>
  <si>
    <t>Fitter</t>
  </si>
  <si>
    <t>Messman</t>
  </si>
  <si>
    <t>OS</t>
  </si>
  <si>
    <t>Motorman 1</t>
  </si>
  <si>
    <t>Motorman 2</t>
  </si>
  <si>
    <t>AB 2</t>
  </si>
  <si>
    <t>RUANG</t>
  </si>
  <si>
    <t>BRANCH SECT. NO.</t>
  </si>
  <si>
    <t>AIR QUANTITY Q (cfm)</t>
  </si>
  <si>
    <t>EQUIV. DUCT LENGTH L (ft)</t>
  </si>
  <si>
    <t>PRESSURE READING (in. wg)</t>
  </si>
  <si>
    <t>TAKE-OFF TO TAKE-OFF S.P. CHANCE (in.wg)</t>
  </si>
  <si>
    <t>S.P. AHEAD OF TAKE-OFF (in. wg)</t>
  </si>
  <si>
    <t>AIR TERMINAL PRESS (in. wg)</t>
  </si>
  <si>
    <t>DUCT DIAMETR SIZE (in)</t>
  </si>
  <si>
    <t>DUCT SIZE (mm)</t>
  </si>
  <si>
    <t>VELOCITY V (fpm)</t>
  </si>
  <si>
    <t>VELOCITY V (fps)</t>
  </si>
  <si>
    <t>Panjang Line (m)</t>
  </si>
  <si>
    <t>Panjang Line (ft)</t>
  </si>
  <si>
    <t>f</t>
  </si>
  <si>
    <t>Le = (K*D)/f [in]</t>
  </si>
  <si>
    <t>Le = (K*D)/f [ft]</t>
  </si>
  <si>
    <t>Le Tee 8 in</t>
  </si>
  <si>
    <t>Friction Loss (in.wg)</t>
  </si>
  <si>
    <t>Pressure Loss (in.wg)</t>
  </si>
  <si>
    <t>Jarak antar Tee (6*D)</t>
  </si>
  <si>
    <t>Initial</t>
  </si>
  <si>
    <t>Selected</t>
  </si>
  <si>
    <t>DUCTING 1-01-02</t>
  </si>
  <si>
    <t>AD 02-0201</t>
  </si>
  <si>
    <t>AD 0201-020101</t>
  </si>
  <si>
    <t>AD 0201-020102</t>
  </si>
  <si>
    <t>AD 02-03</t>
  </si>
  <si>
    <t>AD 03-0301</t>
  </si>
  <si>
    <t>AD 03-04</t>
  </si>
  <si>
    <t>AD 04-0401</t>
  </si>
  <si>
    <t>AD 04-05</t>
  </si>
  <si>
    <t>AD 05-06</t>
  </si>
  <si>
    <t>AD 06-0601</t>
  </si>
  <si>
    <t>AD 06-07</t>
  </si>
  <si>
    <t>AD 07-0701</t>
  </si>
  <si>
    <t>AD 07-08</t>
  </si>
  <si>
    <t>AD 08-0801</t>
  </si>
  <si>
    <t>AD 08-0802</t>
  </si>
  <si>
    <t>AD 05-09</t>
  </si>
  <si>
    <t>A DECK-MAIN DECK</t>
  </si>
  <si>
    <t>AD 09-MD 09</t>
  </si>
  <si>
    <t>MD 09-10</t>
  </si>
  <si>
    <t>MD 10-1001</t>
  </si>
  <si>
    <t>MD 1001-100101</t>
  </si>
  <si>
    <t>MD 1001-100102</t>
  </si>
  <si>
    <t>MD 10-1002</t>
  </si>
  <si>
    <t>MD 1002-100201</t>
  </si>
  <si>
    <t>MD 1002-102002</t>
  </si>
  <si>
    <t>MD 10-11</t>
  </si>
  <si>
    <t>MD 11-12</t>
  </si>
  <si>
    <t>MD 12-1201</t>
  </si>
  <si>
    <t>MD 12-1202</t>
  </si>
  <si>
    <t>MD 11-1101</t>
  </si>
  <si>
    <t>MD 1101-110101</t>
  </si>
  <si>
    <t>MD 1101-110102</t>
  </si>
  <si>
    <t>DUCTING B</t>
  </si>
  <si>
    <t>DUCT SIZE (in)</t>
  </si>
  <si>
    <t>DUCTING 02-01</t>
  </si>
  <si>
    <t>AD 01-02</t>
  </si>
  <si>
    <t>A DECK-B DECK</t>
  </si>
  <si>
    <t>AD 02-BD 02</t>
  </si>
  <si>
    <t>BD 02-03</t>
  </si>
  <si>
    <t>BD 03-031</t>
  </si>
  <si>
    <t>BD 031-0312</t>
  </si>
  <si>
    <t>BD 0312-03121</t>
  </si>
  <si>
    <t>BD 0312-03122</t>
  </si>
  <si>
    <t>BD 031-0311</t>
  </si>
  <si>
    <t>BD 0311-03111</t>
  </si>
  <si>
    <t>BD 0311-03112</t>
  </si>
  <si>
    <t>BD 03-04</t>
  </si>
  <si>
    <t>BD 04-041</t>
  </si>
  <si>
    <t>BD 04-05</t>
  </si>
  <si>
    <t>BD 05-051</t>
  </si>
  <si>
    <t>BD 05-06</t>
  </si>
  <si>
    <t>BD 06-061</t>
  </si>
  <si>
    <t>BD 06-07</t>
  </si>
  <si>
    <t>BD 07-071</t>
  </si>
  <si>
    <t>BD 07-08</t>
  </si>
  <si>
    <t>BD 08-081</t>
  </si>
  <si>
    <t>BD 08-09</t>
  </si>
  <si>
    <t>Ducting C (C Deck)</t>
  </si>
  <si>
    <t>Master Bedroom</t>
  </si>
  <si>
    <t>Master Cabin</t>
  </si>
  <si>
    <t>Office</t>
  </si>
  <si>
    <t>1st engineer bedroom</t>
  </si>
  <si>
    <t>1st engineer cabin</t>
  </si>
  <si>
    <t>Chief engineer bedroom</t>
  </si>
  <si>
    <t>Posisi diffusser</t>
  </si>
  <si>
    <t>DUCT SIZE diameter (mm)</t>
  </si>
  <si>
    <t>DUCT SIZE radius (m)</t>
  </si>
  <si>
    <t>Pipe Flow Expert</t>
  </si>
  <si>
    <t>DUCT SIZE diameter (in)</t>
  </si>
  <si>
    <t>DUCT SIZE diameter (in) %</t>
  </si>
  <si>
    <t>CFM Error %</t>
  </si>
  <si>
    <t>VELOCITY (fps) Error %</t>
  </si>
  <si>
    <t>A DECK-C DECK</t>
  </si>
  <si>
    <t>DUCTING C-AD 01 - C-CD 09</t>
  </si>
  <si>
    <t>C-CD 09-09103</t>
  </si>
  <si>
    <t>C-CD 09103-091031</t>
  </si>
  <si>
    <t>C-CD 091031-0910311</t>
  </si>
  <si>
    <t>C-CD 091031-0910312</t>
  </si>
  <si>
    <t>C-CD 09103-09104</t>
  </si>
  <si>
    <t>C-CD 09104-091041</t>
  </si>
  <si>
    <t>C-CD 09104-09105</t>
  </si>
  <si>
    <t>C-CD 09105-091051</t>
  </si>
  <si>
    <t>C-CD 09105-09106</t>
  </si>
  <si>
    <t>C-CD 09106-091061</t>
  </si>
  <si>
    <t>C-CD 09106-091071</t>
  </si>
  <si>
    <t>C-CD 09-09201</t>
  </si>
  <si>
    <t>C-CD 09201-092011</t>
  </si>
  <si>
    <t>C-CD 09201-09202</t>
  </si>
  <si>
    <t>C-CD 09202-092021</t>
  </si>
  <si>
    <t>C-CD 09202-092031</t>
  </si>
  <si>
    <t>C-CD 09201-09204</t>
  </si>
  <si>
    <t>C-CD 09204-092041</t>
  </si>
  <si>
    <t>C-CD 09204-092051</t>
  </si>
  <si>
    <t>Ruangan</t>
  </si>
  <si>
    <t>Total =</t>
  </si>
  <si>
    <t>Diffuser Lindab</t>
  </si>
  <si>
    <t>Grafik Carrier</t>
  </si>
  <si>
    <t>Perhitungan Manual</t>
  </si>
  <si>
    <t>Air Flow (m3/h)</t>
  </si>
  <si>
    <t>Curve Loss 1 (m3/h)</t>
  </si>
  <si>
    <t>Curve Loss 1 (kPa)</t>
  </si>
  <si>
    <t>Curve Loss 2 (m3/h)</t>
  </si>
  <si>
    <t>Curve Loss 2 (kPa)</t>
  </si>
  <si>
    <t>db(A)</t>
  </si>
  <si>
    <t>DUCT SIZE diameter/2 (m)</t>
  </si>
  <si>
    <t>DUCTING  A-AD 01-03</t>
  </si>
  <si>
    <t>DUCTING A-AD 01-03</t>
  </si>
  <si>
    <t>A-AD 03-031</t>
  </si>
  <si>
    <t>DUCTING A-AD 03-031</t>
  </si>
  <si>
    <t>DUCTING  A-AD 03-031</t>
  </si>
  <si>
    <t>A-AD 03-04</t>
  </si>
  <si>
    <t>DUCTING A-AD 03-04</t>
  </si>
  <si>
    <t>DUCTING  A-AD 03-04</t>
  </si>
  <si>
    <t>A-AD 04-041</t>
  </si>
  <si>
    <t>DUCTING A-AD 04-041</t>
  </si>
  <si>
    <t>DUCTING  A-AD 04-041</t>
  </si>
  <si>
    <t>A-AD 04-05</t>
  </si>
  <si>
    <t>DUCTING A-AD 04-05</t>
  </si>
  <si>
    <t>DUCTING  A-AD 04-05</t>
  </si>
  <si>
    <t>A-AD 05-051</t>
  </si>
  <si>
    <t>DUCTING A-AD 05-051</t>
  </si>
  <si>
    <t>DUCTING  A-AD 05-051</t>
  </si>
  <si>
    <t>A-AD 05-06</t>
  </si>
  <si>
    <t>DUCTING  A-AD 05-06</t>
  </si>
  <si>
    <t>A-AD 06-061</t>
  </si>
  <si>
    <t>DUCTING  A-AD 06-061</t>
  </si>
  <si>
    <t>A-AD 06-07</t>
  </si>
  <si>
    <t>DUCTING  A-AD 06-07</t>
  </si>
  <si>
    <t>A-AD 07-071</t>
  </si>
  <si>
    <t>DUCTING  A-AD 07-071</t>
  </si>
  <si>
    <t>A-AD 07-08</t>
  </si>
  <si>
    <t>DUCTING  A-AD 07-08</t>
  </si>
  <si>
    <t>A-AD 08-081</t>
  </si>
  <si>
    <t>DUCTING  A-AD 08-081</t>
  </si>
  <si>
    <t>A-AD 08-09</t>
  </si>
  <si>
    <t>DUCTING  A-AD 08-09</t>
  </si>
  <si>
    <t>A-AD 09-091</t>
  </si>
  <si>
    <t>DUCTING A-AD 09-091</t>
  </si>
  <si>
    <t>DUCTING  A-AD 09-091</t>
  </si>
  <si>
    <t>A-AD 09-092</t>
  </si>
  <si>
    <t>DUCTING  A-AD 09-092</t>
  </si>
  <si>
    <t>Rata-rata error laju aliran volumetrik tiap ruangan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</si>
</sst>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0"/>
    <numFmt numFmtId="166" formatCode="0.0"/>
    <numFmt numFmtId="167" formatCode="0.0000"/>
  </numFmts>
  <fonts count="10" x14ac:knownFonts="1">
    <font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i/>
      <sz val="12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vertAlign val="superscript"/>
      <sz val="12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sz val="9.35"/>
      <color theme="1"/>
      <name val="Times New Roman"/>
      <family val="1"/>
      <charset val="1"/>
    </font>
  </fonts>
  <fills count="14">
    <fill>
      <patternFill patternType="none"/>
    </fill>
    <fill>
      <patternFill patternType="gray125"/>
    </fill>
    <fill>
      <patternFill patternType="solid">
        <fgColor theme="5" tint="0.79979857783745845"/>
        <bgColor rgb="FFFFE699"/>
      </patternFill>
    </fill>
    <fill>
      <patternFill patternType="solid">
        <fgColor theme="7" tint="0.59978026673177287"/>
        <bgColor rgb="FFFBE5D6"/>
      </patternFill>
    </fill>
    <fill>
      <patternFill patternType="solid">
        <fgColor theme="5" tint="0.39979247413556324"/>
        <bgColor rgb="FFFF99CC"/>
      </patternFill>
    </fill>
    <fill>
      <patternFill patternType="solid">
        <fgColor rgb="FFFFCCFF"/>
        <bgColor rgb="FFFBE5D6"/>
      </patternFill>
    </fill>
    <fill>
      <patternFill patternType="solid">
        <fgColor rgb="FF99FF99"/>
        <bgColor rgb="FF92D05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rgb="FFFF9900"/>
      </patternFill>
    </fill>
    <fill>
      <patternFill patternType="solid">
        <fgColor rgb="FF66FFFF"/>
        <bgColor rgb="FF99FF99"/>
      </patternFill>
    </fill>
    <fill>
      <patternFill patternType="solid">
        <fgColor rgb="FFFFFF00"/>
        <bgColor rgb="FFFFFF00"/>
      </patternFill>
    </fill>
    <fill>
      <patternFill patternType="solid">
        <fgColor rgb="FF00FFCC"/>
        <bgColor rgb="FF00FFFF"/>
      </patternFill>
    </fill>
    <fill>
      <patternFill patternType="solid">
        <fgColor rgb="FF0070C0"/>
        <bgColor rgb="FF008080"/>
      </patternFill>
    </fill>
    <fill>
      <patternFill patternType="solid">
        <fgColor rgb="FF92D050"/>
        <bgColor rgb="FF99FF99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9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center" wrapText="1"/>
    </xf>
    <xf numFmtId="49" fontId="7" fillId="5" borderId="1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2" fontId="7" fillId="6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3" fillId="0" borderId="4" xfId="0" applyFont="1" applyBorder="1" applyAlignment="1">
      <alignment vertical="center"/>
    </xf>
    <xf numFmtId="1" fontId="2" fillId="0" borderId="4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10" borderId="0" xfId="0" applyFont="1" applyFill="1"/>
    <xf numFmtId="0" fontId="2" fillId="0" borderId="0" xfId="0" applyFont="1" applyAlignment="1">
      <alignment horizontal="left"/>
    </xf>
    <xf numFmtId="0" fontId="0" fillId="0" borderId="10" xfId="0" applyBorder="1"/>
    <xf numFmtId="0" fontId="2" fillId="0" borderId="11" xfId="0" applyFont="1" applyBorder="1"/>
    <xf numFmtId="0" fontId="2" fillId="0" borderId="12" xfId="0" applyFont="1" applyBorder="1"/>
    <xf numFmtId="0" fontId="0" fillId="0" borderId="2" xfId="0" applyBorder="1"/>
    <xf numFmtId="0" fontId="2" fillId="0" borderId="8" xfId="0" applyFont="1" applyBorder="1"/>
    <xf numFmtId="0" fontId="2" fillId="0" borderId="2" xfId="0" applyFont="1" applyBorder="1"/>
    <xf numFmtId="0" fontId="2" fillId="0" borderId="13" xfId="0" applyFont="1" applyBorder="1"/>
    <xf numFmtId="0" fontId="2" fillId="0" borderId="9" xfId="0" applyFont="1" applyBorder="1"/>
    <xf numFmtId="0" fontId="2" fillId="0" borderId="14" xfId="0" applyFont="1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10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0" fillId="7" borderId="15" xfId="0" applyNumberForma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0" fontId="0" fillId="9" borderId="7" xfId="0" applyFill="1" applyBorder="1" applyAlignment="1">
      <alignment vertical="center" wrapText="1"/>
    </xf>
    <xf numFmtId="2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0" fillId="10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0" fillId="5" borderId="5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CC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70C0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99FF99"/>
      <rgbColor rgb="FFFFE699"/>
      <rgbColor rgb="FF66FFFF"/>
      <rgbColor rgb="FFFF99CC"/>
      <rgbColor rgb="FFCC99FF"/>
      <rgbColor rgb="FFF4B183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28</xdr:col>
      <xdr:colOff>357840</xdr:colOff>
      <xdr:row>6</xdr:row>
      <xdr:rowOff>111960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321160" y="0"/>
          <a:ext cx="5366880" cy="1159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28</xdr:col>
      <xdr:colOff>398880</xdr:colOff>
      <xdr:row>15</xdr:row>
      <xdr:rowOff>146520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4321160" y="1222920"/>
          <a:ext cx="5407920" cy="1548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28</xdr:col>
      <xdr:colOff>442440</xdr:colOff>
      <xdr:row>22</xdr:row>
      <xdr:rowOff>173520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4321160" y="2800440"/>
          <a:ext cx="5451480" cy="1225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28</xdr:col>
      <xdr:colOff>357840</xdr:colOff>
      <xdr:row>6</xdr:row>
      <xdr:rowOff>153360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564520" y="0"/>
          <a:ext cx="5183640" cy="123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28</xdr:col>
      <xdr:colOff>398880</xdr:colOff>
      <xdr:row>16</xdr:row>
      <xdr:rowOff>39960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4564520" y="1266840"/>
          <a:ext cx="5224680" cy="1668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28</xdr:col>
      <xdr:colOff>442440</xdr:colOff>
      <xdr:row>23</xdr:row>
      <xdr:rowOff>52920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4564520" y="2895480"/>
          <a:ext cx="5268240" cy="1319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28</xdr:col>
      <xdr:colOff>357840</xdr:colOff>
      <xdr:row>6</xdr:row>
      <xdr:rowOff>111960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653440" y="0"/>
          <a:ext cx="5366520" cy="1159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26</xdr:col>
      <xdr:colOff>490320</xdr:colOff>
      <xdr:row>6</xdr:row>
      <xdr:rowOff>111960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802480" y="0"/>
          <a:ext cx="5367240" cy="1159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26</xdr:col>
      <xdr:colOff>531360</xdr:colOff>
      <xdr:row>15</xdr:row>
      <xdr:rowOff>146520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4802480" y="1222920"/>
          <a:ext cx="5408280" cy="1548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26</xdr:col>
      <xdr:colOff>574920</xdr:colOff>
      <xdr:row>22</xdr:row>
      <xdr:rowOff>173520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4802480" y="2800440"/>
          <a:ext cx="5451840" cy="1225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28</xdr:col>
      <xdr:colOff>357840</xdr:colOff>
      <xdr:row>6</xdr:row>
      <xdr:rowOff>111960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652000" y="0"/>
          <a:ext cx="5366880" cy="1159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28</xdr:col>
      <xdr:colOff>398880</xdr:colOff>
      <xdr:row>15</xdr:row>
      <xdr:rowOff>146520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4652000" y="1222920"/>
          <a:ext cx="5407920" cy="1548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28</xdr:col>
      <xdr:colOff>442440</xdr:colOff>
      <xdr:row>22</xdr:row>
      <xdr:rowOff>173520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4652000" y="2800440"/>
          <a:ext cx="5451480" cy="122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28</xdr:col>
      <xdr:colOff>483840</xdr:colOff>
      <xdr:row>30</xdr:row>
      <xdr:rowOff>73800</xdr:rowOff>
    </xdr:to>
    <xdr:pic>
      <xdr:nvPicPr>
        <xdr:cNvPr id="14" name="Picture 4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4652000" y="4027320"/>
          <a:ext cx="5492880" cy="1300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28</xdr:col>
      <xdr:colOff>357840</xdr:colOff>
      <xdr:row>6</xdr:row>
      <xdr:rowOff>81000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652000" y="0"/>
          <a:ext cx="5366880" cy="1128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6</xdr:row>
      <xdr:rowOff>143280</xdr:rowOff>
    </xdr:from>
    <xdr:to>
      <xdr:col>28</xdr:col>
      <xdr:colOff>398880</xdr:colOff>
      <xdr:row>15</xdr:row>
      <xdr:rowOff>68040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4652000" y="1190880"/>
          <a:ext cx="5407920" cy="1502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15</xdr:row>
      <xdr:rowOff>97200</xdr:rowOff>
    </xdr:from>
    <xdr:to>
      <xdr:col>28</xdr:col>
      <xdr:colOff>442440</xdr:colOff>
      <xdr:row>22</xdr:row>
      <xdr:rowOff>61560</xdr:rowOff>
    </xdr:to>
    <xdr:pic>
      <xdr:nvPicPr>
        <xdr:cNvPr id="17" name="Picture 3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4652000" y="2722320"/>
          <a:ext cx="5451480" cy="1191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22</xdr:row>
      <xdr:rowOff>61560</xdr:rowOff>
    </xdr:from>
    <xdr:to>
      <xdr:col>28</xdr:col>
      <xdr:colOff>483840</xdr:colOff>
      <xdr:row>29</xdr:row>
      <xdr:rowOff>98280</xdr:rowOff>
    </xdr:to>
    <xdr:pic>
      <xdr:nvPicPr>
        <xdr:cNvPr id="18" name="Picture 4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4652000" y="3913560"/>
          <a:ext cx="5492880" cy="1263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28</xdr:col>
      <xdr:colOff>357840</xdr:colOff>
      <xdr:row>6</xdr:row>
      <xdr:rowOff>50400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581440" y="0"/>
          <a:ext cx="5366880" cy="1098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6</xdr:row>
      <xdr:rowOff>112680</xdr:rowOff>
    </xdr:from>
    <xdr:to>
      <xdr:col>28</xdr:col>
      <xdr:colOff>398880</xdr:colOff>
      <xdr:row>14</xdr:row>
      <xdr:rowOff>166680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4581440" y="1160280"/>
          <a:ext cx="5407920" cy="145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15</xdr:row>
      <xdr:rowOff>20520</xdr:rowOff>
    </xdr:from>
    <xdr:to>
      <xdr:col>28</xdr:col>
      <xdr:colOff>442440</xdr:colOff>
      <xdr:row>21</xdr:row>
      <xdr:rowOff>127440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4581440" y="2645640"/>
          <a:ext cx="5451480" cy="1158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0</xdr:colOff>
      <xdr:row>21</xdr:row>
      <xdr:rowOff>128160</xdr:rowOff>
    </xdr:from>
    <xdr:to>
      <xdr:col>28</xdr:col>
      <xdr:colOff>483840</xdr:colOff>
      <xdr:row>28</xdr:row>
      <xdr:rowOff>122040</xdr:rowOff>
    </xdr:to>
    <xdr:pic>
      <xdr:nvPicPr>
        <xdr:cNvPr id="22" name="Picture 4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4581440" y="3804840"/>
          <a:ext cx="5492880" cy="1220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0</xdr:row>
      <xdr:rowOff>0</xdr:rowOff>
    </xdr:from>
    <xdr:to>
      <xdr:col>29</xdr:col>
      <xdr:colOff>357840</xdr:colOff>
      <xdr:row>6</xdr:row>
      <xdr:rowOff>139680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2B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07480" y="0"/>
          <a:ext cx="5366880" cy="1187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8"/>
  <sheetViews>
    <sheetView zoomScale="95" zoomScaleNormal="95" workbookViewId="0">
      <selection activeCell="C17" sqref="C17"/>
    </sheetView>
  </sheetViews>
  <sheetFormatPr defaultColWidth="8.5546875" defaultRowHeight="14.4" x14ac:dyDescent="0.3"/>
  <cols>
    <col min="2" max="2" width="18.88671875" style="15" customWidth="1"/>
    <col min="3" max="3" width="35" customWidth="1"/>
    <col min="4" max="4" width="32.21875" customWidth="1"/>
    <col min="5" max="5" width="12" customWidth="1"/>
    <col min="6" max="6" width="11.88671875" customWidth="1"/>
  </cols>
  <sheetData>
    <row r="2" spans="2:6" ht="15.6" x14ac:dyDescent="0.3">
      <c r="B2" s="5" t="s">
        <v>0</v>
      </c>
      <c r="C2" s="5"/>
      <c r="D2" s="5"/>
      <c r="E2" s="16"/>
      <c r="F2" s="16"/>
    </row>
    <row r="3" spans="2:6" ht="15.6" x14ac:dyDescent="0.3">
      <c r="B3" s="16"/>
      <c r="C3" s="16"/>
      <c r="D3" s="16"/>
      <c r="E3" s="16"/>
      <c r="F3" s="16"/>
    </row>
    <row r="4" spans="2:6" ht="15.6" x14ac:dyDescent="0.3">
      <c r="B4" s="17" t="s">
        <v>1</v>
      </c>
      <c r="C4" s="18" t="s">
        <v>2</v>
      </c>
      <c r="D4" s="16"/>
      <c r="E4" s="16"/>
      <c r="F4" s="16"/>
    </row>
    <row r="5" spans="2:6" ht="15.6" x14ac:dyDescent="0.3">
      <c r="B5" s="17" t="s">
        <v>3</v>
      </c>
      <c r="C5" s="19" t="s">
        <v>4</v>
      </c>
      <c r="D5" s="16"/>
      <c r="E5" s="16"/>
      <c r="F5" s="16"/>
    </row>
    <row r="6" spans="2:6" ht="15.6" x14ac:dyDescent="0.3">
      <c r="B6" s="17" t="s">
        <v>5</v>
      </c>
      <c r="C6" s="19" t="s">
        <v>6</v>
      </c>
      <c r="D6" s="16"/>
      <c r="E6" s="16"/>
      <c r="F6" s="16"/>
    </row>
    <row r="7" spans="2:6" ht="15.6" x14ac:dyDescent="0.3">
      <c r="B7" s="17" t="s">
        <v>7</v>
      </c>
      <c r="C7" s="20" t="s">
        <v>8</v>
      </c>
    </row>
    <row r="8" spans="2:6" x14ac:dyDescent="0.3">
      <c r="B8" s="21"/>
      <c r="C8" s="22"/>
    </row>
    <row r="9" spans="2:6" ht="15.6" x14ac:dyDescent="0.3">
      <c r="B9" s="23" t="s">
        <v>9</v>
      </c>
      <c r="C9" s="23" t="s">
        <v>10</v>
      </c>
      <c r="D9" s="23" t="s">
        <v>11</v>
      </c>
      <c r="E9" s="15"/>
      <c r="F9" s="15"/>
    </row>
    <row r="10" spans="2:6" ht="15.6" x14ac:dyDescent="0.3">
      <c r="B10" s="24">
        <v>1</v>
      </c>
      <c r="C10" s="25" t="s">
        <v>12</v>
      </c>
      <c r="D10" s="26">
        <f>'MAIN DK'!B24</f>
        <v>4</v>
      </c>
    </row>
    <row r="11" spans="2:6" ht="15.6" x14ac:dyDescent="0.3">
      <c r="B11" s="24">
        <v>2</v>
      </c>
      <c r="C11" s="25" t="s">
        <v>13</v>
      </c>
      <c r="D11" s="26">
        <f>'POOP DK'!B24</f>
        <v>8</v>
      </c>
    </row>
    <row r="12" spans="2:6" ht="15.6" x14ac:dyDescent="0.3">
      <c r="B12" s="24">
        <v>3</v>
      </c>
      <c r="C12" s="25" t="s">
        <v>14</v>
      </c>
      <c r="D12" s="26">
        <f>'A DK'!B24</f>
        <v>10</v>
      </c>
    </row>
    <row r="13" spans="2:6" ht="15.6" x14ac:dyDescent="0.3">
      <c r="B13" s="24">
        <v>4</v>
      </c>
      <c r="C13" s="25" t="s">
        <v>15</v>
      </c>
      <c r="D13" s="26">
        <f>'B DK'!B24</f>
        <v>10</v>
      </c>
    </row>
    <row r="14" spans="2:6" ht="15.6" x14ac:dyDescent="0.3">
      <c r="B14" s="24">
        <v>5</v>
      </c>
      <c r="C14" s="25" t="s">
        <v>16</v>
      </c>
      <c r="D14" s="26">
        <f>'C DK'!B24</f>
        <v>11</v>
      </c>
    </row>
    <row r="15" spans="2:6" ht="15.6" x14ac:dyDescent="0.3">
      <c r="B15" s="24">
        <v>6</v>
      </c>
      <c r="C15" s="25" t="s">
        <v>17</v>
      </c>
      <c r="D15" s="26">
        <f>'BRIDGE DK'!B24</f>
        <v>1</v>
      </c>
    </row>
    <row r="16" spans="2:6" ht="15.6" x14ac:dyDescent="0.3">
      <c r="B16" s="24"/>
      <c r="C16" s="25"/>
      <c r="D16" s="26"/>
    </row>
    <row r="17" spans="2:4" ht="15.6" x14ac:dyDescent="0.3">
      <c r="B17" s="24"/>
      <c r="C17" s="25"/>
      <c r="D17" s="26"/>
    </row>
    <row r="18" spans="2:4" ht="15.6" x14ac:dyDescent="0.3">
      <c r="B18" s="24"/>
      <c r="C18" s="25"/>
      <c r="D18" s="26"/>
    </row>
    <row r="19" spans="2:4" ht="15.6" x14ac:dyDescent="0.3">
      <c r="B19" s="24"/>
      <c r="C19" s="25"/>
      <c r="D19" s="26"/>
    </row>
    <row r="20" spans="2:4" ht="15.6" x14ac:dyDescent="0.3">
      <c r="B20" s="24"/>
      <c r="C20" s="25"/>
      <c r="D20" s="26"/>
    </row>
    <row r="21" spans="2:4" ht="15.6" x14ac:dyDescent="0.3">
      <c r="B21" s="24"/>
      <c r="C21" s="25"/>
      <c r="D21" s="26"/>
    </row>
    <row r="22" spans="2:4" ht="15.6" x14ac:dyDescent="0.3">
      <c r="B22" s="24"/>
      <c r="C22" s="25"/>
      <c r="D22" s="26"/>
    </row>
    <row r="23" spans="2:4" ht="15.6" x14ac:dyDescent="0.3">
      <c r="B23" s="24"/>
      <c r="C23" s="25"/>
      <c r="D23" s="26"/>
    </row>
    <row r="24" spans="2:4" ht="15.6" x14ac:dyDescent="0.3">
      <c r="B24" s="24"/>
      <c r="C24" s="25"/>
      <c r="D24" s="26"/>
    </row>
    <row r="25" spans="2:4" ht="15.6" x14ac:dyDescent="0.3">
      <c r="B25" s="24"/>
      <c r="C25" s="25"/>
      <c r="D25" s="26"/>
    </row>
    <row r="26" spans="2:4" ht="15.6" x14ac:dyDescent="0.3">
      <c r="B26" s="24"/>
      <c r="C26" s="25"/>
      <c r="D26" s="26"/>
    </row>
    <row r="28" spans="2:4" x14ac:dyDescent="0.3">
      <c r="C28" s="27"/>
    </row>
  </sheetData>
  <mergeCells count="1">
    <mergeCell ref="B2:D2"/>
  </mergeCells>
  <pageMargins left="0.7" right="0.7" top="0.75" bottom="0.75" header="0.511811023622047" footer="0.511811023622047"/>
  <pageSetup paperSize="9" scale="64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4"/>
  <sheetViews>
    <sheetView zoomScale="95" zoomScaleNormal="95" workbookViewId="0">
      <selection activeCell="I6" sqref="I6"/>
    </sheetView>
  </sheetViews>
  <sheetFormatPr defaultColWidth="8.88671875" defaultRowHeight="15.6" x14ac:dyDescent="0.3"/>
  <cols>
    <col min="1" max="1" width="8.88671875" style="28"/>
    <col min="2" max="2" width="8.88671875" style="29"/>
    <col min="3" max="3" width="22" style="28" customWidth="1"/>
    <col min="4" max="4" width="7.21875" style="28" customWidth="1"/>
    <col min="5" max="5" width="6.77734375" style="28" customWidth="1"/>
    <col min="6" max="6" width="7.6640625" style="28" customWidth="1"/>
    <col min="7" max="7" width="11.21875" style="28" customWidth="1"/>
    <col min="8" max="8" width="12.6640625" style="28" customWidth="1"/>
    <col min="9" max="9" width="18.33203125" style="29" customWidth="1"/>
    <col min="10" max="16384" width="8.88671875" style="28"/>
  </cols>
  <sheetData>
    <row r="2" spans="2:9" x14ac:dyDescent="0.3">
      <c r="B2" s="30" t="s">
        <v>18</v>
      </c>
      <c r="C2" s="30"/>
      <c r="D2" s="30"/>
      <c r="E2" s="30"/>
      <c r="F2" s="30"/>
    </row>
    <row r="4" spans="2:9" ht="15" customHeight="1" x14ac:dyDescent="0.3">
      <c r="B4" s="4" t="s">
        <v>9</v>
      </c>
      <c r="C4" s="4" t="s">
        <v>10</v>
      </c>
      <c r="D4" s="4" t="s">
        <v>19</v>
      </c>
      <c r="E4" s="4"/>
      <c r="F4" s="4"/>
      <c r="G4" s="3" t="s">
        <v>20</v>
      </c>
      <c r="H4" s="2" t="s">
        <v>21</v>
      </c>
      <c r="I4" s="1" t="s">
        <v>22</v>
      </c>
    </row>
    <row r="5" spans="2:9" x14ac:dyDescent="0.3">
      <c r="B5" s="4"/>
      <c r="C5" s="4"/>
      <c r="D5" s="31" t="s">
        <v>23</v>
      </c>
      <c r="E5" s="31" t="s">
        <v>24</v>
      </c>
      <c r="F5" s="31" t="s">
        <v>25</v>
      </c>
      <c r="G5" s="3"/>
      <c r="H5" s="2"/>
      <c r="I5" s="1"/>
    </row>
    <row r="6" spans="2:9" x14ac:dyDescent="0.3">
      <c r="B6" s="32">
        <v>1</v>
      </c>
      <c r="C6" s="33" t="s">
        <v>26</v>
      </c>
      <c r="D6" s="34">
        <f>9*0.6 + 0.2</f>
        <v>5.6</v>
      </c>
      <c r="E6" s="34">
        <v>2.8</v>
      </c>
      <c r="F6" s="34">
        <v>3</v>
      </c>
      <c r="G6" s="34">
        <f>'VEGETABLE STORE'!F35</f>
        <v>165.19744830400001</v>
      </c>
      <c r="H6" s="34">
        <f>'VEGETABLE STORE'!F37</f>
        <v>1463.3632699929776</v>
      </c>
      <c r="I6" s="35">
        <f>'VEGETABLE STORE'!F43</f>
        <v>637.92501910685394</v>
      </c>
    </row>
    <row r="7" spans="2:9" x14ac:dyDescent="0.3">
      <c r="B7" s="32">
        <v>2</v>
      </c>
      <c r="C7" s="33" t="s">
        <v>27</v>
      </c>
      <c r="D7" s="34">
        <v>4.2</v>
      </c>
      <c r="E7" s="34">
        <v>2.8</v>
      </c>
      <c r="F7" s="34">
        <v>3</v>
      </c>
      <c r="G7" s="34">
        <f>'MEET FISH STORE'!F35</f>
        <v>113.02095</v>
      </c>
      <c r="H7" s="34">
        <f>'MEET FISH STORE'!F37</f>
        <v>1001.1698647146001</v>
      </c>
    </row>
    <row r="8" spans="2:9" x14ac:dyDescent="0.3">
      <c r="B8" s="32">
        <v>3</v>
      </c>
      <c r="C8" s="33" t="s">
        <v>28</v>
      </c>
      <c r="D8" s="34">
        <v>5</v>
      </c>
      <c r="E8" s="34">
        <v>10.7</v>
      </c>
      <c r="F8" s="34">
        <v>3</v>
      </c>
      <c r="G8" s="34">
        <f>'ENGINE CONTROL ROOM'!F35</f>
        <v>704.92781099999991</v>
      </c>
      <c r="H8" s="34">
        <f>'ENGINE CONTROL ROOM'!F37</f>
        <v>6244.4394704913475</v>
      </c>
    </row>
    <row r="9" spans="2:9" x14ac:dyDescent="0.3">
      <c r="B9" s="32">
        <v>4</v>
      </c>
      <c r="C9" s="33" t="s">
        <v>29</v>
      </c>
      <c r="D9" s="34">
        <v>10.9</v>
      </c>
      <c r="E9" s="34">
        <v>3.55</v>
      </c>
      <c r="F9" s="34">
        <v>3</v>
      </c>
      <c r="G9" s="34">
        <f>'DRY PROVISION STORE'!F35</f>
        <v>519.66817532000005</v>
      </c>
      <c r="H9" s="34">
        <f>'DRY PROVISION STORE'!F37</f>
        <v>4603.3599680555462</v>
      </c>
    </row>
    <row r="10" spans="2:9" x14ac:dyDescent="0.3">
      <c r="B10" s="32"/>
      <c r="C10" s="33"/>
      <c r="D10" s="36"/>
      <c r="E10" s="36"/>
      <c r="F10" s="36"/>
      <c r="G10" s="32"/>
      <c r="H10" s="32"/>
    </row>
    <row r="11" spans="2:9" x14ac:dyDescent="0.3">
      <c r="B11" s="32"/>
      <c r="C11" s="33"/>
      <c r="D11" s="36"/>
      <c r="E11" s="36"/>
      <c r="F11" s="36"/>
      <c r="G11" s="32"/>
      <c r="H11" s="32"/>
    </row>
    <row r="12" spans="2:9" x14ac:dyDescent="0.3">
      <c r="B12" s="32"/>
      <c r="C12" s="33"/>
      <c r="D12" s="36"/>
      <c r="E12" s="36"/>
      <c r="F12" s="36"/>
      <c r="G12" s="32"/>
      <c r="H12" s="32"/>
    </row>
    <row r="13" spans="2:9" x14ac:dyDescent="0.3">
      <c r="B13" s="32"/>
      <c r="C13" s="33"/>
      <c r="D13" s="36"/>
      <c r="E13" s="36"/>
      <c r="F13" s="36"/>
      <c r="G13" s="32"/>
      <c r="H13" s="32"/>
    </row>
    <row r="14" spans="2:9" x14ac:dyDescent="0.3">
      <c r="B14" s="32"/>
      <c r="C14" s="33"/>
      <c r="D14" s="36"/>
      <c r="E14" s="36"/>
      <c r="F14" s="36"/>
      <c r="G14" s="32"/>
      <c r="H14" s="32"/>
    </row>
    <row r="15" spans="2:9" x14ac:dyDescent="0.3">
      <c r="B15" s="32"/>
      <c r="C15" s="33"/>
      <c r="D15" s="36"/>
      <c r="E15" s="36"/>
      <c r="F15" s="36"/>
      <c r="G15" s="32"/>
      <c r="H15" s="32"/>
    </row>
    <row r="16" spans="2:9" x14ac:dyDescent="0.3">
      <c r="B16" s="32"/>
      <c r="C16" s="33"/>
      <c r="D16" s="36"/>
      <c r="E16" s="36"/>
      <c r="F16" s="36"/>
      <c r="G16" s="32"/>
      <c r="H16" s="32"/>
    </row>
    <row r="17" spans="2:8" x14ac:dyDescent="0.3">
      <c r="B17" s="32"/>
      <c r="C17" s="33"/>
      <c r="D17" s="36"/>
      <c r="E17" s="36"/>
      <c r="F17" s="36"/>
      <c r="G17" s="32"/>
      <c r="H17" s="32"/>
    </row>
    <row r="18" spans="2:8" x14ac:dyDescent="0.3">
      <c r="B18" s="32"/>
      <c r="C18" s="33"/>
      <c r="D18" s="36"/>
      <c r="E18" s="36"/>
      <c r="F18" s="36"/>
      <c r="G18" s="32"/>
      <c r="H18" s="32"/>
    </row>
    <row r="19" spans="2:8" x14ac:dyDescent="0.3">
      <c r="B19" s="32"/>
      <c r="C19" s="33"/>
      <c r="D19" s="36"/>
      <c r="E19" s="36"/>
      <c r="F19" s="36"/>
      <c r="G19" s="32"/>
      <c r="H19" s="32"/>
    </row>
    <row r="20" spans="2:8" x14ac:dyDescent="0.3">
      <c r="B20" s="32"/>
      <c r="C20" s="33"/>
      <c r="D20" s="36"/>
      <c r="E20" s="36"/>
      <c r="F20" s="36"/>
      <c r="G20" s="32"/>
      <c r="H20" s="32"/>
    </row>
    <row r="21" spans="2:8" x14ac:dyDescent="0.3">
      <c r="B21" s="32"/>
      <c r="C21" s="33"/>
      <c r="D21" s="36"/>
      <c r="E21" s="36"/>
      <c r="F21" s="36"/>
      <c r="G21" s="32"/>
      <c r="H21" s="32"/>
    </row>
    <row r="22" spans="2:8" x14ac:dyDescent="0.3">
      <c r="B22" s="32"/>
      <c r="C22" s="33"/>
      <c r="D22" s="36"/>
      <c r="E22" s="36"/>
      <c r="F22" s="36"/>
      <c r="G22" s="32"/>
      <c r="H22" s="32"/>
    </row>
    <row r="24" spans="2:8" x14ac:dyDescent="0.3">
      <c r="B24" s="29">
        <f>COUNTA(C6:C22)</f>
        <v>4</v>
      </c>
      <c r="C24" s="30" t="s">
        <v>30</v>
      </c>
    </row>
  </sheetData>
  <mergeCells count="6">
    <mergeCell ref="I4:I5"/>
    <mergeCell ref="B4:B5"/>
    <mergeCell ref="C4:C5"/>
    <mergeCell ref="D4:F4"/>
    <mergeCell ref="G4:G5"/>
    <mergeCell ref="H4:H5"/>
  </mergeCells>
  <pageMargins left="0.7" right="0.7" top="0.75" bottom="0.75" header="0.511811023622047" footer="0.511811023622047"/>
  <pageSetup paperSize="9" scale="64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4"/>
  <sheetViews>
    <sheetView topLeftCell="A2" zoomScale="95" zoomScaleNormal="95" workbookViewId="0">
      <selection activeCell="C15" sqref="C15"/>
    </sheetView>
  </sheetViews>
  <sheetFormatPr defaultColWidth="8.88671875" defaultRowHeight="15.6" x14ac:dyDescent="0.3"/>
  <cols>
    <col min="1" max="1" width="8.88671875" style="28"/>
    <col min="2" max="2" width="8.88671875" style="29"/>
    <col min="3" max="3" width="22" style="28" customWidth="1"/>
    <col min="4" max="4" width="7.33203125" style="28" customWidth="1"/>
    <col min="5" max="5" width="6.77734375" style="28" customWidth="1"/>
    <col min="6" max="6" width="7.6640625" style="28" customWidth="1"/>
    <col min="7" max="7" width="11.33203125" style="28" customWidth="1"/>
    <col min="8" max="8" width="12.5546875" style="28" customWidth="1"/>
    <col min="9" max="9" width="16.5546875" style="28" customWidth="1"/>
    <col min="10" max="16384" width="8.88671875" style="28"/>
  </cols>
  <sheetData>
    <row r="2" spans="2:9" x14ac:dyDescent="0.3">
      <c r="B2" s="30" t="s">
        <v>18</v>
      </c>
      <c r="C2" s="30"/>
      <c r="D2" s="30"/>
      <c r="E2" s="30"/>
      <c r="F2" s="30"/>
    </row>
    <row r="4" spans="2:9" ht="15" customHeight="1" x14ac:dyDescent="0.3">
      <c r="B4" s="4" t="s">
        <v>9</v>
      </c>
      <c r="C4" s="4" t="s">
        <v>10</v>
      </c>
      <c r="D4" s="4" t="s">
        <v>19</v>
      </c>
      <c r="E4" s="4"/>
      <c r="F4" s="4"/>
      <c r="G4" s="3" t="s">
        <v>20</v>
      </c>
      <c r="H4" s="2" t="s">
        <v>21</v>
      </c>
      <c r="I4" s="1" t="s">
        <v>22</v>
      </c>
    </row>
    <row r="5" spans="2:9" x14ac:dyDescent="0.3">
      <c r="B5" s="4"/>
      <c r="C5" s="4"/>
      <c r="D5" s="31" t="s">
        <v>23</v>
      </c>
      <c r="E5" s="31" t="s">
        <v>24</v>
      </c>
      <c r="F5" s="31" t="s">
        <v>25</v>
      </c>
      <c r="G5" s="3"/>
      <c r="H5" s="2"/>
      <c r="I5" s="1"/>
    </row>
    <row r="6" spans="2:9" x14ac:dyDescent="0.3">
      <c r="B6" s="32">
        <v>1</v>
      </c>
      <c r="C6" s="37" t="s">
        <v>31</v>
      </c>
      <c r="D6" s="34">
        <v>5.55</v>
      </c>
      <c r="E6" s="34">
        <v>3.9</v>
      </c>
      <c r="F6" s="34">
        <v>2.7</v>
      </c>
      <c r="G6" s="34">
        <f>'CARGO CONTROL ROOM'!F35</f>
        <v>254.889152</v>
      </c>
      <c r="H6" s="34">
        <f>'CARGO CONTROL ROOM'!F37</f>
        <v>2257.8764187087363</v>
      </c>
      <c r="I6" s="38">
        <f>'CARGO CONTROL ROOM'!F43</f>
        <v>214.87686606062962</v>
      </c>
    </row>
    <row r="7" spans="2:9" x14ac:dyDescent="0.3">
      <c r="B7" s="32">
        <v>2</v>
      </c>
      <c r="C7" s="37" t="s">
        <v>32</v>
      </c>
      <c r="D7" s="34">
        <v>5.5</v>
      </c>
      <c r="E7" s="34">
        <v>4.95</v>
      </c>
      <c r="F7" s="34">
        <v>2.7</v>
      </c>
      <c r="G7" s="34">
        <f>'SHIP OFFICE'!F35</f>
        <v>318.39616199999995</v>
      </c>
      <c r="H7" s="34">
        <f>'SHIP OFFICE'!F37</f>
        <v>2820.4385331674157</v>
      </c>
    </row>
    <row r="8" spans="2:9" x14ac:dyDescent="0.3">
      <c r="B8" s="32">
        <v>3</v>
      </c>
      <c r="C8" s="37" t="s">
        <v>33</v>
      </c>
      <c r="D8" s="34">
        <v>2.2000000000000002</v>
      </c>
      <c r="E8" s="34">
        <v>2.6</v>
      </c>
      <c r="F8" s="34">
        <v>2.7</v>
      </c>
      <c r="G8" s="34">
        <f>'DECK CHANGE ROOM'!F35</f>
        <v>67.166736</v>
      </c>
      <c r="H8" s="34">
        <f>'DECK CHANGE ROOM'!F37</f>
        <v>594.98094817324807</v>
      </c>
    </row>
    <row r="9" spans="2:9" x14ac:dyDescent="0.3">
      <c r="B9" s="32">
        <v>4</v>
      </c>
      <c r="C9" s="37" t="s">
        <v>34</v>
      </c>
      <c r="D9" s="34">
        <v>2.2000000000000002</v>
      </c>
      <c r="E9" s="34">
        <v>0.95</v>
      </c>
      <c r="F9" s="34">
        <v>2.7</v>
      </c>
      <c r="G9" s="34">
        <f>STORE!F35</f>
        <v>31.000031999999997</v>
      </c>
      <c r="H9" s="34">
        <f>STORE!F37</f>
        <v>274.60659146457601</v>
      </c>
    </row>
    <row r="10" spans="2:9" x14ac:dyDescent="0.3">
      <c r="B10" s="32">
        <v>5</v>
      </c>
      <c r="C10" s="37" t="s">
        <v>35</v>
      </c>
      <c r="D10" s="34">
        <v>6.1</v>
      </c>
      <c r="E10" s="34">
        <v>6</v>
      </c>
      <c r="F10" s="34">
        <v>2.7</v>
      </c>
      <c r="G10" s="34">
        <f>GALLEY!F35</f>
        <v>300.52808800000003</v>
      </c>
      <c r="H10" s="34">
        <f>GALLEY!F37</f>
        <v>2662.1583450315843</v>
      </c>
    </row>
    <row r="11" spans="2:9" x14ac:dyDescent="0.3">
      <c r="B11" s="32">
        <v>6</v>
      </c>
      <c r="C11" s="37" t="s">
        <v>36</v>
      </c>
      <c r="D11" s="34">
        <v>5.3</v>
      </c>
      <c r="E11" s="34">
        <v>2.8</v>
      </c>
      <c r="F11" s="34">
        <v>2.7</v>
      </c>
      <c r="G11" s="34">
        <f>D11*E11</f>
        <v>14.839999999999998</v>
      </c>
      <c r="H11" s="34">
        <f>D11*E11*F11</f>
        <v>40.067999999999998</v>
      </c>
    </row>
    <row r="12" spans="2:9" x14ac:dyDescent="0.3">
      <c r="B12" s="32">
        <v>7</v>
      </c>
      <c r="C12" s="37" t="s">
        <v>37</v>
      </c>
      <c r="D12" s="34">
        <v>7.6</v>
      </c>
      <c r="E12" s="34">
        <v>6</v>
      </c>
      <c r="F12" s="34">
        <v>2.7</v>
      </c>
      <c r="G12" s="34">
        <f>'CREW MESS'!F35</f>
        <v>404.29208399999999</v>
      </c>
      <c r="H12" s="34">
        <f>'CREW MESS'!F37</f>
        <v>3581.3276303505122</v>
      </c>
    </row>
    <row r="13" spans="2:9" x14ac:dyDescent="0.3">
      <c r="B13" s="32">
        <v>8</v>
      </c>
      <c r="C13" s="37" t="s">
        <v>38</v>
      </c>
      <c r="D13" s="34">
        <v>5.5</v>
      </c>
      <c r="E13" s="34">
        <v>6.2</v>
      </c>
      <c r="F13" s="34">
        <v>2.7</v>
      </c>
      <c r="G13" s="34">
        <f>'OFFICE MESS'!F35</f>
        <v>392.45179400000001</v>
      </c>
      <c r="H13" s="34">
        <f>'OFFICE MESS'!F37</f>
        <v>3476.4431683327925</v>
      </c>
    </row>
    <row r="14" spans="2:9" x14ac:dyDescent="0.3">
      <c r="B14" s="32"/>
      <c r="D14" s="36"/>
      <c r="E14" s="36"/>
      <c r="F14" s="36"/>
      <c r="G14" s="32"/>
      <c r="H14" s="32"/>
    </row>
    <row r="15" spans="2:9" x14ac:dyDescent="0.3">
      <c r="B15" s="32"/>
      <c r="C15" s="37"/>
      <c r="D15" s="36"/>
      <c r="E15" s="36"/>
      <c r="F15" s="36"/>
      <c r="G15" s="32"/>
      <c r="H15" s="32"/>
    </row>
    <row r="16" spans="2:9" x14ac:dyDescent="0.3">
      <c r="B16" s="32"/>
      <c r="C16" s="37"/>
      <c r="D16" s="36"/>
      <c r="E16" s="36"/>
      <c r="F16" s="36"/>
      <c r="G16" s="32"/>
      <c r="H16" s="32"/>
    </row>
    <row r="17" spans="2:8" x14ac:dyDescent="0.3">
      <c r="B17" s="32"/>
      <c r="C17" s="37"/>
      <c r="D17" s="36"/>
      <c r="E17" s="36"/>
      <c r="F17" s="36"/>
      <c r="G17" s="32"/>
      <c r="H17" s="32"/>
    </row>
    <row r="18" spans="2:8" x14ac:dyDescent="0.3">
      <c r="B18" s="32"/>
      <c r="C18" s="37"/>
      <c r="D18" s="36"/>
      <c r="E18" s="36"/>
      <c r="F18" s="36"/>
      <c r="G18" s="32"/>
      <c r="H18" s="32"/>
    </row>
    <row r="19" spans="2:8" x14ac:dyDescent="0.3">
      <c r="B19" s="32"/>
      <c r="C19" s="37"/>
      <c r="D19" s="36"/>
      <c r="E19" s="36"/>
      <c r="F19" s="36"/>
      <c r="G19" s="32"/>
      <c r="H19" s="32"/>
    </row>
    <row r="20" spans="2:8" x14ac:dyDescent="0.3">
      <c r="B20" s="32"/>
      <c r="C20" s="37"/>
      <c r="D20" s="36"/>
      <c r="E20" s="36"/>
      <c r="F20" s="36"/>
      <c r="G20" s="32"/>
      <c r="H20" s="32"/>
    </row>
    <row r="21" spans="2:8" x14ac:dyDescent="0.3">
      <c r="B21" s="32"/>
      <c r="C21" s="37"/>
      <c r="D21" s="36"/>
      <c r="E21" s="36"/>
      <c r="F21" s="36"/>
      <c r="G21" s="32"/>
      <c r="H21" s="32"/>
    </row>
    <row r="22" spans="2:8" x14ac:dyDescent="0.3">
      <c r="B22" s="32"/>
      <c r="C22" s="37"/>
      <c r="D22" s="36"/>
      <c r="E22" s="36"/>
      <c r="F22" s="36"/>
      <c r="G22" s="32"/>
      <c r="H22" s="32"/>
    </row>
    <row r="24" spans="2:8" x14ac:dyDescent="0.3">
      <c r="B24" s="29">
        <f>COUNTA(C6:C22)</f>
        <v>8</v>
      </c>
      <c r="C24" s="30" t="s">
        <v>30</v>
      </c>
    </row>
  </sheetData>
  <mergeCells count="6">
    <mergeCell ref="I4:I5"/>
    <mergeCell ref="B4:B5"/>
    <mergeCell ref="C4:C5"/>
    <mergeCell ref="D4:F4"/>
    <mergeCell ref="G4:G5"/>
    <mergeCell ref="H4:H5"/>
  </mergeCells>
  <pageMargins left="0.7" right="0.7" top="0.75" bottom="0.75" header="0.511811023622047" footer="0.511811023622047"/>
  <pageSetup paperSize="9" scale="64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24"/>
  <sheetViews>
    <sheetView zoomScale="95" zoomScaleNormal="95" workbookViewId="0">
      <selection activeCell="C13" sqref="C13"/>
    </sheetView>
  </sheetViews>
  <sheetFormatPr defaultColWidth="8.88671875" defaultRowHeight="15.6" x14ac:dyDescent="0.3"/>
  <cols>
    <col min="1" max="1" width="8.88671875" style="28"/>
    <col min="2" max="2" width="8.88671875" style="29"/>
    <col min="3" max="3" width="22" style="28" customWidth="1"/>
    <col min="4" max="4" width="7.33203125" style="28" customWidth="1"/>
    <col min="5" max="5" width="6.77734375" style="28" customWidth="1"/>
    <col min="6" max="6" width="7.6640625" style="28" customWidth="1"/>
    <col min="7" max="7" width="11.33203125" style="28" customWidth="1"/>
    <col min="8" max="8" width="8.6640625" style="28" customWidth="1"/>
    <col min="9" max="9" width="16.5546875" style="28" customWidth="1"/>
    <col min="10" max="16384" width="8.88671875" style="28"/>
  </cols>
  <sheetData>
    <row r="2" spans="2:9" x14ac:dyDescent="0.3">
      <c r="B2" s="30" t="s">
        <v>18</v>
      </c>
      <c r="C2" s="30"/>
      <c r="D2" s="30"/>
      <c r="E2" s="30"/>
      <c r="F2" s="30"/>
    </row>
    <row r="4" spans="2:9" ht="15" customHeight="1" x14ac:dyDescent="0.3">
      <c r="B4" s="4" t="s">
        <v>9</v>
      </c>
      <c r="C4" s="4" t="s">
        <v>10</v>
      </c>
      <c r="D4" s="4" t="s">
        <v>19</v>
      </c>
      <c r="E4" s="4"/>
      <c r="F4" s="4"/>
      <c r="G4" s="3" t="s">
        <v>20</v>
      </c>
      <c r="H4" s="2" t="s">
        <v>21</v>
      </c>
      <c r="I4" s="1" t="s">
        <v>39</v>
      </c>
    </row>
    <row r="5" spans="2:9" x14ac:dyDescent="0.3">
      <c r="B5" s="4"/>
      <c r="C5" s="4"/>
      <c r="D5" s="31" t="s">
        <v>23</v>
      </c>
      <c r="E5" s="31" t="s">
        <v>24</v>
      </c>
      <c r="F5" s="31" t="s">
        <v>25</v>
      </c>
      <c r="G5" s="3"/>
      <c r="H5" s="2"/>
      <c r="I5" s="1"/>
    </row>
    <row r="6" spans="2:9" x14ac:dyDescent="0.3">
      <c r="B6" s="32">
        <v>1</v>
      </c>
      <c r="C6" s="37" t="s">
        <v>40</v>
      </c>
      <c r="D6" s="34">
        <v>4.45</v>
      </c>
      <c r="E6" s="34">
        <v>3</v>
      </c>
      <c r="F6" s="34">
        <v>2.7</v>
      </c>
      <c r="G6" s="34">
        <f>'MOTORMAN 2 CABIN'!F35</f>
        <v>139.50014400000001</v>
      </c>
      <c r="H6" s="34">
        <f>'MOTORMAN 2 CABIN'!F37</f>
        <v>1235.7296615905921</v>
      </c>
    </row>
    <row r="7" spans="2:9" x14ac:dyDescent="0.3">
      <c r="B7" s="32">
        <v>2</v>
      </c>
      <c r="C7" s="37" t="s">
        <v>41</v>
      </c>
      <c r="D7" s="34">
        <v>4.45</v>
      </c>
      <c r="E7" s="34">
        <v>3</v>
      </c>
      <c r="F7" s="34">
        <v>2.7</v>
      </c>
      <c r="G7" s="34">
        <f>'MOTORMAN 1 CABIN'!$F$35</f>
        <v>134.22583299999999</v>
      </c>
      <c r="H7" s="34">
        <f>'MOTORMAN 1 CABIN'!$F$37</f>
        <v>1189.008401237244</v>
      </c>
    </row>
    <row r="8" spans="2:9" x14ac:dyDescent="0.3">
      <c r="B8" s="32">
        <v>3</v>
      </c>
      <c r="C8" s="37" t="s">
        <v>42</v>
      </c>
      <c r="D8" s="34">
        <v>4.9000000000000004</v>
      </c>
      <c r="E8" s="34">
        <v>3.3</v>
      </c>
      <c r="F8" s="34">
        <v>2.7</v>
      </c>
      <c r="G8" s="34">
        <f>'AB 2 CABIN'!$F$35</f>
        <v>156.39946699999999</v>
      </c>
      <c r="H8" s="34">
        <f>'AB 2 CABIN'!$F$37</f>
        <v>1385.428393743156</v>
      </c>
    </row>
    <row r="9" spans="2:9" x14ac:dyDescent="0.3">
      <c r="B9" s="32">
        <v>4</v>
      </c>
      <c r="C9" s="37" t="s">
        <v>43</v>
      </c>
      <c r="D9" s="34">
        <v>3.4</v>
      </c>
      <c r="E9" s="34">
        <v>4.8</v>
      </c>
      <c r="F9" s="34">
        <v>2.7</v>
      </c>
      <c r="G9" s="34">
        <f>'AB 1 CABIN'!$F$35</f>
        <v>154.46196499999999</v>
      </c>
      <c r="H9" s="34">
        <f>'AB 1 CABIN'!$F$37</f>
        <v>1368.2654817766199</v>
      </c>
    </row>
    <row r="10" spans="2:9" x14ac:dyDescent="0.3">
      <c r="B10" s="32">
        <v>5</v>
      </c>
      <c r="C10" s="37" t="s">
        <v>44</v>
      </c>
      <c r="D10" s="34">
        <v>3.2</v>
      </c>
      <c r="E10" s="34">
        <v>6</v>
      </c>
      <c r="F10" s="34">
        <v>2.7</v>
      </c>
      <c r="G10" s="34">
        <f>HOSPITAL!$F$35</f>
        <v>185.031441</v>
      </c>
      <c r="H10" s="34">
        <f>HOSPITAL!$F$37</f>
        <v>1639.0580928041882</v>
      </c>
    </row>
    <row r="11" spans="2:9" x14ac:dyDescent="0.3">
      <c r="B11" s="32">
        <v>6</v>
      </c>
      <c r="C11" s="37" t="s">
        <v>45</v>
      </c>
      <c r="D11" s="34">
        <v>4.45</v>
      </c>
      <c r="E11" s="34">
        <v>3</v>
      </c>
      <c r="F11" s="34">
        <v>2.7</v>
      </c>
      <c r="G11" s="34">
        <f>'OS CABIN'!$F$35</f>
        <v>134.22583299999999</v>
      </c>
      <c r="H11" s="34">
        <f>'OS CABIN'!$F$37</f>
        <v>1189.008401237244</v>
      </c>
    </row>
    <row r="12" spans="2:9" x14ac:dyDescent="0.3">
      <c r="B12" s="32">
        <v>7</v>
      </c>
      <c r="C12" s="37" t="s">
        <v>46</v>
      </c>
      <c r="D12" s="34">
        <v>4.45</v>
      </c>
      <c r="E12" s="34">
        <v>3</v>
      </c>
      <c r="F12" s="34">
        <v>2.7</v>
      </c>
      <c r="G12" s="34">
        <f>'MESSMAN CABIN'!$F$35</f>
        <v>134.22583299999999</v>
      </c>
      <c r="H12" s="34">
        <f>'MESSMAN CABIN'!$F$37</f>
        <v>1189.008401237244</v>
      </c>
    </row>
    <row r="13" spans="2:9" x14ac:dyDescent="0.3">
      <c r="B13" s="32">
        <v>8</v>
      </c>
      <c r="C13" s="37" t="s">
        <v>47</v>
      </c>
      <c r="D13" s="34">
        <v>4.45</v>
      </c>
      <c r="E13" s="34">
        <v>3</v>
      </c>
      <c r="F13" s="34">
        <v>2.7</v>
      </c>
      <c r="G13" s="34">
        <f>'FITTER CABIN'!$F$35</f>
        <v>144.77445499999999</v>
      </c>
      <c r="H13" s="34">
        <f>'FITTER CABIN'!$F$37</f>
        <v>1282.4509219439401</v>
      </c>
    </row>
    <row r="14" spans="2:9" x14ac:dyDescent="0.3">
      <c r="B14" s="32">
        <v>9</v>
      </c>
      <c r="C14" s="37" t="s">
        <v>48</v>
      </c>
      <c r="D14" s="34">
        <v>5.3</v>
      </c>
      <c r="E14" s="34">
        <v>2.9</v>
      </c>
      <c r="F14" s="34">
        <v>2.7</v>
      </c>
      <c r="G14" s="34">
        <f>'SUEZ CREW'!$F$35</f>
        <v>145.527928</v>
      </c>
      <c r="H14" s="34">
        <f>'SUEZ CREW'!$F$37</f>
        <v>1289.1253877087042</v>
      </c>
    </row>
    <row r="15" spans="2:9" x14ac:dyDescent="0.3">
      <c r="B15" s="32">
        <v>10</v>
      </c>
      <c r="C15" s="37" t="s">
        <v>49</v>
      </c>
      <c r="D15" s="34">
        <v>1.3</v>
      </c>
      <c r="E15" s="34">
        <v>2.2000000000000002</v>
      </c>
      <c r="F15" s="34">
        <v>2.7</v>
      </c>
      <c r="G15" s="34">
        <f>'HOSPITAL TOILET'!$F$35</f>
        <v>38.750039999999998</v>
      </c>
      <c r="H15" s="34">
        <f>'HOSPITAL TOILET'!$F$37</f>
        <v>343.25823933072002</v>
      </c>
    </row>
    <row r="16" spans="2:9" x14ac:dyDescent="0.3">
      <c r="B16" s="32"/>
      <c r="C16" s="37"/>
      <c r="D16" s="36"/>
      <c r="E16" s="36"/>
      <c r="F16" s="36"/>
      <c r="G16" s="32"/>
      <c r="H16" s="32"/>
    </row>
    <row r="17" spans="2:8" x14ac:dyDescent="0.3">
      <c r="B17" s="32"/>
      <c r="C17" s="37"/>
      <c r="D17" s="36"/>
      <c r="E17" s="36"/>
      <c r="F17" s="36"/>
      <c r="G17" s="32"/>
      <c r="H17" s="32"/>
    </row>
    <row r="18" spans="2:8" x14ac:dyDescent="0.3">
      <c r="B18" s="32"/>
      <c r="C18" s="37"/>
      <c r="D18" s="36"/>
      <c r="E18" s="36"/>
      <c r="F18" s="36"/>
      <c r="G18" s="32"/>
      <c r="H18" s="32"/>
    </row>
    <row r="19" spans="2:8" x14ac:dyDescent="0.3">
      <c r="B19" s="32"/>
      <c r="C19" s="37"/>
      <c r="D19" s="36"/>
      <c r="E19" s="36"/>
      <c r="F19" s="36"/>
      <c r="G19" s="32"/>
      <c r="H19" s="32"/>
    </row>
    <row r="20" spans="2:8" x14ac:dyDescent="0.3">
      <c r="B20" s="32"/>
      <c r="C20" s="37"/>
      <c r="D20" s="36"/>
      <c r="E20" s="36"/>
      <c r="F20" s="36"/>
      <c r="G20" s="32"/>
      <c r="H20" s="32"/>
    </row>
    <row r="21" spans="2:8" x14ac:dyDescent="0.3">
      <c r="B21" s="32"/>
      <c r="C21" s="37"/>
      <c r="D21" s="36"/>
      <c r="E21" s="36"/>
      <c r="F21" s="36"/>
      <c r="G21" s="32"/>
      <c r="H21" s="32"/>
    </row>
    <row r="22" spans="2:8" x14ac:dyDescent="0.3">
      <c r="B22" s="32"/>
      <c r="C22" s="37"/>
      <c r="D22" s="36"/>
      <c r="E22" s="36"/>
      <c r="F22" s="36"/>
      <c r="G22" s="32"/>
      <c r="H22" s="32"/>
    </row>
    <row r="24" spans="2:8" x14ac:dyDescent="0.3">
      <c r="B24" s="29">
        <f>COUNTA(C6:C22)</f>
        <v>10</v>
      </c>
      <c r="C24" s="30" t="s">
        <v>30</v>
      </c>
    </row>
  </sheetData>
  <mergeCells count="6">
    <mergeCell ref="I4:I5"/>
    <mergeCell ref="B4:B5"/>
    <mergeCell ref="C4:C5"/>
    <mergeCell ref="D4:F4"/>
    <mergeCell ref="G4:G5"/>
    <mergeCell ref="H4:H5"/>
  </mergeCells>
  <pageMargins left="0.7" right="0.7" top="0.75" bottom="0.75" header="0.511811023622047" footer="0.511811023622047"/>
  <pageSetup paperSize="9" scale="64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24"/>
  <sheetViews>
    <sheetView topLeftCell="A2" zoomScale="95" zoomScaleNormal="95" workbookViewId="0">
      <selection activeCell="C15" sqref="C15"/>
    </sheetView>
  </sheetViews>
  <sheetFormatPr defaultColWidth="8.88671875" defaultRowHeight="15.6" x14ac:dyDescent="0.3"/>
  <cols>
    <col min="1" max="1" width="8.88671875" style="28"/>
    <col min="2" max="2" width="8.88671875" style="29"/>
    <col min="3" max="3" width="22.109375" style="28" customWidth="1"/>
    <col min="4" max="4" width="7.33203125" style="28" customWidth="1"/>
    <col min="5" max="5" width="6.77734375" style="28" customWidth="1"/>
    <col min="6" max="6" width="7.6640625" style="28" customWidth="1"/>
    <col min="7" max="7" width="11.33203125" style="28" customWidth="1"/>
    <col min="8" max="8" width="12.5546875" style="28" customWidth="1"/>
    <col min="9" max="9" width="16.5546875" style="28" customWidth="1"/>
    <col min="10" max="16384" width="8.88671875" style="28"/>
  </cols>
  <sheetData>
    <row r="2" spans="2:9" x14ac:dyDescent="0.3">
      <c r="B2" s="30" t="s">
        <v>18</v>
      </c>
      <c r="C2" s="30"/>
      <c r="D2" s="30"/>
      <c r="E2" s="30"/>
      <c r="F2" s="30"/>
    </row>
    <row r="4" spans="2:9" ht="15" customHeight="1" x14ac:dyDescent="0.3">
      <c r="B4" s="4" t="s">
        <v>9</v>
      </c>
      <c r="C4" s="4" t="s">
        <v>10</v>
      </c>
      <c r="D4" s="4" t="s">
        <v>19</v>
      </c>
      <c r="E4" s="4"/>
      <c r="F4" s="4"/>
      <c r="G4" s="3" t="s">
        <v>20</v>
      </c>
      <c r="H4" s="2" t="s">
        <v>21</v>
      </c>
      <c r="I4" s="1" t="s">
        <v>39</v>
      </c>
    </row>
    <row r="5" spans="2:9" x14ac:dyDescent="0.3">
      <c r="B5" s="4"/>
      <c r="C5" s="4"/>
      <c r="D5" s="31" t="s">
        <v>23</v>
      </c>
      <c r="E5" s="31" t="s">
        <v>24</v>
      </c>
      <c r="F5" s="31" t="s">
        <v>25</v>
      </c>
      <c r="G5" s="3"/>
      <c r="H5" s="2"/>
      <c r="I5" s="1"/>
    </row>
    <row r="6" spans="2:9" x14ac:dyDescent="0.3">
      <c r="B6" s="32">
        <v>1</v>
      </c>
      <c r="C6" s="37" t="s">
        <v>50</v>
      </c>
      <c r="D6" s="34">
        <f>0.9+1.3+2</f>
        <v>4.2</v>
      </c>
      <c r="E6" s="34">
        <f>1.15+1.4+3.6</f>
        <v>6.15</v>
      </c>
      <c r="F6" s="34">
        <v>2.7</v>
      </c>
      <c r="G6" s="34">
        <f>'2ND ENGINEER CABIN'!$F$35</f>
        <v>242.725945</v>
      </c>
      <c r="H6" s="34">
        <f>'2ND ENGINEER CABIN'!$F$37</f>
        <v>2150.1314713632601</v>
      </c>
    </row>
    <row r="7" spans="2:9" x14ac:dyDescent="0.3">
      <c r="B7" s="32">
        <v>2</v>
      </c>
      <c r="C7" s="37" t="s">
        <v>51</v>
      </c>
      <c r="D7" s="34">
        <f>2+1.35</f>
        <v>3.35</v>
      </c>
      <c r="E7" s="34">
        <f>3.6+1.4</f>
        <v>5</v>
      </c>
      <c r="F7" s="34">
        <v>2.7</v>
      </c>
      <c r="G7" s="34">
        <f>'3RD ENGINEER CABIN'!$F$35</f>
        <v>162.85780700000001</v>
      </c>
      <c r="H7" s="34">
        <f>'3RD ENGINEER CABIN'!$F$37</f>
        <v>1442.6381002982762</v>
      </c>
    </row>
    <row r="8" spans="2:9" x14ac:dyDescent="0.3">
      <c r="B8" s="32">
        <v>3</v>
      </c>
      <c r="C8" s="37" t="s">
        <v>52</v>
      </c>
      <c r="D8" s="34">
        <v>3.35</v>
      </c>
      <c r="E8" s="34">
        <v>5</v>
      </c>
      <c r="F8" s="34">
        <v>2.7</v>
      </c>
      <c r="G8" s="34">
        <f>'ELECTRICIANMAN CABIN'!$F$35</f>
        <v>38.750039999999998</v>
      </c>
      <c r="H8" s="34">
        <f>'ELECTRICIANMAN CABIN'!$F$37</f>
        <v>343.25823933072002</v>
      </c>
    </row>
    <row r="9" spans="2:9" x14ac:dyDescent="0.3">
      <c r="B9" s="32">
        <v>4</v>
      </c>
      <c r="C9" s="37" t="s">
        <v>53</v>
      </c>
      <c r="D9" s="34">
        <v>3.35</v>
      </c>
      <c r="E9" s="34">
        <v>5</v>
      </c>
      <c r="F9" s="34">
        <v>2.7</v>
      </c>
      <c r="G9" s="34">
        <f>'BOSUN CABIN'!F35</f>
        <v>168.347396</v>
      </c>
      <c r="H9" s="34">
        <f>'BOSUN CABIN'!$F$37</f>
        <v>1491.2663508701282</v>
      </c>
    </row>
    <row r="10" spans="2:9" x14ac:dyDescent="0.3">
      <c r="B10" s="32">
        <v>5</v>
      </c>
      <c r="C10" s="37" t="s">
        <v>54</v>
      </c>
      <c r="D10" s="34">
        <f>0.9+1.4+1.9</f>
        <v>4.1999999999999993</v>
      </c>
      <c r="E10" s="34">
        <v>5.25</v>
      </c>
      <c r="F10" s="34">
        <v>2.7</v>
      </c>
      <c r="G10" s="34">
        <f>'2ND ENGINEER CABIN'!$F$35</f>
        <v>242.725945</v>
      </c>
      <c r="H10" s="34">
        <f>'2ND ENGINEER CABIN'!$F$37</f>
        <v>2150.1314713632601</v>
      </c>
    </row>
    <row r="11" spans="2:9" x14ac:dyDescent="0.3">
      <c r="B11" s="32">
        <v>6</v>
      </c>
      <c r="C11" s="37" t="s">
        <v>55</v>
      </c>
      <c r="D11" s="34">
        <v>2.15</v>
      </c>
      <c r="E11" s="34">
        <v>2.65</v>
      </c>
      <c r="F11" s="34">
        <v>2.7</v>
      </c>
      <c r="G11" s="34">
        <f>'GYM ROOM'!$F$35</f>
        <v>889.81665185279985</v>
      </c>
      <c r="H11" s="34">
        <f>'GYM ROOM'!$F$37</f>
        <v>7882.2343729747981</v>
      </c>
    </row>
    <row r="12" spans="2:9" x14ac:dyDescent="0.3">
      <c r="B12" s="32">
        <v>7</v>
      </c>
      <c r="C12" s="37" t="s">
        <v>56</v>
      </c>
      <c r="D12" s="34">
        <v>4.2</v>
      </c>
      <c r="E12" s="34">
        <v>6.15</v>
      </c>
      <c r="F12" s="34">
        <v>2.7</v>
      </c>
      <c r="G12" s="34">
        <f>'2ND OFFICER CABIN'!$F$35</f>
        <v>234.114825</v>
      </c>
      <c r="H12" s="34">
        <f>'2ND OFFICER CABIN'!$F$37</f>
        <v>2073.8518626231003</v>
      </c>
    </row>
    <row r="13" spans="2:9" x14ac:dyDescent="0.3">
      <c r="B13" s="32">
        <v>8</v>
      </c>
      <c r="C13" s="37" t="s">
        <v>57</v>
      </c>
      <c r="D13" s="34">
        <v>3.35</v>
      </c>
      <c r="E13" s="34">
        <v>5</v>
      </c>
      <c r="F13" s="34">
        <v>2.7</v>
      </c>
      <c r="G13" s="34">
        <f>'3RD OFFICER CABIN'!$F$35</f>
        <v>162.85780700000001</v>
      </c>
      <c r="H13" s="34">
        <f>'3RD OFFICER CABIN'!$F$37</f>
        <v>1442.6381002982762</v>
      </c>
    </row>
    <row r="14" spans="2:9" x14ac:dyDescent="0.3">
      <c r="B14" s="32">
        <v>9</v>
      </c>
      <c r="C14" s="37" t="s">
        <v>58</v>
      </c>
      <c r="D14" s="34">
        <v>3.35</v>
      </c>
      <c r="E14" s="34">
        <v>5</v>
      </c>
      <c r="F14" s="34">
        <v>2.7</v>
      </c>
      <c r="G14" s="34">
        <f>'PUMPMAN CABIN'!$F$35</f>
        <v>162.85780700000001</v>
      </c>
      <c r="H14" s="34">
        <f>'PUMPMAN CABIN'!$F$37</f>
        <v>1442.6381002982762</v>
      </c>
    </row>
    <row r="15" spans="2:9" x14ac:dyDescent="0.3">
      <c r="B15" s="32">
        <v>10</v>
      </c>
      <c r="C15" s="37" t="s">
        <v>59</v>
      </c>
      <c r="D15" s="34">
        <v>3.35</v>
      </c>
      <c r="E15" s="34">
        <v>5</v>
      </c>
      <c r="F15" s="34">
        <v>2.7</v>
      </c>
      <c r="G15" s="34">
        <f>'COOKMAN CABIN'!$F$35</f>
        <v>168.347396</v>
      </c>
      <c r="H15" s="34">
        <f>'COOKMAN CABIN'!$F$37</f>
        <v>1491.2663508701282</v>
      </c>
    </row>
    <row r="16" spans="2:9" x14ac:dyDescent="0.3">
      <c r="B16" s="32"/>
      <c r="C16" s="37"/>
      <c r="D16" s="36"/>
      <c r="E16" s="36"/>
      <c r="F16" s="36"/>
      <c r="G16" s="32"/>
      <c r="H16" s="32"/>
    </row>
    <row r="17" spans="2:8" x14ac:dyDescent="0.3">
      <c r="B17" s="32"/>
      <c r="C17" s="37"/>
      <c r="D17" s="36"/>
      <c r="E17" s="36"/>
      <c r="F17" s="36"/>
      <c r="G17" s="32"/>
      <c r="H17" s="32"/>
    </row>
    <row r="18" spans="2:8" x14ac:dyDescent="0.3">
      <c r="B18" s="32"/>
      <c r="C18" s="37"/>
      <c r="D18" s="36"/>
      <c r="E18" s="36"/>
      <c r="F18" s="36"/>
      <c r="G18" s="32"/>
      <c r="H18" s="32"/>
    </row>
    <row r="19" spans="2:8" x14ac:dyDescent="0.3">
      <c r="B19" s="32"/>
      <c r="C19" s="37"/>
      <c r="D19" s="36"/>
      <c r="E19" s="36"/>
      <c r="F19" s="36"/>
      <c r="G19" s="32"/>
      <c r="H19" s="32"/>
    </row>
    <row r="20" spans="2:8" x14ac:dyDescent="0.3">
      <c r="B20" s="32"/>
      <c r="C20" s="37"/>
      <c r="D20" s="36"/>
      <c r="E20" s="36"/>
      <c r="F20" s="36"/>
      <c r="G20" s="32"/>
      <c r="H20" s="32"/>
    </row>
    <row r="21" spans="2:8" x14ac:dyDescent="0.3">
      <c r="B21" s="32"/>
      <c r="C21" s="37"/>
      <c r="D21" s="36"/>
      <c r="E21" s="36"/>
      <c r="F21" s="36"/>
      <c r="G21" s="32"/>
      <c r="H21" s="32"/>
    </row>
    <row r="22" spans="2:8" x14ac:dyDescent="0.3">
      <c r="B22" s="32"/>
      <c r="C22" s="37"/>
      <c r="D22" s="36"/>
      <c r="E22" s="36"/>
      <c r="F22" s="36"/>
      <c r="G22" s="32"/>
      <c r="H22" s="32"/>
    </row>
    <row r="24" spans="2:8" x14ac:dyDescent="0.3">
      <c r="B24" s="29">
        <f>COUNTA(C6:C22)</f>
        <v>10</v>
      </c>
      <c r="C24" s="30" t="s">
        <v>30</v>
      </c>
    </row>
  </sheetData>
  <mergeCells count="6">
    <mergeCell ref="I4:I5"/>
    <mergeCell ref="B4:B5"/>
    <mergeCell ref="C4:C5"/>
    <mergeCell ref="D4:F4"/>
    <mergeCell ref="G4:G5"/>
    <mergeCell ref="H4:H5"/>
  </mergeCells>
  <pageMargins left="0.7" right="0.7" top="0.75" bottom="0.75" header="0.511811023622047" footer="0.511811023622047"/>
  <pageSetup paperSize="9" scale="64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24"/>
  <sheetViews>
    <sheetView topLeftCell="A2" zoomScale="95" zoomScaleNormal="95" workbookViewId="0">
      <selection activeCell="L9" sqref="L9"/>
    </sheetView>
  </sheetViews>
  <sheetFormatPr defaultColWidth="8.88671875" defaultRowHeight="15.6" x14ac:dyDescent="0.3"/>
  <cols>
    <col min="1" max="1" width="8.88671875" style="28"/>
    <col min="2" max="2" width="8.88671875" style="29"/>
    <col min="3" max="3" width="23.88671875" style="28" customWidth="1"/>
    <col min="4" max="4" width="7.33203125" style="28" customWidth="1"/>
    <col min="5" max="5" width="6.77734375" style="28" customWidth="1"/>
    <col min="6" max="6" width="7.6640625" style="28" customWidth="1"/>
    <col min="7" max="7" width="11.33203125" style="28" customWidth="1"/>
    <col min="8" max="8" width="12.5546875" style="28" customWidth="1"/>
    <col min="9" max="9" width="16.5546875" style="28" customWidth="1"/>
    <col min="10" max="16384" width="8.88671875" style="28"/>
  </cols>
  <sheetData>
    <row r="2" spans="2:9" x14ac:dyDescent="0.3">
      <c r="B2" s="30" t="s">
        <v>18</v>
      </c>
      <c r="C2" s="30"/>
      <c r="D2" s="30"/>
      <c r="E2" s="30"/>
      <c r="F2" s="30"/>
    </row>
    <row r="4" spans="2:9" ht="15" customHeight="1" x14ac:dyDescent="0.3">
      <c r="B4" s="4" t="s">
        <v>9</v>
      </c>
      <c r="C4" s="4" t="s">
        <v>10</v>
      </c>
      <c r="D4" s="4" t="s">
        <v>19</v>
      </c>
      <c r="E4" s="4"/>
      <c r="F4" s="4"/>
      <c r="G4" s="3" t="s">
        <v>20</v>
      </c>
      <c r="H4" s="2" t="s">
        <v>21</v>
      </c>
      <c r="I4" s="1" t="s">
        <v>39</v>
      </c>
    </row>
    <row r="5" spans="2:9" x14ac:dyDescent="0.3">
      <c r="B5" s="4"/>
      <c r="C5" s="4"/>
      <c r="D5" s="31" t="s">
        <v>23</v>
      </c>
      <c r="E5" s="31" t="s">
        <v>24</v>
      </c>
      <c r="F5" s="31" t="s">
        <v>25</v>
      </c>
      <c r="G5" s="3"/>
      <c r="H5" s="2"/>
      <c r="I5" s="1"/>
    </row>
    <row r="6" spans="2:9" x14ac:dyDescent="0.3">
      <c r="B6" s="32">
        <v>1</v>
      </c>
      <c r="C6" s="37" t="s">
        <v>60</v>
      </c>
      <c r="D6" s="34">
        <v>5.5</v>
      </c>
      <c r="E6" s="34">
        <v>3.2</v>
      </c>
      <c r="F6" s="34">
        <f t="shared" ref="F6:F16" si="0">26.6-23.9</f>
        <v>2.7000000000000028</v>
      </c>
      <c r="G6" s="34">
        <f>'MASTER CABIN'!$F$35</f>
        <v>206.88215799999998</v>
      </c>
      <c r="H6" s="34">
        <f>'MASTER CABIN'!$F$37</f>
        <v>1832.617599982344</v>
      </c>
    </row>
    <row r="7" spans="2:9" x14ac:dyDescent="0.3">
      <c r="B7" s="32">
        <v>2</v>
      </c>
      <c r="C7" s="37" t="s">
        <v>61</v>
      </c>
      <c r="D7" s="34">
        <v>2</v>
      </c>
      <c r="E7" s="34">
        <v>3.45</v>
      </c>
      <c r="F7" s="34">
        <f t="shared" si="0"/>
        <v>2.7000000000000028</v>
      </c>
      <c r="G7" s="34">
        <f>'MASTER BEDROOM'!$F$35</f>
        <v>86.730124249999989</v>
      </c>
      <c r="H7" s="34">
        <f>'MASTER BEDROOM'!$F$37</f>
        <v>768.27868427979899</v>
      </c>
    </row>
    <row r="8" spans="2:9" x14ac:dyDescent="0.3">
      <c r="B8" s="32">
        <v>3</v>
      </c>
      <c r="C8" s="37" t="s">
        <v>62</v>
      </c>
      <c r="D8" s="34">
        <v>4.9650999999999996</v>
      </c>
      <c r="E8" s="34">
        <v>3.7016</v>
      </c>
      <c r="F8" s="34">
        <f t="shared" si="0"/>
        <v>2.7000000000000028</v>
      </c>
      <c r="G8" s="34">
        <f>'CHIEF OFFICER CABIN'!$F$35</f>
        <v>196.11825799999997</v>
      </c>
      <c r="H8" s="34">
        <f>'CHIEF OFFICER CABIN'!$F$37</f>
        <v>1737.2680890571439</v>
      </c>
    </row>
    <row r="9" spans="2:9" x14ac:dyDescent="0.3">
      <c r="B9" s="32">
        <v>4</v>
      </c>
      <c r="C9" s="37" t="s">
        <v>63</v>
      </c>
      <c r="D9" s="34">
        <v>2.0554000000000001</v>
      </c>
      <c r="E9" s="34">
        <v>3.5503</v>
      </c>
      <c r="F9" s="34">
        <f t="shared" si="0"/>
        <v>2.7000000000000028</v>
      </c>
      <c r="G9" s="34">
        <f>'CHIEF OFFICER BEDROOM'!$F$35</f>
        <v>89.986203999999987</v>
      </c>
      <c r="H9" s="34">
        <f>'CHIEF OFFICER BEDROOM'!$F$37</f>
        <v>797.12191133467195</v>
      </c>
    </row>
    <row r="10" spans="2:9" x14ac:dyDescent="0.3">
      <c r="B10" s="32">
        <v>5</v>
      </c>
      <c r="C10" s="37" t="s">
        <v>64</v>
      </c>
      <c r="D10" s="34">
        <v>3.1766000000000001</v>
      </c>
      <c r="E10" s="34">
        <v>4.9650999999999996</v>
      </c>
      <c r="F10" s="34">
        <f t="shared" si="0"/>
        <v>2.7000000000000028</v>
      </c>
      <c r="G10" s="34">
        <f>'PILOT CABIN'!$F$35</f>
        <v>145.958484</v>
      </c>
      <c r="H10" s="34">
        <f>'PILOT CABIN'!$F$37</f>
        <v>1292.939368145712</v>
      </c>
    </row>
    <row r="11" spans="2:9" x14ac:dyDescent="0.3">
      <c r="B11" s="32">
        <v>6</v>
      </c>
      <c r="C11" s="37" t="s">
        <v>65</v>
      </c>
      <c r="D11" s="34">
        <v>4.4222999999999999</v>
      </c>
      <c r="E11" s="34">
        <v>7.1006</v>
      </c>
      <c r="F11" s="34">
        <f t="shared" si="0"/>
        <v>2.7000000000000028</v>
      </c>
      <c r="G11" s="34">
        <f>OFFICE!$F$35</f>
        <v>324.26248749999996</v>
      </c>
      <c r="H11" s="34">
        <f>OFFICE!$F$37</f>
        <v>2872.40401662165</v>
      </c>
    </row>
    <row r="12" spans="2:9" x14ac:dyDescent="0.3">
      <c r="B12" s="32">
        <v>7</v>
      </c>
      <c r="C12" s="37" t="s">
        <v>66</v>
      </c>
      <c r="D12" s="34">
        <v>3.6570999999999998</v>
      </c>
      <c r="E12" s="34">
        <v>2.8563000000000001</v>
      </c>
      <c r="F12" s="34">
        <f t="shared" si="0"/>
        <v>2.7000000000000028</v>
      </c>
      <c r="G12" s="34">
        <f>'INSTRUMENTATION ROOM'!$F$35</f>
        <v>107.639</v>
      </c>
      <c r="H12" s="34">
        <f>'INSTRUMENTATION ROOM'!$F$37</f>
        <v>953.49510925200002</v>
      </c>
    </row>
    <row r="13" spans="2:9" x14ac:dyDescent="0.3">
      <c r="B13" s="32">
        <v>8</v>
      </c>
      <c r="C13" s="37" t="s">
        <v>67</v>
      </c>
      <c r="D13" s="34">
        <v>3.7016</v>
      </c>
      <c r="E13" s="34">
        <v>4.9650999999999996</v>
      </c>
      <c r="F13" s="34">
        <f t="shared" si="0"/>
        <v>2.7000000000000028</v>
      </c>
      <c r="G13" s="34">
        <f>'1ST ENGINEER CABIN'!$F$35</f>
        <v>196.11825799999997</v>
      </c>
      <c r="H13" s="34">
        <f>'1ST ENGINEER CABIN'!$F$37</f>
        <v>1737.2680890571439</v>
      </c>
    </row>
    <row r="14" spans="2:9" x14ac:dyDescent="0.3">
      <c r="B14" s="32">
        <v>9</v>
      </c>
      <c r="C14" s="37" t="s">
        <v>68</v>
      </c>
      <c r="D14" s="34">
        <v>2.0821000000000001</v>
      </c>
      <c r="E14" s="34">
        <v>3.5503</v>
      </c>
      <c r="F14" s="34">
        <f t="shared" si="0"/>
        <v>2.7000000000000028</v>
      </c>
      <c r="G14" s="34">
        <f>'1ST ENGINEER BEDROOM'!$F$35</f>
        <v>89.986203999999987</v>
      </c>
      <c r="H14" s="34">
        <f>'1ST ENGINEER BEDROOM'!$F$37</f>
        <v>797.12191133467195</v>
      </c>
    </row>
    <row r="15" spans="2:9" x14ac:dyDescent="0.3">
      <c r="B15" s="32">
        <v>10</v>
      </c>
      <c r="C15" s="37" t="s">
        <v>69</v>
      </c>
      <c r="D15" s="34">
        <v>4.5735999999999999</v>
      </c>
      <c r="E15" s="34">
        <v>6.1128999999999998</v>
      </c>
      <c r="F15" s="34">
        <f t="shared" si="0"/>
        <v>2.7000000000000028</v>
      </c>
      <c r="G15" s="34">
        <f>'CHIEF ENGINEER CABIN'!$F$35</f>
        <v>206.88215799999998</v>
      </c>
      <c r="H15" s="34">
        <f>'CHIEF ENGINEER CABIN'!$F$37</f>
        <v>1832.617599982344</v>
      </c>
    </row>
    <row r="16" spans="2:9" x14ac:dyDescent="0.3">
      <c r="B16" s="32">
        <v>11</v>
      </c>
      <c r="C16" s="37" t="s">
        <v>70</v>
      </c>
      <c r="D16" s="34">
        <v>2.1088</v>
      </c>
      <c r="E16" s="34">
        <v>3.5236000000000001</v>
      </c>
      <c r="F16" s="34">
        <f t="shared" si="0"/>
        <v>2.7000000000000028</v>
      </c>
      <c r="G16" s="34">
        <f>'CHIEF ENGINEER BEDROOM'!$F$35</f>
        <v>86.730124249999989</v>
      </c>
      <c r="H16" s="34">
        <f>'CHIEF ENGINEER BEDROOM'!$F$37</f>
        <v>768.27868427979899</v>
      </c>
    </row>
    <row r="17" spans="2:8" x14ac:dyDescent="0.3">
      <c r="B17" s="32"/>
      <c r="C17" s="37"/>
      <c r="D17" s="36"/>
      <c r="E17" s="36"/>
      <c r="F17" s="36"/>
      <c r="G17" s="32"/>
      <c r="H17" s="32"/>
    </row>
    <row r="18" spans="2:8" x14ac:dyDescent="0.3">
      <c r="B18" s="32"/>
      <c r="C18" s="37"/>
      <c r="D18" s="36"/>
      <c r="E18" s="36"/>
      <c r="F18" s="36"/>
      <c r="G18" s="32"/>
      <c r="H18" s="32"/>
    </row>
    <row r="19" spans="2:8" x14ac:dyDescent="0.3">
      <c r="B19" s="32"/>
      <c r="C19" s="37"/>
      <c r="D19" s="36"/>
      <c r="E19" s="36"/>
      <c r="F19" s="36"/>
      <c r="G19" s="32"/>
      <c r="H19" s="32"/>
    </row>
    <row r="20" spans="2:8" x14ac:dyDescent="0.3">
      <c r="B20" s="32"/>
      <c r="C20" s="37"/>
      <c r="D20" s="36"/>
      <c r="E20" s="36"/>
      <c r="F20" s="36"/>
      <c r="G20" s="32"/>
      <c r="H20" s="32"/>
    </row>
    <row r="21" spans="2:8" x14ac:dyDescent="0.3">
      <c r="B21" s="32"/>
      <c r="C21" s="37"/>
      <c r="D21" s="36"/>
      <c r="E21" s="36"/>
      <c r="F21" s="36"/>
      <c r="G21" s="32"/>
      <c r="H21" s="32"/>
    </row>
    <row r="22" spans="2:8" x14ac:dyDescent="0.3">
      <c r="B22" s="32"/>
      <c r="C22" s="37"/>
      <c r="D22" s="36"/>
      <c r="E22" s="36"/>
      <c r="F22" s="36"/>
      <c r="G22" s="32"/>
      <c r="H22" s="32"/>
    </row>
    <row r="24" spans="2:8" x14ac:dyDescent="0.3">
      <c r="B24" s="29">
        <f>COUNTA(C6:C22)</f>
        <v>11</v>
      </c>
      <c r="C24" s="30" t="s">
        <v>30</v>
      </c>
    </row>
  </sheetData>
  <mergeCells count="6">
    <mergeCell ref="I4:I5"/>
    <mergeCell ref="B4:B5"/>
    <mergeCell ref="C4:C5"/>
    <mergeCell ref="D4:F4"/>
    <mergeCell ref="G4:G5"/>
    <mergeCell ref="H4:H5"/>
  </mergeCells>
  <pageMargins left="0.7" right="0.7" top="0.75" bottom="0.75" header="0.511811023622047" footer="0.511811023622047"/>
  <pageSetup paperSize="9" scale="64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24"/>
  <sheetViews>
    <sheetView zoomScale="95" zoomScaleNormal="95" workbookViewId="0">
      <selection activeCell="I12" sqref="I12"/>
    </sheetView>
  </sheetViews>
  <sheetFormatPr defaultColWidth="8.88671875" defaultRowHeight="15.6" x14ac:dyDescent="0.3"/>
  <cols>
    <col min="1" max="1" width="8.88671875" style="28"/>
    <col min="2" max="2" width="8.88671875" style="29"/>
    <col min="3" max="3" width="22" style="28" customWidth="1"/>
    <col min="4" max="4" width="7.33203125" style="28" customWidth="1"/>
    <col min="5" max="5" width="6.77734375" style="28" customWidth="1"/>
    <col min="6" max="6" width="7.6640625" style="28" customWidth="1"/>
    <col min="7" max="7" width="11.33203125" style="28" customWidth="1"/>
    <col min="8" max="8" width="12.5546875" style="28" customWidth="1"/>
    <col min="9" max="9" width="17.88671875" style="28" customWidth="1"/>
    <col min="10" max="16384" width="8.88671875" style="28"/>
  </cols>
  <sheetData>
    <row r="2" spans="2:9" x14ac:dyDescent="0.3">
      <c r="B2" s="30" t="s">
        <v>18</v>
      </c>
      <c r="C2" s="30"/>
      <c r="D2" s="30"/>
      <c r="E2" s="30"/>
      <c r="F2" s="30"/>
    </row>
    <row r="4" spans="2:9" ht="15" customHeight="1" x14ac:dyDescent="0.3">
      <c r="B4" s="4" t="s">
        <v>9</v>
      </c>
      <c r="C4" s="4" t="s">
        <v>10</v>
      </c>
      <c r="D4" s="4" t="s">
        <v>19</v>
      </c>
      <c r="E4" s="4"/>
      <c r="F4" s="4"/>
      <c r="G4" s="3" t="s">
        <v>20</v>
      </c>
      <c r="H4" s="2" t="s">
        <v>21</v>
      </c>
      <c r="I4" s="1" t="s">
        <v>39</v>
      </c>
    </row>
    <row r="5" spans="2:9" x14ac:dyDescent="0.3">
      <c r="B5" s="4"/>
      <c r="C5" s="4"/>
      <c r="D5" s="31" t="s">
        <v>23</v>
      </c>
      <c r="E5" s="31" t="s">
        <v>24</v>
      </c>
      <c r="F5" s="31" t="s">
        <v>25</v>
      </c>
      <c r="G5" s="3"/>
      <c r="H5" s="2"/>
      <c r="I5" s="1"/>
    </row>
    <row r="6" spans="2:9" x14ac:dyDescent="0.3">
      <c r="B6" s="32">
        <v>1</v>
      </c>
      <c r="C6" s="37" t="s">
        <v>71</v>
      </c>
      <c r="D6" s="34">
        <v>11.238200000000001</v>
      </c>
      <c r="E6" s="34">
        <v>22.467500000000001</v>
      </c>
      <c r="F6" s="34">
        <f>29.5-26.6</f>
        <v>2.8999999999999986</v>
      </c>
      <c r="G6" s="34">
        <f>'WHEEL HOUSE'!$F$35</f>
        <v>1883.5748610000001</v>
      </c>
      <c r="H6" s="34">
        <f>'WHEEL HOUSE'!$F$37</f>
        <v>16685.210916800748</v>
      </c>
    </row>
    <row r="7" spans="2:9" x14ac:dyDescent="0.3">
      <c r="B7" s="32"/>
      <c r="C7" s="37"/>
      <c r="D7" s="36"/>
      <c r="E7" s="36"/>
      <c r="F7" s="36"/>
      <c r="G7" s="32"/>
      <c r="H7" s="32"/>
    </row>
    <row r="8" spans="2:9" x14ac:dyDescent="0.3">
      <c r="B8" s="32"/>
      <c r="C8" s="37"/>
      <c r="D8" s="36"/>
      <c r="E8" s="36"/>
      <c r="F8" s="36"/>
      <c r="G8" s="32"/>
      <c r="H8" s="32"/>
    </row>
    <row r="9" spans="2:9" x14ac:dyDescent="0.3">
      <c r="B9" s="32"/>
      <c r="C9" s="37"/>
      <c r="D9" s="36"/>
      <c r="E9" s="36"/>
      <c r="F9" s="36"/>
      <c r="G9" s="32"/>
      <c r="H9" s="32"/>
    </row>
    <row r="10" spans="2:9" x14ac:dyDescent="0.3">
      <c r="B10" s="32"/>
      <c r="C10" s="37"/>
      <c r="D10" s="36"/>
      <c r="E10" s="36"/>
      <c r="F10" s="36"/>
      <c r="G10" s="32"/>
      <c r="H10" s="32"/>
    </row>
    <row r="11" spans="2:9" x14ac:dyDescent="0.3">
      <c r="B11" s="32"/>
      <c r="C11" s="37"/>
      <c r="D11" s="36"/>
      <c r="E11" s="36"/>
      <c r="F11" s="36"/>
      <c r="G11" s="32"/>
      <c r="H11" s="32"/>
    </row>
    <row r="12" spans="2:9" x14ac:dyDescent="0.3">
      <c r="B12" s="32"/>
      <c r="C12" s="37"/>
      <c r="D12" s="36"/>
      <c r="E12" s="36"/>
      <c r="F12" s="36"/>
      <c r="G12" s="32"/>
      <c r="H12" s="32"/>
    </row>
    <row r="13" spans="2:9" x14ac:dyDescent="0.3">
      <c r="B13" s="32"/>
      <c r="C13" s="37"/>
      <c r="D13" s="36"/>
      <c r="E13" s="36"/>
      <c r="F13" s="36"/>
      <c r="G13" s="32"/>
      <c r="H13" s="32"/>
    </row>
    <row r="14" spans="2:9" x14ac:dyDescent="0.3">
      <c r="B14" s="32"/>
      <c r="C14" s="37"/>
      <c r="D14" s="36"/>
      <c r="E14" s="36"/>
      <c r="F14" s="36"/>
      <c r="G14" s="32"/>
      <c r="H14" s="32"/>
    </row>
    <row r="15" spans="2:9" x14ac:dyDescent="0.3">
      <c r="B15" s="32"/>
      <c r="C15" s="37"/>
      <c r="D15" s="36"/>
      <c r="E15" s="36"/>
      <c r="F15" s="36"/>
      <c r="G15" s="32"/>
      <c r="H15" s="32"/>
    </row>
    <row r="16" spans="2:9" x14ac:dyDescent="0.3">
      <c r="B16" s="32"/>
      <c r="C16" s="37"/>
      <c r="D16" s="36"/>
      <c r="E16" s="36"/>
      <c r="F16" s="36"/>
      <c r="G16" s="32"/>
      <c r="H16" s="32"/>
    </row>
    <row r="17" spans="2:8" x14ac:dyDescent="0.3">
      <c r="B17" s="32"/>
      <c r="C17" s="37"/>
      <c r="D17" s="36"/>
      <c r="E17" s="36"/>
      <c r="F17" s="36"/>
      <c r="G17" s="32"/>
      <c r="H17" s="32"/>
    </row>
    <row r="18" spans="2:8" x14ac:dyDescent="0.3">
      <c r="B18" s="32"/>
      <c r="C18" s="37"/>
      <c r="D18" s="36"/>
      <c r="E18" s="36"/>
      <c r="F18" s="36"/>
      <c r="G18" s="32"/>
      <c r="H18" s="32"/>
    </row>
    <row r="19" spans="2:8" x14ac:dyDescent="0.3">
      <c r="B19" s="32"/>
      <c r="C19" s="37"/>
      <c r="D19" s="36"/>
      <c r="E19" s="36"/>
      <c r="F19" s="36"/>
      <c r="G19" s="32"/>
      <c r="H19" s="32"/>
    </row>
    <row r="20" spans="2:8" x14ac:dyDescent="0.3">
      <c r="B20" s="32"/>
      <c r="C20" s="37"/>
      <c r="D20" s="36"/>
      <c r="E20" s="36"/>
      <c r="F20" s="36"/>
      <c r="G20" s="32"/>
      <c r="H20" s="32"/>
    </row>
    <row r="21" spans="2:8" x14ac:dyDescent="0.3">
      <c r="B21" s="32"/>
      <c r="C21" s="37"/>
      <c r="D21" s="36"/>
      <c r="E21" s="36"/>
      <c r="F21" s="36"/>
      <c r="G21" s="32"/>
      <c r="H21" s="32"/>
    </row>
    <row r="22" spans="2:8" x14ac:dyDescent="0.3">
      <c r="B22" s="32"/>
      <c r="C22" s="37"/>
      <c r="D22" s="36"/>
      <c r="E22" s="36"/>
      <c r="F22" s="36"/>
      <c r="G22" s="32"/>
      <c r="H22" s="32"/>
    </row>
    <row r="24" spans="2:8" x14ac:dyDescent="0.3">
      <c r="B24" s="29">
        <f>COUNTA(C6:C22)</f>
        <v>1</v>
      </c>
      <c r="C24" s="30" t="s">
        <v>30</v>
      </c>
    </row>
  </sheetData>
  <mergeCells count="6">
    <mergeCell ref="I4:I5"/>
    <mergeCell ref="B4:B5"/>
    <mergeCell ref="C4:C5"/>
    <mergeCell ref="D4:F4"/>
    <mergeCell ref="G4:G5"/>
    <mergeCell ref="H4:H5"/>
  </mergeCells>
  <pageMargins left="0.7" right="0.7" top="0.75" bottom="0.75" header="0.511811023622047" footer="0.511811023622047"/>
  <pageSetup paperSize="9" scale="64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T254"/>
  <sheetViews>
    <sheetView zoomScale="95" zoomScaleNormal="95" workbookViewId="0"/>
  </sheetViews>
  <sheetFormatPr defaultColWidth="8.88671875" defaultRowHeight="13.8" x14ac:dyDescent="0.3"/>
  <cols>
    <col min="1" max="1" width="29.1093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5.8867187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8.777343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78</v>
      </c>
      <c r="B2" s="11"/>
      <c r="C2" s="11">
        <v>4001</v>
      </c>
      <c r="D2" s="11"/>
      <c r="E2" s="43" t="s">
        <v>79</v>
      </c>
      <c r="F2" s="43" t="s">
        <v>80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97</v>
      </c>
      <c r="B5" s="46">
        <v>6</v>
      </c>
      <c r="C5" s="47" t="s">
        <v>98</v>
      </c>
      <c r="D5" s="44" t="s">
        <v>99</v>
      </c>
      <c r="E5" s="46" t="s">
        <v>100</v>
      </c>
      <c r="F5" s="48">
        <f>10.7639 * (5.4812*3)</f>
        <v>176.99726604</v>
      </c>
      <c r="G5" s="46">
        <v>78</v>
      </c>
      <c r="H5" s="46">
        <v>105</v>
      </c>
      <c r="I5" s="49">
        <f t="shared" ref="I5:I10" si="0">H5-G5</f>
        <v>27</v>
      </c>
      <c r="J5" s="46">
        <v>0.93</v>
      </c>
      <c r="K5" s="46" t="str">
        <f>_xlfn.UNICHAR(8596)</f>
        <v>↔</v>
      </c>
      <c r="L5" s="50">
        <f t="shared" ref="L5:L10" si="1">F5*I5*J5</f>
        <v>4444.4013502644002</v>
      </c>
      <c r="M5" s="49"/>
      <c r="N5" s="50">
        <f t="shared" ref="N5:N10" si="2">L5+M5</f>
        <v>4444.4013502644002</v>
      </c>
      <c r="O5" s="46">
        <v>78</v>
      </c>
      <c r="P5" s="46">
        <v>78</v>
      </c>
      <c r="Q5" s="49">
        <f t="shared" ref="Q5:Q10" si="3">O5-P5</f>
        <v>0</v>
      </c>
      <c r="R5" s="46">
        <f t="shared" ref="R5:S10" si="4">J5</f>
        <v>0.93</v>
      </c>
      <c r="S5" s="49" t="str">
        <f t="shared" si="4"/>
        <v>↔</v>
      </c>
      <c r="T5" s="51">
        <f t="shared" ref="T5:T10" si="5">F5*Q5*R5</f>
        <v>0</v>
      </c>
    </row>
    <row r="6" spans="1:20" x14ac:dyDescent="0.3">
      <c r="A6" s="45" t="s">
        <v>101</v>
      </c>
      <c r="B6" s="46">
        <v>6</v>
      </c>
      <c r="C6" s="47" t="s">
        <v>98</v>
      </c>
      <c r="D6" s="44" t="s">
        <v>99</v>
      </c>
      <c r="E6" s="46" t="s">
        <v>102</v>
      </c>
      <c r="F6" s="48">
        <f>10.7639 *(2.8*3)</f>
        <v>90.416759999999982</v>
      </c>
      <c r="G6" s="46">
        <v>78</v>
      </c>
      <c r="H6" s="46">
        <v>78</v>
      </c>
      <c r="I6" s="49">
        <f t="shared" si="0"/>
        <v>0</v>
      </c>
      <c r="J6" s="46">
        <v>0.93</v>
      </c>
      <c r="K6" s="46" t="str">
        <f>_xlfn.UNICHAR(8596)</f>
        <v>↔</v>
      </c>
      <c r="L6" s="50">
        <f t="shared" si="1"/>
        <v>0</v>
      </c>
      <c r="M6" s="49"/>
      <c r="N6" s="50">
        <f t="shared" si="2"/>
        <v>0</v>
      </c>
      <c r="O6" s="46">
        <v>78</v>
      </c>
      <c r="P6" s="46">
        <v>40</v>
      </c>
      <c r="Q6" s="49">
        <f t="shared" si="3"/>
        <v>38</v>
      </c>
      <c r="R6" s="46">
        <f t="shared" si="4"/>
        <v>0.93</v>
      </c>
      <c r="S6" s="49" t="str">
        <f t="shared" si="4"/>
        <v>↔</v>
      </c>
      <c r="T6" s="50">
        <f t="shared" si="5"/>
        <v>3195.3282983999998</v>
      </c>
    </row>
    <row r="7" spans="1:20" x14ac:dyDescent="0.3">
      <c r="A7" s="45" t="s">
        <v>103</v>
      </c>
      <c r="B7" s="46">
        <v>6</v>
      </c>
      <c r="C7" s="47" t="s">
        <v>104</v>
      </c>
      <c r="D7" s="44" t="s">
        <v>99</v>
      </c>
      <c r="E7" s="46" t="s">
        <v>100</v>
      </c>
      <c r="F7" s="48">
        <f>10.7639 *(5.4812*3)</f>
        <v>176.99726604</v>
      </c>
      <c r="G7" s="46">
        <v>78</v>
      </c>
      <c r="H7" s="46">
        <v>78</v>
      </c>
      <c r="I7" s="49">
        <f t="shared" si="0"/>
        <v>0</v>
      </c>
      <c r="J7" s="46">
        <v>0.313</v>
      </c>
      <c r="K7" s="46" t="str">
        <f>_xlfn.UNICHAR(8596)</f>
        <v>↔</v>
      </c>
      <c r="L7" s="50">
        <f t="shared" si="1"/>
        <v>0</v>
      </c>
      <c r="M7" s="49"/>
      <c r="N7" s="50">
        <f t="shared" si="2"/>
        <v>0</v>
      </c>
      <c r="O7" s="46">
        <v>78</v>
      </c>
      <c r="P7" s="46">
        <v>78</v>
      </c>
      <c r="Q7" s="49">
        <f t="shared" si="3"/>
        <v>0</v>
      </c>
      <c r="R7" s="46">
        <f t="shared" si="4"/>
        <v>0.313</v>
      </c>
      <c r="S7" s="49" t="str">
        <f t="shared" si="4"/>
        <v>↔</v>
      </c>
      <c r="T7" s="51">
        <f t="shared" si="5"/>
        <v>0</v>
      </c>
    </row>
    <row r="8" spans="1:20" x14ac:dyDescent="0.3">
      <c r="A8" s="45" t="s">
        <v>105</v>
      </c>
      <c r="B8" s="46">
        <v>2</v>
      </c>
      <c r="C8" s="47" t="s">
        <v>98</v>
      </c>
      <c r="D8" s="44" t="s">
        <v>106</v>
      </c>
      <c r="E8" s="46" t="s">
        <v>107</v>
      </c>
      <c r="F8" s="48">
        <f>10.7639 *(5.4812*2.8)</f>
        <v>165.19744830400001</v>
      </c>
      <c r="G8" s="46">
        <v>78</v>
      </c>
      <c r="H8" s="46">
        <v>120</v>
      </c>
      <c r="I8" s="49">
        <f t="shared" si="0"/>
        <v>42</v>
      </c>
      <c r="J8" s="46">
        <v>0.80100000000000005</v>
      </c>
      <c r="K8" s="46" t="str">
        <f>_xlfn.UNICHAR(8595)</f>
        <v>↓</v>
      </c>
      <c r="L8" s="50">
        <f t="shared" si="1"/>
        <v>5557.5725558431686</v>
      </c>
      <c r="M8" s="49"/>
      <c r="N8" s="50">
        <f t="shared" si="2"/>
        <v>5557.5725558431686</v>
      </c>
      <c r="O8" s="46">
        <v>78</v>
      </c>
      <c r="P8" s="46">
        <v>78</v>
      </c>
      <c r="Q8" s="49">
        <f t="shared" si="3"/>
        <v>0</v>
      </c>
      <c r="R8" s="46">
        <f t="shared" si="4"/>
        <v>0.80100000000000005</v>
      </c>
      <c r="S8" s="49" t="str">
        <f t="shared" si="4"/>
        <v>↓</v>
      </c>
      <c r="T8" s="51">
        <f t="shared" si="5"/>
        <v>0</v>
      </c>
    </row>
    <row r="9" spans="1:20" x14ac:dyDescent="0.3">
      <c r="A9" s="45" t="s">
        <v>108</v>
      </c>
      <c r="B9" s="46">
        <v>3</v>
      </c>
      <c r="C9" s="47" t="s">
        <v>98</v>
      </c>
      <c r="D9" s="44" t="s">
        <v>90</v>
      </c>
      <c r="E9" s="46" t="s">
        <v>107</v>
      </c>
      <c r="F9" s="48">
        <f>10.7639 *(5.4812*2.8)</f>
        <v>165.19744830400001</v>
      </c>
      <c r="G9" s="46">
        <v>78</v>
      </c>
      <c r="H9" s="46">
        <v>95</v>
      </c>
      <c r="I9" s="49">
        <f t="shared" si="0"/>
        <v>17</v>
      </c>
      <c r="J9" s="46">
        <v>1.4910000000000001</v>
      </c>
      <c r="K9" s="46" t="str">
        <f>_xlfn.UNICHAR(8593)</f>
        <v>↑</v>
      </c>
      <c r="L9" s="50">
        <f t="shared" si="1"/>
        <v>4187.2597221614878</v>
      </c>
      <c r="M9" s="49"/>
      <c r="N9" s="50">
        <f t="shared" si="2"/>
        <v>4187.2597221614878</v>
      </c>
      <c r="O9" s="46">
        <v>78</v>
      </c>
      <c r="P9" s="46">
        <v>78</v>
      </c>
      <c r="Q9" s="49">
        <f t="shared" si="3"/>
        <v>0</v>
      </c>
      <c r="R9" s="46">
        <f t="shared" si="4"/>
        <v>1.4910000000000001</v>
      </c>
      <c r="S9" s="49" t="str">
        <f t="shared" si="4"/>
        <v>↑</v>
      </c>
      <c r="T9" s="51">
        <f t="shared" si="5"/>
        <v>0</v>
      </c>
    </row>
    <row r="10" spans="1:20" x14ac:dyDescent="0.3">
      <c r="A10" s="39" t="s">
        <v>108</v>
      </c>
      <c r="B10" s="40">
        <v>3</v>
      </c>
      <c r="C10" s="47" t="s">
        <v>98</v>
      </c>
      <c r="D10" s="40" t="s">
        <v>99</v>
      </c>
      <c r="E10" s="46" t="s">
        <v>102</v>
      </c>
      <c r="F10" s="48">
        <f>10.7639 *(2.8*3)</f>
        <v>90.416759999999982</v>
      </c>
      <c r="G10" s="46">
        <v>78</v>
      </c>
      <c r="H10" s="46">
        <v>95</v>
      </c>
      <c r="I10" s="49">
        <f t="shared" si="0"/>
        <v>17</v>
      </c>
      <c r="J10" s="46">
        <v>1.32</v>
      </c>
      <c r="K10" s="46" t="str">
        <f>_xlfn.UNICHAR(8596)</f>
        <v>↔</v>
      </c>
      <c r="L10" s="50">
        <f t="shared" si="1"/>
        <v>2028.9520943999999</v>
      </c>
      <c r="M10" s="49"/>
      <c r="N10" s="50">
        <f t="shared" si="2"/>
        <v>2028.9520943999999</v>
      </c>
      <c r="O10" s="46">
        <v>78</v>
      </c>
      <c r="P10" s="46">
        <v>78</v>
      </c>
      <c r="Q10" s="49">
        <f t="shared" si="3"/>
        <v>0</v>
      </c>
      <c r="R10" s="46">
        <f t="shared" si="4"/>
        <v>1.32</v>
      </c>
      <c r="S10" s="49" t="str">
        <f t="shared" si="4"/>
        <v>↔</v>
      </c>
      <c r="T10" s="51">
        <f t="shared" si="5"/>
        <v>0</v>
      </c>
    </row>
    <row r="14" spans="1:20" x14ac:dyDescent="0.3">
      <c r="A14" s="52" t="s">
        <v>109</v>
      </c>
      <c r="B14" s="44"/>
      <c r="C14" s="47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50">
        <f>SUM(N5:N10)</f>
        <v>16218.185722669055</v>
      </c>
      <c r="O14" s="44"/>
      <c r="P14" s="44"/>
      <c r="Q14" s="44"/>
      <c r="R14" s="44"/>
      <c r="S14" s="44"/>
      <c r="T14" s="50">
        <f>SUM(T5:T9)</f>
        <v>3195.3282983999998</v>
      </c>
    </row>
    <row r="20" spans="1:20" x14ac:dyDescent="0.3">
      <c r="A20" s="39" t="s">
        <v>110</v>
      </c>
      <c r="B20" s="40">
        <v>8</v>
      </c>
      <c r="F20" s="46">
        <f>(10.7639 * (0.6*0.5))*0</f>
        <v>0</v>
      </c>
      <c r="G20" s="44"/>
      <c r="H20" s="44"/>
      <c r="I20" s="49"/>
      <c r="J20" s="44"/>
      <c r="K20" s="44"/>
      <c r="L20" s="46">
        <f>F20*160</f>
        <v>0</v>
      </c>
      <c r="M20" s="44"/>
      <c r="N20" s="50">
        <f>L20+M20</f>
        <v>0</v>
      </c>
    </row>
    <row r="21" spans="1:20" x14ac:dyDescent="0.3">
      <c r="A21" s="53" t="s">
        <v>111</v>
      </c>
      <c r="B21" s="44">
        <v>7</v>
      </c>
      <c r="C21" s="47"/>
      <c r="D21" s="44"/>
      <c r="E21" s="44"/>
      <c r="F21" s="48">
        <f>F9</f>
        <v>165.19744830400001</v>
      </c>
      <c r="G21" s="44"/>
      <c r="H21" s="44"/>
      <c r="I21" s="44"/>
      <c r="J21" s="44"/>
      <c r="K21" s="44"/>
      <c r="L21" s="48">
        <f>F21*4</f>
        <v>660.78979321600002</v>
      </c>
      <c r="M21" s="44"/>
      <c r="N21" s="50">
        <f>L21+M21</f>
        <v>660.78979321600002</v>
      </c>
      <c r="O21" s="44"/>
      <c r="P21" s="44"/>
      <c r="Q21" s="44"/>
      <c r="R21" s="44"/>
      <c r="S21" s="44"/>
      <c r="T21" s="54"/>
    </row>
    <row r="22" spans="1:20" x14ac:dyDescent="0.3">
      <c r="A22" s="53" t="s">
        <v>112</v>
      </c>
      <c r="B22" s="44">
        <v>8</v>
      </c>
      <c r="C22" s="47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0">
        <f>L22+M22</f>
        <v>0</v>
      </c>
      <c r="O22" s="44"/>
      <c r="P22" s="44"/>
      <c r="Q22" s="44"/>
      <c r="R22" s="44"/>
      <c r="S22" s="44"/>
      <c r="T22" s="54"/>
    </row>
    <row r="23" spans="1:20" x14ac:dyDescent="0.3">
      <c r="A23" s="53" t="s">
        <v>113</v>
      </c>
      <c r="B23" s="44"/>
      <c r="C23" s="47"/>
      <c r="D23" s="44"/>
      <c r="E23" s="44"/>
      <c r="F23" s="44"/>
      <c r="G23" s="44"/>
      <c r="H23" s="44"/>
      <c r="I23" s="44"/>
      <c r="J23" s="44"/>
      <c r="K23" s="44"/>
      <c r="L23" s="55">
        <f>30</f>
        <v>30</v>
      </c>
      <c r="M23" s="55">
        <v>30</v>
      </c>
      <c r="N23" s="50">
        <f>L23+M23</f>
        <v>60</v>
      </c>
      <c r="O23" s="44"/>
      <c r="P23" s="44"/>
      <c r="Q23" s="44"/>
      <c r="R23" s="44"/>
      <c r="S23" s="44"/>
      <c r="T23" s="44"/>
    </row>
    <row r="24" spans="1:20" x14ac:dyDescent="0.3">
      <c r="A24" s="53" t="s">
        <v>114</v>
      </c>
      <c r="B24" s="44">
        <v>9</v>
      </c>
      <c r="C24" s="47"/>
      <c r="D24" s="44"/>
      <c r="E24" s="44"/>
      <c r="F24" s="44"/>
      <c r="G24" s="44"/>
      <c r="H24" s="44"/>
      <c r="I24" s="44"/>
      <c r="J24" s="44"/>
      <c r="K24" s="44"/>
      <c r="L24" s="46">
        <f>1*315</f>
        <v>315</v>
      </c>
      <c r="M24" s="46">
        <f>1*485</f>
        <v>485</v>
      </c>
      <c r="N24" s="50">
        <f>L24+M24</f>
        <v>800</v>
      </c>
      <c r="O24" s="44"/>
      <c r="P24" s="44"/>
      <c r="Q24" s="44"/>
      <c r="R24" s="44"/>
      <c r="S24" s="44"/>
      <c r="T24" s="54"/>
    </row>
    <row r="29" spans="1:20" x14ac:dyDescent="0.3">
      <c r="A29" s="52" t="s">
        <v>115</v>
      </c>
      <c r="B29" s="44"/>
      <c r="C29" s="47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SUM(N11:N24)</f>
        <v>17738.975515885057</v>
      </c>
      <c r="O29" s="44"/>
      <c r="P29" s="44"/>
      <c r="Q29" s="44"/>
      <c r="R29" s="44"/>
      <c r="S29" s="44"/>
      <c r="T29" s="50">
        <f>SUM(T11:T24)</f>
        <v>3195.3282983999998</v>
      </c>
    </row>
    <row r="30" spans="1:20" x14ac:dyDescent="0.3">
      <c r="A30" s="52" t="s">
        <v>115</v>
      </c>
      <c r="B30" s="44"/>
      <c r="C30" s="47"/>
      <c r="D30" s="44"/>
      <c r="E30" s="44"/>
      <c r="F30" s="44"/>
      <c r="G30" s="10">
        <f>N29+T29</f>
        <v>20934.303814285056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165.19744830400001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1463.3632699929776</v>
      </c>
      <c r="G37" s="44" t="s">
        <v>124</v>
      </c>
    </row>
    <row r="38" spans="1:20" x14ac:dyDescent="0.3">
      <c r="E38" s="44" t="s">
        <v>125</v>
      </c>
      <c r="F38" s="56">
        <f>F37/30</f>
        <v>48.778775666432587</v>
      </c>
      <c r="G38" s="44" t="s">
        <v>126</v>
      </c>
    </row>
    <row r="39" spans="1:20" x14ac:dyDescent="0.3">
      <c r="E39" s="44" t="s">
        <v>127</v>
      </c>
      <c r="F39" s="50">
        <f>SUM($L$5:$L$28)</f>
        <v>17223.975515885057</v>
      </c>
      <c r="G39" s="44" t="s">
        <v>128</v>
      </c>
    </row>
    <row r="40" spans="1:20" x14ac:dyDescent="0.3">
      <c r="E40" s="44" t="s">
        <v>129</v>
      </c>
      <c r="F40" s="49">
        <f>SUM($M$5:$M$28)</f>
        <v>515</v>
      </c>
      <c r="G40" s="44" t="s">
        <v>128</v>
      </c>
    </row>
    <row r="41" spans="1:20" x14ac:dyDescent="0.3">
      <c r="E41" s="44" t="s">
        <v>130</v>
      </c>
      <c r="F41" s="50">
        <f>N29</f>
        <v>17738.975515885057</v>
      </c>
      <c r="G41" s="44" t="s">
        <v>128</v>
      </c>
    </row>
    <row r="42" spans="1:20" x14ac:dyDescent="0.3">
      <c r="E42" s="44" t="s">
        <v>131</v>
      </c>
      <c r="F42" s="50">
        <f>T29</f>
        <v>3195.3282983999998</v>
      </c>
      <c r="G42" s="44" t="s">
        <v>128</v>
      </c>
    </row>
    <row r="43" spans="1:20" x14ac:dyDescent="0.3">
      <c r="E43" s="44" t="s">
        <v>132</v>
      </c>
      <c r="F43" s="56">
        <f>F39/(1.08*F33)</f>
        <v>637.92501910685394</v>
      </c>
      <c r="G43" s="44" t="s">
        <v>126</v>
      </c>
    </row>
    <row r="44" spans="1:20" x14ac:dyDescent="0.3">
      <c r="E44" s="44" t="s">
        <v>126</v>
      </c>
      <c r="F44" s="57">
        <f>ROUNDUP(F43,0)</f>
        <v>638</v>
      </c>
      <c r="G44" s="44" t="s">
        <v>126</v>
      </c>
    </row>
    <row r="45" spans="1:20" x14ac:dyDescent="0.3">
      <c r="E45" s="44" t="s">
        <v>133</v>
      </c>
      <c r="F45" s="50">
        <f>F44*0.0002930711</f>
        <v>0.18697936179999999</v>
      </c>
      <c r="G45" s="44" t="s">
        <v>134</v>
      </c>
    </row>
    <row r="46" spans="1:20" x14ac:dyDescent="0.3">
      <c r="E46" s="44" t="s">
        <v>135</v>
      </c>
      <c r="F46" s="50">
        <f>F39/F41</f>
        <v>0.97096788371240361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T56"/>
  <sheetViews>
    <sheetView zoomScale="95" zoomScaleNormal="95" workbookViewId="0">
      <selection activeCell="L15" sqref="L15"/>
    </sheetView>
  </sheetViews>
  <sheetFormatPr defaultColWidth="8.5546875" defaultRowHeight="14.4" x14ac:dyDescent="0.3"/>
  <cols>
    <col min="1" max="1" width="30.6640625" customWidth="1"/>
    <col min="2" max="2" width="11.44140625" customWidth="1"/>
    <col min="3" max="3" width="25.6640625" customWidth="1"/>
    <col min="4" max="4" width="12.6640625" customWidth="1"/>
    <col min="5" max="5" width="26.33203125" customWidth="1"/>
    <col min="6" max="6" width="18.77734375" customWidth="1"/>
    <col min="7" max="7" width="6.109375" customWidth="1"/>
    <col min="8" max="8" width="4" customWidth="1"/>
    <col min="9" max="9" width="3.44140625" customWidth="1"/>
    <col min="10" max="10" width="7.21875" customWidth="1"/>
    <col min="11" max="11" width="4.44140625" customWidth="1"/>
    <col min="12" max="12" width="8.77734375" customWidth="1"/>
    <col min="13" max="13" width="4" customWidth="1"/>
    <col min="14" max="14" width="9" customWidth="1"/>
    <col min="15" max="15" width="3" customWidth="1"/>
    <col min="16" max="16" width="4" customWidth="1"/>
    <col min="17" max="17" width="3.44140625" customWidth="1"/>
    <col min="18" max="18" width="7.21875" customWidth="1"/>
    <col min="19" max="19" width="4.44140625" customWidth="1"/>
    <col min="20" max="20" width="12" customWidth="1"/>
  </cols>
  <sheetData>
    <row r="1" spans="1:20" ht="14.2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62" t="s">
        <v>171</v>
      </c>
      <c r="H1" s="162"/>
      <c r="I1" s="162"/>
      <c r="J1" s="162"/>
      <c r="K1" s="162"/>
      <c r="L1" s="162"/>
      <c r="M1" s="162"/>
      <c r="N1" s="162"/>
      <c r="O1" s="12" t="s">
        <v>172</v>
      </c>
      <c r="P1" s="12"/>
      <c r="Q1" s="12"/>
      <c r="R1" s="12"/>
      <c r="S1" s="12"/>
      <c r="T1" s="12"/>
    </row>
    <row r="2" spans="1:20" x14ac:dyDescent="0.3">
      <c r="A2" s="11" t="s">
        <v>101</v>
      </c>
      <c r="B2" s="11"/>
      <c r="C2" s="11">
        <v>4002</v>
      </c>
      <c r="D2" s="11"/>
      <c r="E2" s="43" t="s">
        <v>79</v>
      </c>
      <c r="F2" s="43"/>
      <c r="G2" s="162"/>
      <c r="H2" s="162"/>
      <c r="I2" s="162"/>
      <c r="J2" s="162"/>
      <c r="K2" s="162"/>
      <c r="L2" s="162"/>
      <c r="M2" s="162"/>
      <c r="N2" s="162"/>
      <c r="O2" s="12"/>
      <c r="P2" s="12"/>
      <c r="Q2" s="12"/>
      <c r="R2" s="12"/>
      <c r="S2" s="12"/>
      <c r="T2" s="12"/>
    </row>
    <row r="3" spans="1:20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78</v>
      </c>
      <c r="B5" s="46">
        <v>6</v>
      </c>
      <c r="C5" s="47" t="s">
        <v>173</v>
      </c>
      <c r="D5" s="44" t="s">
        <v>99</v>
      </c>
      <c r="E5" s="46" t="s">
        <v>102</v>
      </c>
      <c r="F5" s="48">
        <f>10.7639 * (2.8 * 3)</f>
        <v>90.416759999999982</v>
      </c>
      <c r="G5" s="46">
        <v>40</v>
      </c>
      <c r="H5" s="46">
        <v>78</v>
      </c>
      <c r="I5" s="49">
        <f t="shared" ref="I5:I13" si="0">H5-G5</f>
        <v>38</v>
      </c>
      <c r="J5" s="46">
        <v>6.3E-2</v>
      </c>
      <c r="K5" s="46" t="str">
        <f>_xlfn.UNICHAR(8596)</f>
        <v>↔</v>
      </c>
      <c r="L5" s="50">
        <f t="shared" ref="L5:L13" si="1">F5*I5*J5</f>
        <v>216.45772343999997</v>
      </c>
      <c r="M5" s="49"/>
      <c r="N5" s="49">
        <f t="shared" ref="N5:N13" si="2">L5+M5</f>
        <v>216.45772343999997</v>
      </c>
      <c r="O5" s="46">
        <v>40</v>
      </c>
      <c r="P5" s="46">
        <v>40</v>
      </c>
      <c r="Q5" s="49">
        <f t="shared" ref="Q5:Q13" si="3">P5-O5</f>
        <v>0</v>
      </c>
      <c r="R5" s="46">
        <v>0.1</v>
      </c>
      <c r="S5" s="46" t="str">
        <f t="shared" ref="S5:S13" si="4">K5</f>
        <v>↔</v>
      </c>
      <c r="T5" s="49">
        <f t="shared" ref="T5:T13" si="5">F5*Q5*R5</f>
        <v>0</v>
      </c>
    </row>
    <row r="6" spans="1:20" x14ac:dyDescent="0.3">
      <c r="A6" s="45" t="s">
        <v>174</v>
      </c>
      <c r="B6" s="46">
        <v>6</v>
      </c>
      <c r="C6" s="47" t="s">
        <v>175</v>
      </c>
      <c r="D6" s="44" t="s">
        <v>99</v>
      </c>
      <c r="E6" s="46" t="s">
        <v>176</v>
      </c>
      <c r="F6" s="48">
        <f>10.7639 * (0.7*3+1.8*3)</f>
        <v>80.729249999999993</v>
      </c>
      <c r="G6" s="46">
        <v>40</v>
      </c>
      <c r="H6" s="46">
        <v>120</v>
      </c>
      <c r="I6" s="49">
        <f t="shared" si="0"/>
        <v>80</v>
      </c>
      <c r="J6" s="46">
        <v>0.158</v>
      </c>
      <c r="K6" s="46" t="str">
        <f>_xlfn.UNICHAR(8596)</f>
        <v>↔</v>
      </c>
      <c r="L6" s="50">
        <f t="shared" si="1"/>
        <v>1020.4177199999999</v>
      </c>
      <c r="M6" s="49"/>
      <c r="N6" s="49">
        <f t="shared" si="2"/>
        <v>1020.4177199999999</v>
      </c>
      <c r="O6" s="46">
        <v>40</v>
      </c>
      <c r="P6" s="46">
        <v>40</v>
      </c>
      <c r="Q6" s="49">
        <f t="shared" si="3"/>
        <v>0</v>
      </c>
      <c r="R6" s="46">
        <v>0.1</v>
      </c>
      <c r="S6" s="46" t="str">
        <f t="shared" si="4"/>
        <v>↔</v>
      </c>
      <c r="T6" s="49">
        <f t="shared" si="5"/>
        <v>0</v>
      </c>
    </row>
    <row r="7" spans="1:20" x14ac:dyDescent="0.3">
      <c r="A7" s="45" t="s">
        <v>103</v>
      </c>
      <c r="B7" s="46">
        <v>6</v>
      </c>
      <c r="C7" s="47" t="s">
        <v>104</v>
      </c>
      <c r="D7" s="44" t="s">
        <v>99</v>
      </c>
      <c r="E7" s="46" t="s">
        <v>177</v>
      </c>
      <c r="F7" s="48">
        <f>10.7639 *(3.6 * 3)</f>
        <v>116.25012000000001</v>
      </c>
      <c r="G7" s="46">
        <v>40</v>
      </c>
      <c r="H7" s="46">
        <v>78</v>
      </c>
      <c r="I7" s="49">
        <f t="shared" si="0"/>
        <v>38</v>
      </c>
      <c r="J7" s="46">
        <v>0.313</v>
      </c>
      <c r="K7" s="46" t="str">
        <f>_xlfn.UNICHAR(8596)</f>
        <v>↔</v>
      </c>
      <c r="L7" s="50">
        <f t="shared" si="1"/>
        <v>1382.6789272800002</v>
      </c>
      <c r="M7" s="49"/>
      <c r="N7" s="49">
        <f t="shared" si="2"/>
        <v>1382.6789272800002</v>
      </c>
      <c r="O7" s="46">
        <v>40</v>
      </c>
      <c r="P7" s="46">
        <v>40</v>
      </c>
      <c r="Q7" s="49">
        <f t="shared" si="3"/>
        <v>0</v>
      </c>
      <c r="R7" s="46">
        <v>0.1</v>
      </c>
      <c r="S7" s="46" t="str">
        <f t="shared" si="4"/>
        <v>↔</v>
      </c>
      <c r="T7" s="49">
        <f t="shared" si="5"/>
        <v>0</v>
      </c>
    </row>
    <row r="8" spans="1:20" x14ac:dyDescent="0.3">
      <c r="A8" s="45" t="s">
        <v>178</v>
      </c>
      <c r="B8" s="46">
        <v>6</v>
      </c>
      <c r="C8" s="47" t="s">
        <v>175</v>
      </c>
      <c r="D8" s="44" t="s">
        <v>99</v>
      </c>
      <c r="E8" s="46" t="s">
        <v>179</v>
      </c>
      <c r="F8" s="48">
        <f>10.7639 * (2.4 * 3)</f>
        <v>77.500079999999983</v>
      </c>
      <c r="G8" s="46">
        <v>40</v>
      </c>
      <c r="H8" s="46">
        <v>130</v>
      </c>
      <c r="I8" s="49">
        <f t="shared" si="0"/>
        <v>90</v>
      </c>
      <c r="J8" s="46">
        <v>0.158</v>
      </c>
      <c r="K8" s="46" t="str">
        <f>_xlfn.UNICHAR(8596)</f>
        <v>↔</v>
      </c>
      <c r="L8" s="50">
        <f t="shared" si="1"/>
        <v>1102.0511375999997</v>
      </c>
      <c r="M8" s="49"/>
      <c r="N8" s="49">
        <f t="shared" si="2"/>
        <v>1102.0511375999997</v>
      </c>
      <c r="O8" s="46">
        <v>40</v>
      </c>
      <c r="P8" s="46">
        <v>40</v>
      </c>
      <c r="Q8" s="49">
        <f t="shared" si="3"/>
        <v>0</v>
      </c>
      <c r="R8" s="46">
        <v>0.1</v>
      </c>
      <c r="S8" s="46" t="str">
        <f t="shared" si="4"/>
        <v>↔</v>
      </c>
      <c r="T8" s="49">
        <f t="shared" si="5"/>
        <v>0</v>
      </c>
    </row>
    <row r="9" spans="1:20" x14ac:dyDescent="0.3">
      <c r="A9" s="45" t="s">
        <v>180</v>
      </c>
      <c r="B9" s="46">
        <v>6</v>
      </c>
      <c r="C9" s="47" t="s">
        <v>104</v>
      </c>
      <c r="D9" s="44" t="s">
        <v>99</v>
      </c>
      <c r="E9" s="46" t="s">
        <v>181</v>
      </c>
      <c r="F9" s="48">
        <f>10.7639 * (2.1*3)</f>
        <v>67.812570000000008</v>
      </c>
      <c r="G9" s="46">
        <v>40</v>
      </c>
      <c r="H9" s="46">
        <v>85</v>
      </c>
      <c r="I9" s="49">
        <f t="shared" si="0"/>
        <v>45</v>
      </c>
      <c r="J9" s="46">
        <v>0.313</v>
      </c>
      <c r="K9" s="46" t="str">
        <f>_xlfn.UNICHAR(8596)</f>
        <v>↔</v>
      </c>
      <c r="L9" s="50">
        <f t="shared" si="1"/>
        <v>955.14004845000011</v>
      </c>
      <c r="M9" s="49"/>
      <c r="N9" s="49">
        <f t="shared" si="2"/>
        <v>955.14004845000011</v>
      </c>
      <c r="O9" s="46">
        <v>40</v>
      </c>
      <c r="P9" s="46">
        <v>40</v>
      </c>
      <c r="Q9" s="49">
        <f t="shared" si="3"/>
        <v>0</v>
      </c>
      <c r="R9" s="46">
        <v>0.1</v>
      </c>
      <c r="S9" s="46" t="str">
        <f t="shared" si="4"/>
        <v>↔</v>
      </c>
      <c r="T9" s="49">
        <f t="shared" si="5"/>
        <v>0</v>
      </c>
    </row>
    <row r="10" spans="1:20" x14ac:dyDescent="0.3">
      <c r="A10" s="45" t="s">
        <v>182</v>
      </c>
      <c r="B10" s="46">
        <v>2</v>
      </c>
      <c r="C10" s="47" t="s">
        <v>175</v>
      </c>
      <c r="D10" s="44" t="s">
        <v>99</v>
      </c>
      <c r="E10" s="46" t="s">
        <v>183</v>
      </c>
      <c r="F10" s="48">
        <f>10.7639 * (10.5)</f>
        <v>113.02095</v>
      </c>
      <c r="G10" s="46">
        <v>40</v>
      </c>
      <c r="H10" s="46">
        <v>120</v>
      </c>
      <c r="I10" s="49">
        <f t="shared" si="0"/>
        <v>80</v>
      </c>
      <c r="J10" s="46">
        <v>0.158</v>
      </c>
      <c r="K10" s="46" t="str">
        <f>_xlfn.UNICHAR(8595)</f>
        <v>↓</v>
      </c>
      <c r="L10" s="50">
        <f t="shared" si="1"/>
        <v>1428.5848079999998</v>
      </c>
      <c r="M10" s="49"/>
      <c r="N10" s="49">
        <f t="shared" si="2"/>
        <v>1428.5848079999998</v>
      </c>
      <c r="O10" s="46">
        <v>40</v>
      </c>
      <c r="P10" s="46">
        <v>40</v>
      </c>
      <c r="Q10" s="49">
        <f t="shared" si="3"/>
        <v>0</v>
      </c>
      <c r="R10" s="46">
        <v>0.1</v>
      </c>
      <c r="S10" s="46" t="str">
        <f t="shared" si="4"/>
        <v>↓</v>
      </c>
      <c r="T10" s="49">
        <f t="shared" si="5"/>
        <v>0</v>
      </c>
    </row>
    <row r="11" spans="1:20" x14ac:dyDescent="0.3">
      <c r="A11" s="45" t="s">
        <v>108</v>
      </c>
      <c r="B11" s="46">
        <v>1</v>
      </c>
      <c r="C11" s="47" t="s">
        <v>104</v>
      </c>
      <c r="D11" s="44" t="s">
        <v>99</v>
      </c>
      <c r="E11" s="46" t="s">
        <v>184</v>
      </c>
      <c r="F11" s="48">
        <f>10.7639 * (1.4*4.2)</f>
        <v>63.291731999999996</v>
      </c>
      <c r="G11" s="46">
        <v>40</v>
      </c>
      <c r="H11" s="46">
        <v>95</v>
      </c>
      <c r="I11" s="49">
        <f t="shared" si="0"/>
        <v>55</v>
      </c>
      <c r="J11" s="46">
        <v>0.313</v>
      </c>
      <c r="K11" s="46" t="str">
        <f>_xlfn.UNICHAR(8593)</f>
        <v>↑</v>
      </c>
      <c r="L11" s="50">
        <f t="shared" si="1"/>
        <v>1089.5671663799999</v>
      </c>
      <c r="M11" s="49"/>
      <c r="N11" s="49">
        <f t="shared" si="2"/>
        <v>1089.5671663799999</v>
      </c>
      <c r="O11" s="46">
        <v>40</v>
      </c>
      <c r="P11" s="46">
        <v>40</v>
      </c>
      <c r="Q11" s="49">
        <f t="shared" si="3"/>
        <v>0</v>
      </c>
      <c r="R11" s="46">
        <v>0.1</v>
      </c>
      <c r="S11" s="46" t="str">
        <f t="shared" si="4"/>
        <v>↑</v>
      </c>
      <c r="T11" s="49">
        <f t="shared" si="5"/>
        <v>0</v>
      </c>
    </row>
    <row r="12" spans="1:20" x14ac:dyDescent="0.3">
      <c r="A12" s="45" t="s">
        <v>185</v>
      </c>
      <c r="B12" s="46">
        <v>1</v>
      </c>
      <c r="C12" s="47" t="s">
        <v>175</v>
      </c>
      <c r="D12" s="44" t="s">
        <v>106</v>
      </c>
      <c r="E12" s="46" t="s">
        <v>184</v>
      </c>
      <c r="F12" s="48">
        <f>10.7639 * (1.4*4.2)</f>
        <v>63.291731999999996</v>
      </c>
      <c r="G12" s="46">
        <v>40</v>
      </c>
      <c r="H12" s="46">
        <v>110</v>
      </c>
      <c r="I12" s="49">
        <f t="shared" si="0"/>
        <v>70</v>
      </c>
      <c r="J12" s="46">
        <v>0.14399999999999999</v>
      </c>
      <c r="K12" s="46" t="str">
        <f>_xlfn.UNICHAR(8593)</f>
        <v>↑</v>
      </c>
      <c r="L12" s="50">
        <f t="shared" si="1"/>
        <v>637.98065855999994</v>
      </c>
      <c r="M12" s="49"/>
      <c r="N12" s="49">
        <f t="shared" si="2"/>
        <v>637.98065855999994</v>
      </c>
      <c r="O12" s="46">
        <v>40</v>
      </c>
      <c r="P12" s="46">
        <v>40</v>
      </c>
      <c r="Q12" s="49">
        <f t="shared" si="3"/>
        <v>0</v>
      </c>
      <c r="R12" s="46">
        <v>0.1</v>
      </c>
      <c r="S12" s="46" t="str">
        <f t="shared" si="4"/>
        <v>↑</v>
      </c>
      <c r="T12" s="49">
        <f t="shared" si="5"/>
        <v>0</v>
      </c>
    </row>
    <row r="13" spans="1:20" x14ac:dyDescent="0.3">
      <c r="A13" s="45" t="s">
        <v>186</v>
      </c>
      <c r="B13" s="46">
        <v>1</v>
      </c>
      <c r="C13" s="47" t="s">
        <v>175</v>
      </c>
      <c r="D13" s="44" t="s">
        <v>106</v>
      </c>
      <c r="E13" s="46" t="s">
        <v>187</v>
      </c>
      <c r="F13" s="48">
        <f>10.7639 * (1.8 * 0.7)</f>
        <v>13.562514</v>
      </c>
      <c r="G13" s="46">
        <v>40</v>
      </c>
      <c r="H13" s="46">
        <v>120</v>
      </c>
      <c r="I13" s="49">
        <f t="shared" si="0"/>
        <v>80</v>
      </c>
      <c r="J13" s="46">
        <v>0.14399999999999999</v>
      </c>
      <c r="K13" s="46" t="str">
        <f>_xlfn.UNICHAR(8593)</f>
        <v>↑</v>
      </c>
      <c r="L13" s="50">
        <f t="shared" si="1"/>
        <v>156.24016127999997</v>
      </c>
      <c r="M13" s="49"/>
      <c r="N13" s="49">
        <f t="shared" si="2"/>
        <v>156.24016127999997</v>
      </c>
      <c r="O13" s="46">
        <v>40</v>
      </c>
      <c r="P13" s="46">
        <v>40</v>
      </c>
      <c r="Q13" s="49">
        <f t="shared" si="3"/>
        <v>0</v>
      </c>
      <c r="R13" s="46">
        <v>0.1</v>
      </c>
      <c r="S13" s="46" t="str">
        <f t="shared" si="4"/>
        <v>↑</v>
      </c>
      <c r="T13" s="49">
        <f t="shared" si="5"/>
        <v>0</v>
      </c>
    </row>
    <row r="20" spans="1:20" x14ac:dyDescent="0.3">
      <c r="A20" s="52" t="s">
        <v>109</v>
      </c>
      <c r="B20" s="44"/>
      <c r="C20" s="47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50">
        <f>SUM(N5:N13)</f>
        <v>7989.1183509900002</v>
      </c>
      <c r="O20" s="44"/>
      <c r="P20" s="44"/>
      <c r="Q20" s="44"/>
      <c r="R20" s="44"/>
      <c r="S20" s="44"/>
      <c r="T20" s="49">
        <f>SUM(T5:T13)</f>
        <v>0</v>
      </c>
    </row>
    <row r="21" spans="1:20" x14ac:dyDescent="0.3">
      <c r="A21" s="53" t="s">
        <v>111</v>
      </c>
      <c r="B21" s="44">
        <v>7</v>
      </c>
      <c r="C21" s="47"/>
      <c r="D21" s="44"/>
      <c r="E21" s="44"/>
      <c r="F21" s="48">
        <f>F10</f>
        <v>113.02095</v>
      </c>
      <c r="G21" s="44"/>
      <c r="H21" s="44"/>
      <c r="I21" s="44"/>
      <c r="J21" s="44"/>
      <c r="K21" s="44"/>
      <c r="L21" s="48">
        <f>F21*4</f>
        <v>452.0838</v>
      </c>
      <c r="M21" s="44"/>
      <c r="N21" s="50">
        <f>L21+M21</f>
        <v>452.0838</v>
      </c>
      <c r="O21" s="44"/>
      <c r="P21" s="44"/>
      <c r="Q21" s="44"/>
      <c r="R21" s="44"/>
      <c r="S21" s="44"/>
      <c r="T21" s="44"/>
    </row>
    <row r="22" spans="1:20" x14ac:dyDescent="0.3">
      <c r="A22" s="53" t="s">
        <v>112</v>
      </c>
      <c r="B22" s="44">
        <v>8</v>
      </c>
      <c r="C22" s="47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</row>
    <row r="23" spans="1:20" x14ac:dyDescent="0.3">
      <c r="A23" s="53" t="s">
        <v>114</v>
      </c>
      <c r="B23" s="44">
        <v>9</v>
      </c>
      <c r="C23" s="47"/>
      <c r="D23" s="44"/>
      <c r="E23" s="44"/>
      <c r="F23" s="44"/>
      <c r="G23" s="44"/>
      <c r="H23" s="44"/>
      <c r="I23" s="44"/>
      <c r="J23" s="44"/>
      <c r="K23" s="44"/>
      <c r="L23" s="46">
        <f>1*315</f>
        <v>315</v>
      </c>
      <c r="M23" s="46">
        <f>1*485</f>
        <v>485</v>
      </c>
      <c r="N23" s="50">
        <f>L23+M23</f>
        <v>800</v>
      </c>
      <c r="O23" s="44"/>
      <c r="P23" s="44"/>
      <c r="Q23" s="44"/>
      <c r="R23" s="44"/>
      <c r="S23" s="44"/>
      <c r="T23" s="44"/>
    </row>
    <row r="24" spans="1:20" x14ac:dyDescent="0.3">
      <c r="A24" s="52" t="s">
        <v>115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9">
        <f>SUM(N20:N23)</f>
        <v>9241.2021509900005</v>
      </c>
      <c r="O24" s="44"/>
      <c r="P24" s="44"/>
      <c r="Q24" s="44"/>
      <c r="R24" s="44"/>
      <c r="S24" s="44"/>
      <c r="T24" s="49">
        <f>SUM(T20:T23)</f>
        <v>0</v>
      </c>
    </row>
    <row r="25" spans="1:20" x14ac:dyDescent="0.3">
      <c r="A25" s="52" t="s">
        <v>115</v>
      </c>
      <c r="B25" s="44"/>
      <c r="C25" s="44"/>
      <c r="D25" s="44"/>
      <c r="E25" s="44"/>
      <c r="F25" s="44"/>
      <c r="G25" s="10">
        <f>N24+T24</f>
        <v>9241.2021509900005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x14ac:dyDescent="0.3">
      <c r="A26" s="39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</row>
    <row r="27" spans="1:20" x14ac:dyDescent="0.3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</row>
    <row r="28" spans="1:20" x14ac:dyDescent="0.3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</row>
    <row r="29" spans="1:20" x14ac:dyDescent="0.3">
      <c r="A29" s="39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</row>
    <row r="30" spans="1:20" x14ac:dyDescent="0.3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</row>
    <row r="31" spans="1:20" x14ac:dyDescent="0.3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</row>
    <row r="32" spans="1:20" x14ac:dyDescent="0.3">
      <c r="A32" s="39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</row>
    <row r="33" spans="1:20" x14ac:dyDescent="0.3">
      <c r="A33" s="39"/>
      <c r="B33" s="40"/>
      <c r="C33" s="40"/>
      <c r="D33" s="40"/>
      <c r="E33" s="44" t="s">
        <v>116</v>
      </c>
      <c r="F33" s="44">
        <v>25</v>
      </c>
      <c r="G33" s="26" t="s">
        <v>117</v>
      </c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</row>
    <row r="34" spans="1:20" x14ac:dyDescent="0.3">
      <c r="A34" s="39"/>
      <c r="B34" s="40"/>
      <c r="C34" s="40"/>
      <c r="D34" s="40"/>
      <c r="E34" s="44" t="s">
        <v>118</v>
      </c>
      <c r="F34" s="44">
        <f>15*1</f>
        <v>15</v>
      </c>
      <c r="G34" s="44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</row>
    <row r="35" spans="1:20" x14ac:dyDescent="0.3">
      <c r="A35" s="39"/>
      <c r="B35" s="40"/>
      <c r="C35" s="40"/>
      <c r="D35" s="40"/>
      <c r="E35" s="44" t="s">
        <v>119</v>
      </c>
      <c r="F35" s="48">
        <f>$F$21</f>
        <v>113.02095</v>
      </c>
      <c r="G35" s="44" t="s">
        <v>120</v>
      </c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</row>
    <row r="36" spans="1:20" x14ac:dyDescent="0.3">
      <c r="A36" s="39"/>
      <c r="B36" s="40"/>
      <c r="C36" s="40"/>
      <c r="D36" s="40"/>
      <c r="E36" s="44" t="s">
        <v>121</v>
      </c>
      <c r="F36" s="48">
        <f>3.28084 * 2.7</f>
        <v>8.8582680000000007</v>
      </c>
      <c r="G36" s="44" t="s">
        <v>122</v>
      </c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</row>
    <row r="37" spans="1:20" x14ac:dyDescent="0.3">
      <c r="A37" s="39"/>
      <c r="B37" s="40"/>
      <c r="C37" s="40"/>
      <c r="D37" s="40"/>
      <c r="E37" s="44" t="s">
        <v>123</v>
      </c>
      <c r="F37" s="49">
        <f>F35*F36</f>
        <v>1001.1698647146001</v>
      </c>
      <c r="G37" s="44" t="s">
        <v>124</v>
      </c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</row>
    <row r="38" spans="1:20" x14ac:dyDescent="0.3">
      <c r="A38" s="39"/>
      <c r="B38" s="40"/>
      <c r="C38" s="40"/>
      <c r="D38" s="40"/>
      <c r="E38" s="44" t="s">
        <v>125</v>
      </c>
      <c r="F38" s="56">
        <f>F37/30</f>
        <v>33.372328823820006</v>
      </c>
      <c r="G38" s="44" t="s">
        <v>126</v>
      </c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</row>
    <row r="39" spans="1:20" x14ac:dyDescent="0.3">
      <c r="A39" s="39"/>
      <c r="B39" s="40"/>
      <c r="C39" s="40"/>
      <c r="D39" s="40"/>
      <c r="E39" s="44" t="s">
        <v>127</v>
      </c>
      <c r="F39" s="50">
        <f>SUM($L$5:$L$28)</f>
        <v>8756.2021509900005</v>
      </c>
      <c r="G39" s="44" t="s">
        <v>128</v>
      </c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</row>
    <row r="40" spans="1:20" x14ac:dyDescent="0.3">
      <c r="A40" s="39"/>
      <c r="B40" s="40"/>
      <c r="C40" s="40"/>
      <c r="D40" s="40"/>
      <c r="E40" s="44" t="s">
        <v>129</v>
      </c>
      <c r="F40" s="49">
        <f>SUM($M$5:$M$28)</f>
        <v>485</v>
      </c>
      <c r="G40" s="44" t="s">
        <v>128</v>
      </c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</row>
    <row r="41" spans="1:20" x14ac:dyDescent="0.3">
      <c r="A41" s="39"/>
      <c r="B41" s="40"/>
      <c r="C41" s="40"/>
      <c r="D41" s="40"/>
      <c r="E41" s="44" t="s">
        <v>130</v>
      </c>
      <c r="F41" s="50">
        <f>$N$24</f>
        <v>9241.2021509900005</v>
      </c>
      <c r="G41" s="44" t="s">
        <v>128</v>
      </c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</row>
    <row r="42" spans="1:20" x14ac:dyDescent="0.3">
      <c r="A42" s="39"/>
      <c r="B42" s="40"/>
      <c r="C42" s="40"/>
      <c r="D42" s="40"/>
      <c r="E42" s="44" t="s">
        <v>131</v>
      </c>
      <c r="F42" s="50">
        <f>$T$29</f>
        <v>0</v>
      </c>
      <c r="G42" s="44" t="s">
        <v>128</v>
      </c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</row>
    <row r="43" spans="1:20" x14ac:dyDescent="0.3">
      <c r="A43" s="39"/>
      <c r="B43" s="40"/>
      <c r="C43" s="40"/>
      <c r="D43" s="40"/>
      <c r="E43" s="44" t="s">
        <v>132</v>
      </c>
      <c r="F43" s="56">
        <f>F39/(1.08*F33)</f>
        <v>324.30378337000002</v>
      </c>
      <c r="G43" s="44" t="s">
        <v>126</v>
      </c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</row>
    <row r="44" spans="1:20" x14ac:dyDescent="0.3">
      <c r="A44" s="39"/>
      <c r="B44" s="40"/>
      <c r="C44" s="40"/>
      <c r="D44" s="40"/>
      <c r="E44" s="44" t="s">
        <v>126</v>
      </c>
      <c r="F44" s="57">
        <f>ROUNDUP(F43,0)</f>
        <v>325</v>
      </c>
      <c r="G44" s="44" t="s">
        <v>126</v>
      </c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</row>
    <row r="45" spans="1:20" x14ac:dyDescent="0.3">
      <c r="A45" s="39"/>
      <c r="B45" s="40"/>
      <c r="C45" s="40"/>
      <c r="D45" s="40"/>
      <c r="E45" s="44" t="s">
        <v>133</v>
      </c>
      <c r="F45" s="50">
        <f>F44*0.0002930711</f>
        <v>9.5248107499999998E-2</v>
      </c>
      <c r="G45" s="44" t="s">
        <v>134</v>
      </c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</row>
    <row r="46" spans="1:20" x14ac:dyDescent="0.3">
      <c r="A46" s="39"/>
      <c r="B46" s="40"/>
      <c r="C46" s="40"/>
      <c r="D46" s="40"/>
      <c r="E46" s="44" t="s">
        <v>135</v>
      </c>
      <c r="F46" s="50">
        <f>F39/F41</f>
        <v>0.94751765061777782</v>
      </c>
      <c r="G46" s="44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</row>
    <row r="47" spans="1:20" ht="14.2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25:T25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8" scale="90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T254"/>
  <sheetViews>
    <sheetView zoomScale="95" zoomScaleNormal="95" workbookViewId="0"/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9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188</v>
      </c>
      <c r="B2" s="11"/>
      <c r="C2" s="11">
        <v>4003</v>
      </c>
      <c r="D2" s="11"/>
      <c r="E2" s="43" t="s">
        <v>79</v>
      </c>
      <c r="F2" s="43" t="s">
        <v>189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190</v>
      </c>
      <c r="B5" s="46">
        <v>6</v>
      </c>
      <c r="C5" s="67" t="s">
        <v>175</v>
      </c>
      <c r="D5" s="46" t="s">
        <v>99</v>
      </c>
      <c r="E5" s="46" t="s">
        <v>191</v>
      </c>
      <c r="F5" s="48">
        <f>10.7639 *(11.1*3.34)</f>
        <v>399.06082859999998</v>
      </c>
      <c r="G5" s="44">
        <v>78</v>
      </c>
      <c r="H5" s="46">
        <v>105</v>
      </c>
      <c r="I5" s="49">
        <f t="shared" ref="I5:I15" si="0">H5-G5</f>
        <v>27</v>
      </c>
      <c r="J5" s="46">
        <v>0.158</v>
      </c>
      <c r="K5" s="46" t="str">
        <f t="shared" ref="K5:K11" si="1">_xlfn.UNICHAR(8596)</f>
        <v>↔</v>
      </c>
      <c r="L5" s="50">
        <f t="shared" ref="L5:L15" si="2">F5*I5*J5</f>
        <v>1702.3934948076001</v>
      </c>
      <c r="M5" s="49"/>
      <c r="N5" s="50">
        <f t="shared" ref="N5:N15" si="3">L5+M5</f>
        <v>1702.3934948076001</v>
      </c>
      <c r="O5" s="46">
        <v>70</v>
      </c>
      <c r="P5" s="46">
        <v>70</v>
      </c>
      <c r="Q5" s="49">
        <f t="shared" ref="Q5:Q15" si="4">O5-P5</f>
        <v>0</v>
      </c>
      <c r="R5" s="49">
        <f t="shared" ref="R5:R15" si="5">J5</f>
        <v>0.158</v>
      </c>
      <c r="S5" s="49" t="str">
        <f t="shared" ref="S5:S15" si="6">K5</f>
        <v>↔</v>
      </c>
      <c r="T5" s="51">
        <f t="shared" ref="T5:T15" si="7">F5*Q5*R5</f>
        <v>0</v>
      </c>
    </row>
    <row r="6" spans="1:20" x14ac:dyDescent="0.3">
      <c r="A6" s="45" t="s">
        <v>192</v>
      </c>
      <c r="B6" s="46">
        <v>6</v>
      </c>
      <c r="C6" s="67" t="s">
        <v>175</v>
      </c>
      <c r="D6" s="46" t="s">
        <v>99</v>
      </c>
      <c r="E6" s="46" t="s">
        <v>193</v>
      </c>
      <c r="F6" s="48">
        <f>10.7639 *(5.9*3.34)</f>
        <v>212.11341339999998</v>
      </c>
      <c r="G6" s="44">
        <v>78</v>
      </c>
      <c r="H6" s="46">
        <v>105</v>
      </c>
      <c r="I6" s="49">
        <f t="shared" si="0"/>
        <v>27</v>
      </c>
      <c r="J6" s="46">
        <v>0.158</v>
      </c>
      <c r="K6" s="46" t="str">
        <f t="shared" si="1"/>
        <v>↔</v>
      </c>
      <c r="L6" s="50">
        <f t="shared" si="2"/>
        <v>904.87582156439998</v>
      </c>
      <c r="M6" s="49"/>
      <c r="N6" s="50">
        <f t="shared" si="3"/>
        <v>904.87582156439998</v>
      </c>
      <c r="O6" s="46">
        <v>70</v>
      </c>
      <c r="P6" s="46">
        <v>70</v>
      </c>
      <c r="Q6" s="49">
        <f t="shared" si="4"/>
        <v>0</v>
      </c>
      <c r="R6" s="49">
        <f t="shared" si="5"/>
        <v>0.158</v>
      </c>
      <c r="S6" s="49" t="str">
        <f t="shared" si="6"/>
        <v>↔</v>
      </c>
      <c r="T6" s="50">
        <f t="shared" si="7"/>
        <v>0</v>
      </c>
    </row>
    <row r="7" spans="1:20" x14ac:dyDescent="0.3">
      <c r="A7" s="45" t="s">
        <v>194</v>
      </c>
      <c r="B7" s="46">
        <v>6</v>
      </c>
      <c r="C7" s="67" t="s">
        <v>175</v>
      </c>
      <c r="D7" s="68" t="s">
        <v>99</v>
      </c>
      <c r="E7" s="46" t="s">
        <v>195</v>
      </c>
      <c r="F7" s="48">
        <f>10.7639 *((4.9+3.1)*3.34)</f>
        <v>287.61140799999998</v>
      </c>
      <c r="G7" s="44">
        <v>78</v>
      </c>
      <c r="H7" s="46">
        <v>105</v>
      </c>
      <c r="I7" s="49">
        <f t="shared" si="0"/>
        <v>27</v>
      </c>
      <c r="J7" s="46">
        <v>0.158</v>
      </c>
      <c r="K7" s="46" t="str">
        <f t="shared" si="1"/>
        <v>↔</v>
      </c>
      <c r="L7" s="50">
        <f t="shared" si="2"/>
        <v>1226.9502665279999</v>
      </c>
      <c r="M7" s="49"/>
      <c r="N7" s="50">
        <f t="shared" si="3"/>
        <v>1226.9502665279999</v>
      </c>
      <c r="O7" s="46">
        <v>70</v>
      </c>
      <c r="P7" s="46">
        <v>70</v>
      </c>
      <c r="Q7" s="49">
        <f t="shared" si="4"/>
        <v>0</v>
      </c>
      <c r="R7" s="49">
        <f t="shared" si="5"/>
        <v>0.158</v>
      </c>
      <c r="S7" s="49" t="str">
        <f t="shared" si="6"/>
        <v>↔</v>
      </c>
      <c r="T7" s="51">
        <f t="shared" si="7"/>
        <v>0</v>
      </c>
    </row>
    <row r="8" spans="1:20" x14ac:dyDescent="0.3">
      <c r="A8" s="45" t="s">
        <v>180</v>
      </c>
      <c r="B8" s="46">
        <v>6</v>
      </c>
      <c r="C8" s="67" t="s">
        <v>175</v>
      </c>
      <c r="D8" s="46" t="s">
        <v>99</v>
      </c>
      <c r="E8" s="46" t="s">
        <v>195</v>
      </c>
      <c r="F8" s="48">
        <f>10.7639 *(2.1*3.34)</f>
        <v>75.497994599999998</v>
      </c>
      <c r="G8" s="44">
        <v>78</v>
      </c>
      <c r="H8" s="46">
        <v>85</v>
      </c>
      <c r="I8" s="49">
        <f t="shared" si="0"/>
        <v>7</v>
      </c>
      <c r="J8" s="46">
        <v>0.158</v>
      </c>
      <c r="K8" s="46" t="str">
        <f t="shared" si="1"/>
        <v>↔</v>
      </c>
      <c r="L8" s="50">
        <f t="shared" si="2"/>
        <v>83.50078202760001</v>
      </c>
      <c r="M8" s="49"/>
      <c r="N8" s="50">
        <f t="shared" si="3"/>
        <v>83.50078202760001</v>
      </c>
      <c r="O8" s="46">
        <v>70</v>
      </c>
      <c r="P8" s="46">
        <v>70</v>
      </c>
      <c r="Q8" s="49">
        <f t="shared" si="4"/>
        <v>0</v>
      </c>
      <c r="R8" s="49">
        <f t="shared" si="5"/>
        <v>0.158</v>
      </c>
      <c r="S8" s="49" t="str">
        <f t="shared" si="6"/>
        <v>↔</v>
      </c>
      <c r="T8" s="51">
        <f t="shared" si="7"/>
        <v>0</v>
      </c>
    </row>
    <row r="9" spans="1:20" x14ac:dyDescent="0.3">
      <c r="A9" s="45" t="s">
        <v>101</v>
      </c>
      <c r="B9" s="46">
        <v>6</v>
      </c>
      <c r="C9" s="67" t="s">
        <v>104</v>
      </c>
      <c r="D9" s="46" t="s">
        <v>99</v>
      </c>
      <c r="E9" s="46" t="s">
        <v>196</v>
      </c>
      <c r="F9" s="48">
        <f>10.7639 *(1*3.34)</f>
        <v>35.951425999999998</v>
      </c>
      <c r="G9" s="44">
        <v>78</v>
      </c>
      <c r="H9" s="46">
        <v>78</v>
      </c>
      <c r="I9" s="49">
        <f t="shared" si="0"/>
        <v>0</v>
      </c>
      <c r="J9" s="46">
        <v>0.313</v>
      </c>
      <c r="K9" s="46" t="str">
        <f t="shared" si="1"/>
        <v>↔</v>
      </c>
      <c r="L9" s="50">
        <f t="shared" si="2"/>
        <v>0</v>
      </c>
      <c r="M9" s="49"/>
      <c r="N9" s="50">
        <f t="shared" si="3"/>
        <v>0</v>
      </c>
      <c r="O9" s="46">
        <v>70</v>
      </c>
      <c r="P9" s="46">
        <v>70</v>
      </c>
      <c r="Q9" s="49">
        <f t="shared" si="4"/>
        <v>0</v>
      </c>
      <c r="R9" s="49">
        <f t="shared" si="5"/>
        <v>0.313</v>
      </c>
      <c r="S9" s="49" t="str">
        <f t="shared" si="6"/>
        <v>↔</v>
      </c>
      <c r="T9" s="51">
        <f t="shared" si="7"/>
        <v>0</v>
      </c>
    </row>
    <row r="10" spans="1:20" x14ac:dyDescent="0.3">
      <c r="A10" s="45" t="s">
        <v>78</v>
      </c>
      <c r="B10" s="46">
        <v>6</v>
      </c>
      <c r="C10" s="67" t="s">
        <v>104</v>
      </c>
      <c r="D10" s="46" t="s">
        <v>99</v>
      </c>
      <c r="E10" s="46"/>
      <c r="F10" s="48">
        <v>0</v>
      </c>
      <c r="G10" s="44">
        <v>78</v>
      </c>
      <c r="H10" s="46">
        <v>78</v>
      </c>
      <c r="I10" s="49">
        <f t="shared" si="0"/>
        <v>0</v>
      </c>
      <c r="J10" s="46">
        <v>0.313</v>
      </c>
      <c r="K10" s="46" t="str">
        <f t="shared" si="1"/>
        <v>↔</v>
      </c>
      <c r="L10" s="50">
        <f t="shared" si="2"/>
        <v>0</v>
      </c>
      <c r="M10" s="44"/>
      <c r="N10" s="50">
        <f t="shared" si="3"/>
        <v>0</v>
      </c>
      <c r="O10" s="46">
        <v>70</v>
      </c>
      <c r="P10" s="46">
        <v>70</v>
      </c>
      <c r="Q10" s="49">
        <f t="shared" si="4"/>
        <v>0</v>
      </c>
      <c r="R10" s="49">
        <f t="shared" si="5"/>
        <v>0.313</v>
      </c>
      <c r="S10" s="49" t="str">
        <f t="shared" si="6"/>
        <v>↔</v>
      </c>
      <c r="T10" s="51">
        <f t="shared" si="7"/>
        <v>0</v>
      </c>
    </row>
    <row r="11" spans="1:20" x14ac:dyDescent="0.3">
      <c r="A11" s="53" t="s">
        <v>108</v>
      </c>
      <c r="B11" s="46">
        <v>3</v>
      </c>
      <c r="C11" s="67" t="s">
        <v>175</v>
      </c>
      <c r="D11" s="46" t="s">
        <v>99</v>
      </c>
      <c r="E11" s="46" t="s">
        <v>197</v>
      </c>
      <c r="F11" s="48">
        <f>10.7639 *((1.3*1)+(2.2*1))</f>
        <v>37.673649999999995</v>
      </c>
      <c r="G11" s="44">
        <v>78</v>
      </c>
      <c r="H11" s="46">
        <v>95</v>
      </c>
      <c r="I11" s="49">
        <f t="shared" si="0"/>
        <v>17</v>
      </c>
      <c r="J11" s="46">
        <v>0.158</v>
      </c>
      <c r="K11" s="46" t="str">
        <f t="shared" si="1"/>
        <v>↔</v>
      </c>
      <c r="L11" s="50">
        <f t="shared" si="2"/>
        <v>101.19142389999998</v>
      </c>
      <c r="M11" s="44"/>
      <c r="N11" s="50">
        <f t="shared" si="3"/>
        <v>101.19142389999998</v>
      </c>
      <c r="O11" s="46">
        <v>70</v>
      </c>
      <c r="P11" s="46">
        <v>70</v>
      </c>
      <c r="Q11" s="49">
        <f t="shared" si="4"/>
        <v>0</v>
      </c>
      <c r="R11" s="49">
        <f t="shared" si="5"/>
        <v>0.158</v>
      </c>
      <c r="S11" s="49" t="str">
        <f t="shared" si="6"/>
        <v>↔</v>
      </c>
      <c r="T11" s="51">
        <f t="shared" si="7"/>
        <v>0</v>
      </c>
    </row>
    <row r="12" spans="1:20" x14ac:dyDescent="0.3">
      <c r="A12" s="53" t="s">
        <v>108</v>
      </c>
      <c r="B12" s="46">
        <v>1</v>
      </c>
      <c r="C12" s="67" t="s">
        <v>98</v>
      </c>
      <c r="D12" s="46" t="s">
        <v>90</v>
      </c>
      <c r="E12" s="46"/>
      <c r="F12" s="48">
        <f>10.7639 *(52.6492-4.3704)</f>
        <v>519.66817532000005</v>
      </c>
      <c r="G12" s="44">
        <v>78</v>
      </c>
      <c r="H12" s="46">
        <v>95</v>
      </c>
      <c r="I12" s="49">
        <f t="shared" si="0"/>
        <v>17</v>
      </c>
      <c r="J12" s="46">
        <v>1.4910000000000001</v>
      </c>
      <c r="K12" s="46" t="str">
        <f>_xlfn.UNICHAR(8593)</f>
        <v>↑</v>
      </c>
      <c r="L12" s="50">
        <f t="shared" si="2"/>
        <v>13172.029239836042</v>
      </c>
      <c r="M12" s="44"/>
      <c r="N12" s="50">
        <f t="shared" si="3"/>
        <v>13172.029239836042</v>
      </c>
      <c r="O12" s="46">
        <v>70</v>
      </c>
      <c r="P12" s="46">
        <v>70</v>
      </c>
      <c r="Q12" s="49">
        <f t="shared" si="4"/>
        <v>0</v>
      </c>
      <c r="R12" s="49">
        <f t="shared" si="5"/>
        <v>1.4910000000000001</v>
      </c>
      <c r="S12" s="49" t="str">
        <f t="shared" si="6"/>
        <v>↑</v>
      </c>
      <c r="T12" s="51">
        <f t="shared" si="7"/>
        <v>0</v>
      </c>
    </row>
    <row r="13" spans="1:20" x14ac:dyDescent="0.3">
      <c r="A13" s="53" t="s">
        <v>198</v>
      </c>
      <c r="B13" s="46">
        <v>2</v>
      </c>
      <c r="C13" s="67" t="s">
        <v>98</v>
      </c>
      <c r="D13" s="46" t="s">
        <v>106</v>
      </c>
      <c r="E13" s="46"/>
      <c r="F13" s="48">
        <f>10.7639 *(5.9247)</f>
        <v>63.77287832999999</v>
      </c>
      <c r="G13" s="44">
        <v>78</v>
      </c>
      <c r="H13" s="46">
        <v>120</v>
      </c>
      <c r="I13" s="49">
        <f t="shared" si="0"/>
        <v>42</v>
      </c>
      <c r="J13" s="46">
        <v>0.80100000000000005</v>
      </c>
      <c r="K13" s="46" t="str">
        <f>_xlfn.UNICHAR(8595)</f>
        <v>↓</v>
      </c>
      <c r="L13" s="50">
        <f t="shared" si="2"/>
        <v>2145.4471727778596</v>
      </c>
      <c r="M13" s="44"/>
      <c r="N13" s="50">
        <f t="shared" si="3"/>
        <v>2145.4471727778596</v>
      </c>
      <c r="O13" s="46">
        <v>70</v>
      </c>
      <c r="P13" s="46">
        <v>70</v>
      </c>
      <c r="Q13" s="49">
        <f t="shared" si="4"/>
        <v>0</v>
      </c>
      <c r="R13" s="49">
        <f t="shared" si="5"/>
        <v>0.80100000000000005</v>
      </c>
      <c r="S13" s="49" t="str">
        <f t="shared" si="6"/>
        <v>↓</v>
      </c>
      <c r="T13" s="51">
        <f t="shared" si="7"/>
        <v>0</v>
      </c>
    </row>
    <row r="14" spans="1:20" x14ac:dyDescent="0.3">
      <c r="A14" s="53" t="s">
        <v>199</v>
      </c>
      <c r="B14" s="46">
        <v>2</v>
      </c>
      <c r="C14" s="67" t="s">
        <v>98</v>
      </c>
      <c r="D14" s="46" t="s">
        <v>106</v>
      </c>
      <c r="E14" s="44"/>
      <c r="F14" s="48">
        <f>10.7639 *(19.2478)</f>
        <v>207.18139442</v>
      </c>
      <c r="G14" s="44">
        <v>78</v>
      </c>
      <c r="H14" s="46">
        <v>120</v>
      </c>
      <c r="I14" s="49">
        <f t="shared" si="0"/>
        <v>42</v>
      </c>
      <c r="J14" s="46">
        <v>0.80100000000000005</v>
      </c>
      <c r="K14" s="46" t="str">
        <f>_xlfn.UNICHAR(8595)</f>
        <v>↓</v>
      </c>
      <c r="L14" s="50">
        <f t="shared" si="2"/>
        <v>6969.9964710776403</v>
      </c>
      <c r="M14" s="44"/>
      <c r="N14" s="50">
        <f t="shared" si="3"/>
        <v>6969.9964710776403</v>
      </c>
      <c r="O14" s="46">
        <v>70</v>
      </c>
      <c r="P14" s="46">
        <v>70</v>
      </c>
      <c r="Q14" s="49">
        <f t="shared" si="4"/>
        <v>0</v>
      </c>
      <c r="R14" s="49">
        <f t="shared" si="5"/>
        <v>0.80100000000000005</v>
      </c>
      <c r="S14" s="49" t="str">
        <f t="shared" si="6"/>
        <v>↓</v>
      </c>
      <c r="T14" s="51">
        <f t="shared" si="7"/>
        <v>0</v>
      </c>
    </row>
    <row r="15" spans="1:20" x14ac:dyDescent="0.3">
      <c r="A15" s="53" t="s">
        <v>200</v>
      </c>
      <c r="B15" s="46">
        <v>2</v>
      </c>
      <c r="C15" s="67" t="s">
        <v>98</v>
      </c>
      <c r="D15" s="46" t="s">
        <v>106</v>
      </c>
      <c r="E15" s="44"/>
      <c r="F15" s="48">
        <f>10.7639 *(23.0567)</f>
        <v>248.18001312999999</v>
      </c>
      <c r="G15" s="44">
        <v>78</v>
      </c>
      <c r="H15" s="46">
        <v>120</v>
      </c>
      <c r="I15" s="49">
        <f t="shared" si="0"/>
        <v>42</v>
      </c>
      <c r="J15" s="46">
        <v>0.80100000000000005</v>
      </c>
      <c r="K15" s="46" t="str">
        <f>_xlfn.UNICHAR(8595)</f>
        <v>↓</v>
      </c>
      <c r="L15" s="50">
        <f t="shared" si="2"/>
        <v>8349.2720017194606</v>
      </c>
      <c r="M15" s="44"/>
      <c r="N15" s="50">
        <f t="shared" si="3"/>
        <v>8349.2720017194606</v>
      </c>
      <c r="O15" s="46">
        <v>70</v>
      </c>
      <c r="P15" s="46">
        <v>70</v>
      </c>
      <c r="Q15" s="49">
        <f t="shared" si="4"/>
        <v>0</v>
      </c>
      <c r="R15" s="49">
        <f t="shared" si="5"/>
        <v>0.80100000000000005</v>
      </c>
      <c r="S15" s="49" t="str">
        <f t="shared" si="6"/>
        <v>↓</v>
      </c>
      <c r="T15" s="51">
        <f t="shared" si="7"/>
        <v>0</v>
      </c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9"/>
      <c r="S16" s="49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34655.656674238598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(0.6*0.5))*0</f>
        <v>0</v>
      </c>
      <c r="G20" s="44"/>
      <c r="H20" s="44"/>
      <c r="I20" s="49"/>
      <c r="J20" s="44"/>
      <c r="K20" s="44"/>
      <c r="L20" s="46">
        <f>F20*160</f>
        <v>0</v>
      </c>
      <c r="M20" s="44"/>
      <c r="N20" s="50">
        <f>L20</f>
        <v>0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*(52.6492-4.3704)</f>
        <v>519.66817532000005</v>
      </c>
      <c r="G21" s="44"/>
      <c r="H21" s="44"/>
      <c r="I21" s="44"/>
      <c r="J21" s="44"/>
      <c r="K21" s="44"/>
      <c r="L21" s="48">
        <f>F21*12</f>
        <v>6236.0181038400005</v>
      </c>
      <c r="M21" s="44"/>
      <c r="N21" s="50">
        <f>L21+M21</f>
        <v>6236.0181038400005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6"/>
      <c r="M22" s="44"/>
      <c r="N22" s="50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6"/>
      <c r="M23" s="44"/>
      <c r="N23" s="50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6"/>
      <c r="M24" s="44"/>
      <c r="N24" s="50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6"/>
      <c r="M25" s="44"/>
      <c r="N25" s="50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0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41691.674778078595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41691.674778078595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519.66817532000005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4603.3599680555462</v>
      </c>
      <c r="G37" s="44" t="s">
        <v>124</v>
      </c>
    </row>
    <row r="38" spans="1:20" x14ac:dyDescent="0.3">
      <c r="E38" s="44" t="s">
        <v>125</v>
      </c>
      <c r="F38" s="56">
        <f>F37/30</f>
        <v>153.4453322685182</v>
      </c>
      <c r="G38" s="44" t="s">
        <v>126</v>
      </c>
    </row>
    <row r="39" spans="1:20" x14ac:dyDescent="0.3">
      <c r="E39" s="44" t="s">
        <v>127</v>
      </c>
      <c r="F39" s="50">
        <f>SUM($L$5:$L$28)</f>
        <v>41206.674778078595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41691.674778078595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1526.1731399288369</v>
      </c>
      <c r="G43" s="44" t="s">
        <v>126</v>
      </c>
    </row>
    <row r="44" spans="1:20" x14ac:dyDescent="0.3">
      <c r="E44" s="44" t="s">
        <v>126</v>
      </c>
      <c r="F44" s="57">
        <f>ROUNDUP(F43,0)</f>
        <v>1527</v>
      </c>
      <c r="G44" s="44" t="s">
        <v>126</v>
      </c>
    </row>
    <row r="45" spans="1:20" x14ac:dyDescent="0.3">
      <c r="E45" s="44" t="s">
        <v>133</v>
      </c>
      <c r="F45" s="50">
        <f>F44*0.0002930711</f>
        <v>0.44751956969999995</v>
      </c>
      <c r="G45" s="44" t="s">
        <v>134</v>
      </c>
    </row>
    <row r="46" spans="1:20" x14ac:dyDescent="0.3">
      <c r="E46" s="44" t="s">
        <v>135</v>
      </c>
      <c r="F46" s="50">
        <f>F39/F41</f>
        <v>0.98836698207539952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T254"/>
  <sheetViews>
    <sheetView topLeftCell="A34" zoomScale="95" zoomScaleNormal="95" workbookViewId="0">
      <selection activeCell="F37" sqref="F37"/>
    </sheetView>
  </sheetViews>
  <sheetFormatPr defaultColWidth="11.5546875" defaultRowHeight="13.8" x14ac:dyDescent="0.3"/>
  <cols>
    <col min="1" max="1" width="35.44140625" style="39" customWidth="1"/>
    <col min="2" max="2" width="11.88671875" style="40" customWidth="1"/>
    <col min="3" max="3" width="25.21875" style="40" customWidth="1"/>
    <col min="4" max="4" width="12.77734375" style="40" customWidth="1"/>
    <col min="5" max="5" width="25.6640625" style="40" customWidth="1"/>
    <col min="6" max="6" width="18.6640625" style="40" customWidth="1"/>
    <col min="7" max="7" width="6.44140625" style="40" customWidth="1"/>
    <col min="8" max="8" width="4.33203125" style="40" customWidth="1"/>
    <col min="9" max="9" width="3.88671875" style="40" customWidth="1"/>
    <col min="10" max="10" width="7.5546875" style="40" customWidth="1"/>
    <col min="11" max="11" width="4.77734375" style="40" customWidth="1"/>
    <col min="12" max="12" width="8.77734375" style="40" customWidth="1"/>
    <col min="13" max="13" width="5.33203125" style="40" customWidth="1"/>
    <col min="14" max="14" width="9.77734375" style="40" customWidth="1"/>
    <col min="15" max="15" width="3.44140625" style="40" customWidth="1"/>
    <col min="16" max="16" width="3.6640625" style="40" customWidth="1"/>
    <col min="17" max="17" width="3.88671875" style="40" customWidth="1"/>
    <col min="18" max="18" width="7.5546875" style="40" customWidth="1"/>
    <col min="19" max="19" width="4.77734375" style="40" customWidth="1"/>
    <col min="20" max="20" width="5.88671875" style="40" customWidth="1"/>
    <col min="21" max="16384" width="11.5546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202</v>
      </c>
      <c r="B2" s="11"/>
      <c r="C2" s="11">
        <v>4004</v>
      </c>
      <c r="D2" s="11"/>
      <c r="E2" s="43" t="s">
        <v>79</v>
      </c>
      <c r="F2" s="43" t="s">
        <v>203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204</v>
      </c>
      <c r="B5" s="46">
        <v>3</v>
      </c>
      <c r="C5" s="47" t="s">
        <v>205</v>
      </c>
      <c r="D5" s="46" t="s">
        <v>99</v>
      </c>
      <c r="E5" s="46" t="s">
        <v>206</v>
      </c>
      <c r="F5" s="48">
        <f>10.7639 *(11.1*3.34)</f>
        <v>399.06082859999998</v>
      </c>
      <c r="G5" s="44">
        <v>78</v>
      </c>
      <c r="H5" s="46">
        <v>120</v>
      </c>
      <c r="I5" s="49">
        <f t="shared" ref="I5:I16" si="0">H5-G5</f>
        <v>42</v>
      </c>
      <c r="J5" s="46">
        <v>6.3E-2</v>
      </c>
      <c r="K5" s="46" t="str">
        <f>_xlfn.UNICHAR(8596)</f>
        <v>↔</v>
      </c>
      <c r="L5" s="50">
        <f t="shared" ref="L5:L16" si="1">F5*I5*J5</f>
        <v>1055.9149524756001</v>
      </c>
      <c r="M5" s="49"/>
      <c r="N5" s="50">
        <f t="shared" ref="N5:N16" si="2">L5+M5</f>
        <v>1055.9149524756001</v>
      </c>
      <c r="O5" s="46">
        <v>70</v>
      </c>
      <c r="P5" s="46">
        <v>70</v>
      </c>
      <c r="Q5" s="49">
        <f t="shared" ref="Q5:Q16" si="3">O5-P5</f>
        <v>0</v>
      </c>
      <c r="R5" s="49">
        <f t="shared" ref="R5:R16" si="4">J5</f>
        <v>6.3E-2</v>
      </c>
      <c r="S5" s="49" t="str">
        <f t="shared" ref="S5:S16" si="5">K5</f>
        <v>↔</v>
      </c>
      <c r="T5" s="51">
        <f t="shared" ref="T5:T16" si="6">F5*Q5*R5</f>
        <v>0</v>
      </c>
    </row>
    <row r="6" spans="1:20" x14ac:dyDescent="0.3">
      <c r="A6" s="45" t="s">
        <v>207</v>
      </c>
      <c r="B6" s="46">
        <v>6</v>
      </c>
      <c r="C6" s="67" t="s">
        <v>175</v>
      </c>
      <c r="D6" s="46" t="s">
        <v>99</v>
      </c>
      <c r="E6" s="46" t="s">
        <v>208</v>
      </c>
      <c r="F6" s="48">
        <f>10.7639 *(5.9*3.34)</f>
        <v>212.11341339999998</v>
      </c>
      <c r="G6" s="44">
        <v>78</v>
      </c>
      <c r="H6" s="46">
        <v>110</v>
      </c>
      <c r="I6" s="49">
        <f t="shared" si="0"/>
        <v>32</v>
      </c>
      <c r="J6" s="46">
        <v>0.158</v>
      </c>
      <c r="K6" s="46" t="str">
        <f>_xlfn.UNICHAR(8596)</f>
        <v>↔</v>
      </c>
      <c r="L6" s="50">
        <f t="shared" si="1"/>
        <v>1072.4454181504</v>
      </c>
      <c r="M6" s="49"/>
      <c r="N6" s="50">
        <f t="shared" si="2"/>
        <v>1072.4454181504</v>
      </c>
      <c r="O6" s="46">
        <v>70</v>
      </c>
      <c r="P6" s="46">
        <v>70</v>
      </c>
      <c r="Q6" s="49">
        <f t="shared" si="3"/>
        <v>0</v>
      </c>
      <c r="R6" s="49">
        <f t="shared" si="4"/>
        <v>0.158</v>
      </c>
      <c r="S6" s="49" t="str">
        <f t="shared" si="5"/>
        <v>↔</v>
      </c>
      <c r="T6" s="50">
        <f t="shared" si="6"/>
        <v>0</v>
      </c>
    </row>
    <row r="7" spans="1:20" x14ac:dyDescent="0.3">
      <c r="A7" s="45" t="s">
        <v>178</v>
      </c>
      <c r="B7" s="46">
        <v>6</v>
      </c>
      <c r="C7" s="67" t="s">
        <v>175</v>
      </c>
      <c r="D7" s="68" t="s">
        <v>99</v>
      </c>
      <c r="E7" s="46" t="s">
        <v>209</v>
      </c>
      <c r="F7" s="48">
        <f>10.7639 *((4.9+3.1)*3.34)</f>
        <v>287.61140799999998</v>
      </c>
      <c r="G7" s="44">
        <v>78</v>
      </c>
      <c r="H7" s="46">
        <v>130</v>
      </c>
      <c r="I7" s="49">
        <f t="shared" si="0"/>
        <v>52</v>
      </c>
      <c r="J7" s="46">
        <v>0.158</v>
      </c>
      <c r="K7" s="46" t="str">
        <f>_xlfn.UNICHAR(8596)</f>
        <v>↔</v>
      </c>
      <c r="L7" s="50">
        <f t="shared" si="1"/>
        <v>2363.015328128</v>
      </c>
      <c r="M7" s="49"/>
      <c r="N7" s="50">
        <f t="shared" si="2"/>
        <v>2363.015328128</v>
      </c>
      <c r="O7" s="46">
        <v>70</v>
      </c>
      <c r="P7" s="46">
        <v>70</v>
      </c>
      <c r="Q7" s="49">
        <f t="shared" si="3"/>
        <v>0</v>
      </c>
      <c r="R7" s="49">
        <f t="shared" si="4"/>
        <v>0.158</v>
      </c>
      <c r="S7" s="49" t="str">
        <f t="shared" si="5"/>
        <v>↔</v>
      </c>
      <c r="T7" s="51">
        <f t="shared" si="6"/>
        <v>0</v>
      </c>
    </row>
    <row r="8" spans="1:20" x14ac:dyDescent="0.3">
      <c r="A8" s="45" t="s">
        <v>210</v>
      </c>
      <c r="B8" s="46">
        <v>6</v>
      </c>
      <c r="C8" s="67" t="s">
        <v>175</v>
      </c>
      <c r="D8" s="46" t="s">
        <v>99</v>
      </c>
      <c r="E8" s="46" t="s">
        <v>181</v>
      </c>
      <c r="F8" s="48">
        <f>10.7639 *(2.1*3.34)</f>
        <v>75.497994599999998</v>
      </c>
      <c r="G8" s="44">
        <v>78</v>
      </c>
      <c r="H8" s="46">
        <v>105</v>
      </c>
      <c r="I8" s="49">
        <f t="shared" si="0"/>
        <v>27</v>
      </c>
      <c r="J8" s="46">
        <v>0.17100000000000001</v>
      </c>
      <c r="K8" s="46" t="str">
        <f>_xlfn.UNICHAR(8593)</f>
        <v>↑</v>
      </c>
      <c r="L8" s="50">
        <f t="shared" si="1"/>
        <v>348.57424106820002</v>
      </c>
      <c r="M8" s="49"/>
      <c r="N8" s="50">
        <f t="shared" si="2"/>
        <v>348.57424106820002</v>
      </c>
      <c r="O8" s="46">
        <v>70</v>
      </c>
      <c r="P8" s="46">
        <v>70</v>
      </c>
      <c r="Q8" s="49">
        <f t="shared" si="3"/>
        <v>0</v>
      </c>
      <c r="R8" s="49">
        <f t="shared" si="4"/>
        <v>0.17100000000000001</v>
      </c>
      <c r="S8" s="49" t="str">
        <f t="shared" si="5"/>
        <v>↑</v>
      </c>
      <c r="T8" s="51">
        <f t="shared" si="6"/>
        <v>0</v>
      </c>
    </row>
    <row r="9" spans="1:20" x14ac:dyDescent="0.3">
      <c r="A9" s="45" t="s">
        <v>211</v>
      </c>
      <c r="B9" s="46">
        <v>6</v>
      </c>
      <c r="C9" s="67" t="s">
        <v>175</v>
      </c>
      <c r="D9" s="46" t="s">
        <v>99</v>
      </c>
      <c r="E9" s="46" t="s">
        <v>212</v>
      </c>
      <c r="F9" s="48">
        <f>10.7639 *(1*3.34)</f>
        <v>35.951425999999998</v>
      </c>
      <c r="G9" s="44">
        <v>78</v>
      </c>
      <c r="H9" s="46">
        <v>120</v>
      </c>
      <c r="I9" s="49">
        <f t="shared" si="0"/>
        <v>42</v>
      </c>
      <c r="J9" s="46">
        <v>0.14399999999999999</v>
      </c>
      <c r="K9" s="46" t="str">
        <f t="shared" ref="K9:K16" si="7">_xlfn.UNICHAR(8595)</f>
        <v>↓</v>
      </c>
      <c r="L9" s="50">
        <f t="shared" si="1"/>
        <v>217.43422444799995</v>
      </c>
      <c r="M9" s="49"/>
      <c r="N9" s="50">
        <f t="shared" si="2"/>
        <v>217.43422444799995</v>
      </c>
      <c r="O9" s="46">
        <v>70</v>
      </c>
      <c r="P9" s="46">
        <v>70</v>
      </c>
      <c r="Q9" s="49">
        <f t="shared" si="3"/>
        <v>0</v>
      </c>
      <c r="R9" s="49">
        <f t="shared" si="4"/>
        <v>0.14399999999999999</v>
      </c>
      <c r="S9" s="49" t="str">
        <f t="shared" si="5"/>
        <v>↓</v>
      </c>
      <c r="T9" s="51">
        <f t="shared" si="6"/>
        <v>0</v>
      </c>
    </row>
    <row r="10" spans="1:20" x14ac:dyDescent="0.3">
      <c r="A10" s="45" t="s">
        <v>213</v>
      </c>
      <c r="B10" s="46">
        <v>6</v>
      </c>
      <c r="C10" s="67" t="s">
        <v>175</v>
      </c>
      <c r="D10" s="46" t="s">
        <v>99</v>
      </c>
      <c r="E10" s="46" t="s">
        <v>208</v>
      </c>
      <c r="F10" s="48">
        <f>10.7639 *(5.9*3.34)</f>
        <v>212.11341339999998</v>
      </c>
      <c r="G10" s="44">
        <v>78</v>
      </c>
      <c r="H10" s="46">
        <v>110</v>
      </c>
      <c r="I10" s="49">
        <f t="shared" si="0"/>
        <v>32</v>
      </c>
      <c r="J10" s="46">
        <v>0.14399999999999999</v>
      </c>
      <c r="K10" s="46" t="str">
        <f t="shared" si="7"/>
        <v>↓</v>
      </c>
      <c r="L10" s="50">
        <f t="shared" si="1"/>
        <v>977.4186089471998</v>
      </c>
      <c r="M10" s="44"/>
      <c r="N10" s="50">
        <f t="shared" si="2"/>
        <v>977.4186089471998</v>
      </c>
      <c r="O10" s="46">
        <v>70</v>
      </c>
      <c r="P10" s="46">
        <v>70</v>
      </c>
      <c r="Q10" s="49">
        <f t="shared" si="3"/>
        <v>0</v>
      </c>
      <c r="R10" s="49">
        <f t="shared" si="4"/>
        <v>0.14399999999999999</v>
      </c>
      <c r="S10" s="49" t="str">
        <f t="shared" si="5"/>
        <v>↓</v>
      </c>
      <c r="T10" s="51">
        <f t="shared" si="6"/>
        <v>0</v>
      </c>
    </row>
    <row r="11" spans="1:20" x14ac:dyDescent="0.3">
      <c r="A11" s="53" t="s">
        <v>214</v>
      </c>
      <c r="B11" s="46">
        <v>1</v>
      </c>
      <c r="C11" s="67" t="s">
        <v>175</v>
      </c>
      <c r="D11" s="46" t="s">
        <v>90</v>
      </c>
      <c r="E11" s="46" t="s">
        <v>215</v>
      </c>
      <c r="F11" s="48">
        <f>10.7639 *((1.3*1)+(2.2*1))</f>
        <v>37.673649999999995</v>
      </c>
      <c r="G11" s="44">
        <v>78</v>
      </c>
      <c r="H11" s="46">
        <v>80</v>
      </c>
      <c r="I11" s="49">
        <f t="shared" si="0"/>
        <v>2</v>
      </c>
      <c r="J11" s="46">
        <v>0.14399999999999999</v>
      </c>
      <c r="K11" s="46" t="str">
        <f t="shared" si="7"/>
        <v>↓</v>
      </c>
      <c r="L11" s="50">
        <f t="shared" si="1"/>
        <v>10.850011199999997</v>
      </c>
      <c r="M11" s="44"/>
      <c r="N11" s="50">
        <f t="shared" si="2"/>
        <v>10.850011199999997</v>
      </c>
      <c r="O11" s="46">
        <v>70</v>
      </c>
      <c r="P11" s="46">
        <v>70</v>
      </c>
      <c r="Q11" s="49">
        <f t="shared" si="3"/>
        <v>0</v>
      </c>
      <c r="R11" s="49">
        <f t="shared" si="4"/>
        <v>0.14399999999999999</v>
      </c>
      <c r="S11" s="49" t="str">
        <f t="shared" si="5"/>
        <v>↓</v>
      </c>
      <c r="T11" s="51">
        <f t="shared" si="6"/>
        <v>0</v>
      </c>
    </row>
    <row r="12" spans="1:20" x14ac:dyDescent="0.3">
      <c r="A12" s="53" t="s">
        <v>178</v>
      </c>
      <c r="B12" s="46">
        <v>2</v>
      </c>
      <c r="C12" s="67" t="s">
        <v>175</v>
      </c>
      <c r="D12" s="46" t="s">
        <v>106</v>
      </c>
      <c r="E12" s="46" t="s">
        <v>216</v>
      </c>
      <c r="F12" s="48">
        <f>10.7639 *(5.9*6.45) - (F14+F15+F16)</f>
        <v>227.92558250000005</v>
      </c>
      <c r="G12" s="44">
        <v>78</v>
      </c>
      <c r="H12" s="46">
        <v>130</v>
      </c>
      <c r="I12" s="49">
        <f t="shared" si="0"/>
        <v>52</v>
      </c>
      <c r="J12" s="46">
        <v>0.14399999999999999</v>
      </c>
      <c r="K12" s="46" t="str">
        <f t="shared" si="7"/>
        <v>↓</v>
      </c>
      <c r="L12" s="50">
        <f t="shared" si="1"/>
        <v>1706.7067617600003</v>
      </c>
      <c r="M12" s="44"/>
      <c r="N12" s="50">
        <f t="shared" si="2"/>
        <v>1706.7067617600003</v>
      </c>
      <c r="O12" s="46">
        <v>70</v>
      </c>
      <c r="P12" s="46">
        <v>70</v>
      </c>
      <c r="Q12" s="49">
        <f t="shared" si="3"/>
        <v>0</v>
      </c>
      <c r="R12" s="49">
        <f t="shared" si="4"/>
        <v>0.14399999999999999</v>
      </c>
      <c r="S12" s="49" t="str">
        <f t="shared" si="5"/>
        <v>↓</v>
      </c>
      <c r="T12" s="51">
        <f t="shared" si="6"/>
        <v>0</v>
      </c>
    </row>
    <row r="13" spans="1:20" x14ac:dyDescent="0.3">
      <c r="A13" s="53" t="s">
        <v>217</v>
      </c>
      <c r="B13" s="46">
        <v>2</v>
      </c>
      <c r="C13" s="67" t="s">
        <v>98</v>
      </c>
      <c r="D13" s="46" t="s">
        <v>106</v>
      </c>
      <c r="E13" s="46" t="s">
        <v>218</v>
      </c>
      <c r="F13" s="48">
        <f>10.7639 *(5.9*4.65)</f>
        <v>295.30759649999999</v>
      </c>
      <c r="G13" s="44">
        <v>78</v>
      </c>
      <c r="H13" s="46">
        <v>110</v>
      </c>
      <c r="I13" s="49">
        <f t="shared" si="0"/>
        <v>32</v>
      </c>
      <c r="J13" s="46">
        <v>0.80100000000000005</v>
      </c>
      <c r="K13" s="46" t="str">
        <f t="shared" si="7"/>
        <v>↓</v>
      </c>
      <c r="L13" s="50">
        <f t="shared" si="1"/>
        <v>7569.3243134880004</v>
      </c>
      <c r="M13" s="44"/>
      <c r="N13" s="50">
        <f t="shared" si="2"/>
        <v>7569.3243134880004</v>
      </c>
      <c r="O13" s="46">
        <v>70</v>
      </c>
      <c r="P13" s="46">
        <v>70</v>
      </c>
      <c r="Q13" s="49">
        <f t="shared" si="3"/>
        <v>0</v>
      </c>
      <c r="R13" s="49">
        <f t="shared" si="4"/>
        <v>0.80100000000000005</v>
      </c>
      <c r="S13" s="49" t="str">
        <f t="shared" si="5"/>
        <v>↓</v>
      </c>
      <c r="T13" s="51">
        <f t="shared" si="6"/>
        <v>0</v>
      </c>
    </row>
    <row r="14" spans="1:20" x14ac:dyDescent="0.3">
      <c r="A14" s="53" t="s">
        <v>219</v>
      </c>
      <c r="B14" s="46">
        <v>2</v>
      </c>
      <c r="C14" s="67" t="s">
        <v>98</v>
      </c>
      <c r="D14" s="46" t="s">
        <v>106</v>
      </c>
      <c r="E14" s="44" t="s">
        <v>220</v>
      </c>
      <c r="F14" s="48">
        <f>10.7639 *(2.4*2.3)</f>
        <v>59.416727999999992</v>
      </c>
      <c r="G14" s="44">
        <v>78</v>
      </c>
      <c r="H14" s="46">
        <v>120</v>
      </c>
      <c r="I14" s="49">
        <f t="shared" si="0"/>
        <v>42</v>
      </c>
      <c r="J14" s="46">
        <v>0.80100000000000005</v>
      </c>
      <c r="K14" s="46" t="str">
        <f t="shared" si="7"/>
        <v>↓</v>
      </c>
      <c r="L14" s="50">
        <f t="shared" si="1"/>
        <v>1998.8975633760001</v>
      </c>
      <c r="M14" s="44"/>
      <c r="N14" s="50">
        <f t="shared" si="2"/>
        <v>1998.8975633760001</v>
      </c>
      <c r="O14" s="46">
        <v>70</v>
      </c>
      <c r="P14" s="46">
        <v>70</v>
      </c>
      <c r="Q14" s="49">
        <f t="shared" si="3"/>
        <v>0</v>
      </c>
      <c r="R14" s="49">
        <f t="shared" si="4"/>
        <v>0.80100000000000005</v>
      </c>
      <c r="S14" s="49" t="str">
        <f t="shared" si="5"/>
        <v>↓</v>
      </c>
      <c r="T14" s="51">
        <f t="shared" si="6"/>
        <v>0</v>
      </c>
    </row>
    <row r="15" spans="1:20" x14ac:dyDescent="0.3">
      <c r="A15" s="53" t="s">
        <v>221</v>
      </c>
      <c r="B15" s="46">
        <v>2</v>
      </c>
      <c r="C15" s="67" t="s">
        <v>98</v>
      </c>
      <c r="D15" s="46" t="s">
        <v>106</v>
      </c>
      <c r="E15" s="44" t="s">
        <v>222</v>
      </c>
      <c r="F15" s="48">
        <f>10.7639 *(2.1*3.2)</f>
        <v>72.333408000000006</v>
      </c>
      <c r="G15" s="44">
        <v>78</v>
      </c>
      <c r="H15" s="46">
        <v>120</v>
      </c>
      <c r="I15" s="49">
        <f t="shared" si="0"/>
        <v>42</v>
      </c>
      <c r="J15" s="46">
        <v>0.80100000000000005</v>
      </c>
      <c r="K15" s="46" t="str">
        <f t="shared" si="7"/>
        <v>↓</v>
      </c>
      <c r="L15" s="50">
        <f t="shared" si="1"/>
        <v>2433.4405119360003</v>
      </c>
      <c r="M15" s="44"/>
      <c r="N15" s="50">
        <f t="shared" si="2"/>
        <v>2433.4405119360003</v>
      </c>
      <c r="O15" s="46">
        <v>70</v>
      </c>
      <c r="P15" s="46">
        <v>70</v>
      </c>
      <c r="Q15" s="49">
        <f t="shared" si="3"/>
        <v>0</v>
      </c>
      <c r="R15" s="49">
        <f t="shared" si="4"/>
        <v>0.80100000000000005</v>
      </c>
      <c r="S15" s="49" t="str">
        <f t="shared" si="5"/>
        <v>↓</v>
      </c>
      <c r="T15" s="51">
        <f t="shared" si="6"/>
        <v>0</v>
      </c>
    </row>
    <row r="16" spans="1:20" x14ac:dyDescent="0.3">
      <c r="A16" s="53" t="s">
        <v>223</v>
      </c>
      <c r="B16" s="46">
        <v>2</v>
      </c>
      <c r="C16" s="67" t="s">
        <v>98</v>
      </c>
      <c r="D16" s="46" t="s">
        <v>106</v>
      </c>
      <c r="E16" s="44" t="s">
        <v>224</v>
      </c>
      <c r="F16" s="48">
        <f>10.7639 *(1.45*3.2)</f>
        <v>49.944495999999994</v>
      </c>
      <c r="G16" s="44">
        <v>78</v>
      </c>
      <c r="H16" s="46">
        <v>120</v>
      </c>
      <c r="I16" s="49">
        <f t="shared" si="0"/>
        <v>42</v>
      </c>
      <c r="J16" s="46">
        <v>0.80100000000000005</v>
      </c>
      <c r="K16" s="46" t="str">
        <f t="shared" si="7"/>
        <v>↓</v>
      </c>
      <c r="L16" s="50">
        <f t="shared" si="1"/>
        <v>1680.2327344319999</v>
      </c>
      <c r="M16" s="44"/>
      <c r="N16" s="50">
        <f t="shared" si="2"/>
        <v>1680.2327344319999</v>
      </c>
      <c r="O16" s="46">
        <v>70</v>
      </c>
      <c r="P16" s="46">
        <v>70</v>
      </c>
      <c r="Q16" s="49">
        <f t="shared" si="3"/>
        <v>0</v>
      </c>
      <c r="R16" s="49">
        <f t="shared" si="4"/>
        <v>0.80100000000000005</v>
      </c>
      <c r="S16" s="49" t="str">
        <f t="shared" si="5"/>
        <v>↓</v>
      </c>
      <c r="T16" s="51">
        <f t="shared" si="6"/>
        <v>0</v>
      </c>
    </row>
    <row r="17" spans="1:20" x14ac:dyDescent="0.3">
      <c r="A17" s="53"/>
      <c r="B17" s="44"/>
      <c r="C17" s="47"/>
      <c r="D17" s="44"/>
      <c r="E17" s="44"/>
      <c r="F17" s="54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A18" s="53"/>
      <c r="B18" s="44"/>
      <c r="C18" s="47"/>
      <c r="D18" s="44"/>
      <c r="E18" s="44"/>
      <c r="F18" s="54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70" t="s">
        <v>109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2"/>
      <c r="N19" s="50">
        <f>SUM(N5:N18)</f>
        <v>21434.254669409405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(0.6*0.5))*0</f>
        <v>0</v>
      </c>
      <c r="G20" s="44"/>
      <c r="H20" s="44"/>
      <c r="I20" s="49"/>
      <c r="J20" s="44"/>
      <c r="K20" s="44"/>
      <c r="L20" s="46">
        <f>F20*160</f>
        <v>0</v>
      </c>
      <c r="M20" s="44"/>
      <c r="N20" s="50">
        <f>L20</f>
        <v>0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*(5.9 * 11.1)</f>
        <v>704.92781099999991</v>
      </c>
      <c r="G21" s="44"/>
      <c r="H21" s="44"/>
      <c r="I21" s="44"/>
      <c r="J21" s="44"/>
      <c r="K21" s="44"/>
      <c r="L21" s="48">
        <f>F21*12</f>
        <v>8459.1337319999984</v>
      </c>
      <c r="M21" s="44"/>
      <c r="N21" s="50">
        <f t="shared" ref="N21:N26" si="8">L21+M21</f>
        <v>8459.1337319999984</v>
      </c>
      <c r="O21" s="44"/>
      <c r="P21" s="44"/>
      <c r="Q21" s="44"/>
      <c r="R21" s="44"/>
      <c r="S21" s="44"/>
      <c r="T21" s="54"/>
    </row>
    <row r="22" spans="1:20" x14ac:dyDescent="0.3">
      <c r="A22" s="53" t="s">
        <v>225</v>
      </c>
      <c r="B22" s="44">
        <v>8</v>
      </c>
      <c r="C22" s="44"/>
      <c r="D22" s="44"/>
      <c r="E22" s="44"/>
      <c r="F22" s="44"/>
      <c r="G22" s="44"/>
      <c r="H22" s="44"/>
      <c r="I22" s="44"/>
      <c r="J22" s="44"/>
      <c r="K22" s="44"/>
      <c r="L22" s="46">
        <f>3.412 * 400 * 8 * 0.9</f>
        <v>9826.56</v>
      </c>
      <c r="M22" s="44"/>
      <c r="N22" s="50">
        <f t="shared" si="8"/>
        <v>9826.56</v>
      </c>
      <c r="O22" s="44"/>
      <c r="P22" s="44"/>
      <c r="Q22" s="44"/>
      <c r="R22" s="44"/>
      <c r="S22" s="44"/>
      <c r="T22" s="54"/>
    </row>
    <row r="23" spans="1:20" x14ac:dyDescent="0.3">
      <c r="A23" s="53" t="s">
        <v>226</v>
      </c>
      <c r="B23" s="44">
        <v>8</v>
      </c>
      <c r="C23" s="44"/>
      <c r="D23" s="44"/>
      <c r="E23" s="44"/>
      <c r="F23" s="44"/>
      <c r="G23" s="44"/>
      <c r="H23" s="44"/>
      <c r="I23" s="44"/>
      <c r="J23" s="44"/>
      <c r="K23" s="44"/>
      <c r="L23" s="46">
        <f>3.412 * 300 * 2 * 0.95</f>
        <v>1944.84</v>
      </c>
      <c r="M23" s="44"/>
      <c r="N23" s="50">
        <f t="shared" si="8"/>
        <v>1944.84</v>
      </c>
      <c r="O23" s="44"/>
      <c r="P23" s="44"/>
      <c r="Q23" s="44"/>
      <c r="R23" s="44"/>
      <c r="S23" s="44"/>
      <c r="T23" s="54"/>
    </row>
    <row r="24" spans="1:20" x14ac:dyDescent="0.3">
      <c r="A24" s="53" t="s">
        <v>227</v>
      </c>
      <c r="B24" s="44">
        <v>8</v>
      </c>
      <c r="C24" s="44"/>
      <c r="D24" s="44"/>
      <c r="E24" s="44"/>
      <c r="F24" s="44"/>
      <c r="G24" s="44"/>
      <c r="H24" s="44"/>
      <c r="I24" s="44"/>
      <c r="J24" s="44"/>
      <c r="K24" s="44"/>
      <c r="L24" s="46">
        <f>3.412 * 1200 * 1 * 0.9</f>
        <v>3684.96</v>
      </c>
      <c r="M24" s="44"/>
      <c r="N24" s="50">
        <f t="shared" si="8"/>
        <v>3684.96</v>
      </c>
      <c r="O24" s="44"/>
      <c r="P24" s="44"/>
      <c r="Q24" s="44"/>
      <c r="R24" s="44"/>
      <c r="S24" s="44"/>
      <c r="T24" s="54"/>
    </row>
    <row r="25" spans="1:20" x14ac:dyDescent="0.3">
      <c r="A25" s="53" t="s">
        <v>228</v>
      </c>
      <c r="B25" s="44">
        <v>8</v>
      </c>
      <c r="C25" s="44"/>
      <c r="D25" s="44"/>
      <c r="E25" s="44"/>
      <c r="F25" s="44"/>
      <c r="G25" s="44"/>
      <c r="H25" s="44"/>
      <c r="I25" s="44"/>
      <c r="J25" s="44"/>
      <c r="K25" s="44"/>
      <c r="L25" s="46">
        <f>3.412 * 200 * 1 * 0.9</f>
        <v>614.16</v>
      </c>
      <c r="M25" s="44"/>
      <c r="N25" s="50">
        <f t="shared" si="8"/>
        <v>614.16</v>
      </c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3*315</f>
        <v>945</v>
      </c>
      <c r="M26" s="46">
        <f>3*485</f>
        <v>1455</v>
      </c>
      <c r="N26" s="50">
        <f t="shared" si="8"/>
        <v>2400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48363.908401409404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48363.908401409404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3">
      <c r="T31" s="73"/>
    </row>
    <row r="32" spans="1:20" x14ac:dyDescent="0.3">
      <c r="T32" s="73"/>
    </row>
    <row r="33" spans="1:20" ht="14.4" x14ac:dyDescent="0.3">
      <c r="E33" s="44" t="s">
        <v>116</v>
      </c>
      <c r="F33" s="44">
        <v>25</v>
      </c>
      <c r="G33" s="26" t="s">
        <v>117</v>
      </c>
      <c r="T33" s="73"/>
    </row>
    <row r="34" spans="1:20" x14ac:dyDescent="0.3">
      <c r="E34" s="44" t="s">
        <v>118</v>
      </c>
      <c r="F34" s="44">
        <f>15*1</f>
        <v>15</v>
      </c>
      <c r="G34" s="44"/>
      <c r="T34" s="73"/>
    </row>
    <row r="35" spans="1:20" x14ac:dyDescent="0.3">
      <c r="E35" s="44" t="s">
        <v>119</v>
      </c>
      <c r="F35" s="48">
        <f>$F$21</f>
        <v>704.92781099999991</v>
      </c>
      <c r="G35" s="44" t="s">
        <v>120</v>
      </c>
      <c r="T35" s="73"/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  <c r="T36" s="73"/>
    </row>
    <row r="37" spans="1:20" x14ac:dyDescent="0.3">
      <c r="E37" s="44" t="s">
        <v>123</v>
      </c>
      <c r="F37" s="50">
        <f>F35*F36</f>
        <v>6244.4394704913475</v>
      </c>
      <c r="G37" s="44" t="s">
        <v>124</v>
      </c>
      <c r="T37" s="73"/>
    </row>
    <row r="38" spans="1:20" x14ac:dyDescent="0.3">
      <c r="E38" s="44" t="s">
        <v>125</v>
      </c>
      <c r="F38" s="56">
        <f>F37/30</f>
        <v>208.14798234971158</v>
      </c>
      <c r="G38" s="44" t="s">
        <v>126</v>
      </c>
      <c r="T38" s="73"/>
    </row>
    <row r="39" spans="1:20" x14ac:dyDescent="0.3">
      <c r="E39" s="44" t="s">
        <v>127</v>
      </c>
      <c r="F39" s="50">
        <f>SUM($L$5:$L$28)</f>
        <v>46908.908401409404</v>
      </c>
      <c r="G39" s="44" t="s">
        <v>128</v>
      </c>
      <c r="T39" s="73"/>
    </row>
    <row r="40" spans="1:20" x14ac:dyDescent="0.3">
      <c r="E40" s="44" t="s">
        <v>129</v>
      </c>
      <c r="F40" s="49">
        <f>SUM($M$5:$M$28)</f>
        <v>1455</v>
      </c>
      <c r="G40" s="44" t="s">
        <v>128</v>
      </c>
      <c r="T40" s="73"/>
    </row>
    <row r="41" spans="1:20" x14ac:dyDescent="0.3">
      <c r="E41" s="44" t="s">
        <v>130</v>
      </c>
      <c r="F41" s="50">
        <f>$N$29</f>
        <v>48363.908401409404</v>
      </c>
      <c r="G41" s="44" t="s">
        <v>128</v>
      </c>
      <c r="T41" s="73"/>
    </row>
    <row r="42" spans="1:20" x14ac:dyDescent="0.3">
      <c r="E42" s="44" t="s">
        <v>131</v>
      </c>
      <c r="F42" s="50">
        <f>$T$29</f>
        <v>0</v>
      </c>
      <c r="G42" s="44" t="s">
        <v>128</v>
      </c>
      <c r="T42" s="73"/>
    </row>
    <row r="43" spans="1:20" x14ac:dyDescent="0.3">
      <c r="E43" s="44" t="s">
        <v>132</v>
      </c>
      <c r="F43" s="56">
        <f>F39/(1.08*F33)</f>
        <v>1737.3669778299779</v>
      </c>
      <c r="G43" s="44" t="s">
        <v>126</v>
      </c>
      <c r="T43" s="73"/>
    </row>
    <row r="44" spans="1:20" x14ac:dyDescent="0.3">
      <c r="E44" s="44" t="s">
        <v>126</v>
      </c>
      <c r="F44" s="57">
        <f>ROUNDUP(F43,0)</f>
        <v>1738</v>
      </c>
      <c r="G44" s="44" t="s">
        <v>126</v>
      </c>
      <c r="T44" s="73"/>
    </row>
    <row r="45" spans="1:20" x14ac:dyDescent="0.3">
      <c r="E45" s="44" t="s">
        <v>133</v>
      </c>
      <c r="F45" s="50">
        <f>F44*0.0002930711</f>
        <v>0.50935757179999996</v>
      </c>
      <c r="G45" s="44" t="s">
        <v>134</v>
      </c>
      <c r="T45" s="73"/>
    </row>
    <row r="46" spans="1:20" x14ac:dyDescent="0.3">
      <c r="E46" s="44" t="s">
        <v>135</v>
      </c>
      <c r="F46" s="50">
        <f>F39/F41</f>
        <v>0.96991558275390333</v>
      </c>
      <c r="G46" s="44"/>
      <c r="T46" s="73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3.5" customHeight="1" x14ac:dyDescent="0.3">
      <c r="A55" s="7" t="s">
        <v>165</v>
      </c>
      <c r="B55" s="7"/>
      <c r="C55" s="7"/>
      <c r="D55" s="7" t="s">
        <v>166</v>
      </c>
      <c r="E55" s="7"/>
      <c r="F55" s="7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7"/>
      <c r="B56" s="7"/>
      <c r="C56" s="7"/>
      <c r="D56" s="7"/>
      <c r="E56" s="7"/>
      <c r="F56" s="7"/>
      <c r="G56" s="6" t="s">
        <v>168</v>
      </c>
      <c r="H56" s="6"/>
      <c r="I56" s="6"/>
      <c r="J56" s="6"/>
      <c r="K56" s="6" t="s">
        <v>169</v>
      </c>
      <c r="L56" s="6"/>
      <c r="M56" s="6"/>
      <c r="N56" s="6"/>
      <c r="O56" s="6"/>
      <c r="P56" s="6"/>
      <c r="Q56" s="6"/>
      <c r="R56" s="53" t="s">
        <v>170</v>
      </c>
      <c r="S56" s="6"/>
      <c r="T56" s="6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4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T254"/>
  <sheetViews>
    <sheetView topLeftCell="A36" zoomScale="95" zoomScaleNormal="95" workbookViewId="0">
      <selection activeCell="A36" sqref="A36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6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229</v>
      </c>
      <c r="B2" s="11"/>
      <c r="C2" s="11">
        <v>5001</v>
      </c>
      <c r="D2" s="11"/>
      <c r="E2" s="43" t="s">
        <v>230</v>
      </c>
      <c r="F2" s="43" t="s">
        <v>231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108</v>
      </c>
      <c r="B5" s="46">
        <v>3</v>
      </c>
      <c r="C5" s="47" t="s">
        <v>205</v>
      </c>
      <c r="D5" s="44" t="s">
        <v>99</v>
      </c>
      <c r="E5" s="46" t="s">
        <v>232</v>
      </c>
      <c r="F5" s="48">
        <f>10.7639 * (3*2.7 + 4.2*2.7)</f>
        <v>209.25021600000005</v>
      </c>
      <c r="G5" s="46">
        <v>78</v>
      </c>
      <c r="H5" s="46">
        <v>95</v>
      </c>
      <c r="I5" s="49">
        <f t="shared" ref="I5:I17" si="0">H5-G5</f>
        <v>17</v>
      </c>
      <c r="J5" s="46">
        <v>6.3E-2</v>
      </c>
      <c r="K5" s="46" t="str">
        <f t="shared" ref="K5:K11" si="1">_xlfn.UNICHAR(8596)</f>
        <v>↔</v>
      </c>
      <c r="L5" s="50">
        <f t="shared" ref="L5:L17" si="2">F5*I5*J5</f>
        <v>224.10698133600005</v>
      </c>
      <c r="M5" s="49"/>
      <c r="N5" s="50">
        <f t="shared" ref="N5:N17" si="3">L5+M5</f>
        <v>224.10698133600005</v>
      </c>
      <c r="O5" s="46">
        <v>70</v>
      </c>
      <c r="P5" s="46">
        <v>70</v>
      </c>
      <c r="Q5" s="49">
        <f t="shared" ref="Q5:Q17" si="4">O5-P5</f>
        <v>0</v>
      </c>
      <c r="R5" s="46"/>
      <c r="S5" s="46"/>
      <c r="T5" s="51">
        <f t="shared" ref="T5:T17" si="5">F5*Q5*R5</f>
        <v>0</v>
      </c>
    </row>
    <row r="6" spans="1:20" x14ac:dyDescent="0.3">
      <c r="A6" s="45" t="s">
        <v>233</v>
      </c>
      <c r="B6" s="46">
        <v>6</v>
      </c>
      <c r="C6" s="47" t="s">
        <v>175</v>
      </c>
      <c r="D6" s="44" t="s">
        <v>99</v>
      </c>
      <c r="E6" s="46" t="s">
        <v>234</v>
      </c>
      <c r="F6" s="48">
        <f>10.7639 *1.2*2.7</f>
        <v>34.875036000000001</v>
      </c>
      <c r="G6" s="46">
        <v>78</v>
      </c>
      <c r="H6" s="46">
        <v>78</v>
      </c>
      <c r="I6" s="49">
        <f t="shared" si="0"/>
        <v>0</v>
      </c>
      <c r="J6" s="46">
        <v>0.158</v>
      </c>
      <c r="K6" s="46" t="str">
        <f t="shared" si="1"/>
        <v>↔</v>
      </c>
      <c r="L6" s="50">
        <f t="shared" si="2"/>
        <v>0</v>
      </c>
      <c r="M6" s="49"/>
      <c r="N6" s="50">
        <f t="shared" si="3"/>
        <v>0</v>
      </c>
      <c r="O6" s="46">
        <v>70</v>
      </c>
      <c r="P6" s="46">
        <v>70</v>
      </c>
      <c r="Q6" s="49">
        <f t="shared" si="4"/>
        <v>0</v>
      </c>
      <c r="R6" s="46"/>
      <c r="S6" s="46"/>
      <c r="T6" s="50">
        <f t="shared" si="5"/>
        <v>0</v>
      </c>
    </row>
    <row r="7" spans="1:20" x14ac:dyDescent="0.3">
      <c r="A7" s="45" t="s">
        <v>235</v>
      </c>
      <c r="B7" s="46">
        <v>6</v>
      </c>
      <c r="C7" s="47" t="s">
        <v>175</v>
      </c>
      <c r="D7" s="44" t="s">
        <v>99</v>
      </c>
      <c r="E7" s="46" t="s">
        <v>236</v>
      </c>
      <c r="F7" s="48">
        <f>10.7639 *2.6*2.7</f>
        <v>75.562578000000002</v>
      </c>
      <c r="G7" s="46">
        <v>78</v>
      </c>
      <c r="H7" s="46">
        <v>78</v>
      </c>
      <c r="I7" s="49">
        <f t="shared" si="0"/>
        <v>0</v>
      </c>
      <c r="J7" s="46">
        <v>0.158</v>
      </c>
      <c r="K7" s="46" t="str">
        <f t="shared" si="1"/>
        <v>↔</v>
      </c>
      <c r="L7" s="50">
        <f t="shared" si="2"/>
        <v>0</v>
      </c>
      <c r="M7" s="49"/>
      <c r="N7" s="50">
        <f t="shared" si="3"/>
        <v>0</v>
      </c>
      <c r="O7" s="46">
        <v>70</v>
      </c>
      <c r="P7" s="46">
        <v>70</v>
      </c>
      <c r="Q7" s="49">
        <f t="shared" si="4"/>
        <v>0</v>
      </c>
      <c r="R7" s="46"/>
      <c r="S7" s="46"/>
      <c r="T7" s="51">
        <f t="shared" si="5"/>
        <v>0</v>
      </c>
    </row>
    <row r="8" spans="1:20" x14ac:dyDescent="0.3">
      <c r="A8" s="45" t="s">
        <v>237</v>
      </c>
      <c r="B8" s="46">
        <v>6</v>
      </c>
      <c r="C8" s="47" t="s">
        <v>175</v>
      </c>
      <c r="D8" s="44" t="s">
        <v>99</v>
      </c>
      <c r="E8" s="46" t="s">
        <v>238</v>
      </c>
      <c r="F8" s="48">
        <f>10.7639 * (5*2.7)</f>
        <v>145.31264999999999</v>
      </c>
      <c r="G8" s="46">
        <v>78</v>
      </c>
      <c r="H8" s="46">
        <v>105</v>
      </c>
      <c r="I8" s="49">
        <f t="shared" si="0"/>
        <v>27</v>
      </c>
      <c r="J8" s="46">
        <v>0.158</v>
      </c>
      <c r="K8" s="46" t="str">
        <f t="shared" si="1"/>
        <v>↔</v>
      </c>
      <c r="L8" s="50">
        <f t="shared" si="2"/>
        <v>619.90376489999994</v>
      </c>
      <c r="M8" s="49"/>
      <c r="N8" s="50">
        <f t="shared" si="3"/>
        <v>619.90376489999994</v>
      </c>
      <c r="O8" s="46">
        <v>70</v>
      </c>
      <c r="P8" s="46">
        <v>70</v>
      </c>
      <c r="Q8" s="49">
        <f t="shared" si="4"/>
        <v>0</v>
      </c>
      <c r="R8" s="46"/>
      <c r="S8" s="46"/>
      <c r="T8" s="51">
        <f t="shared" si="5"/>
        <v>0</v>
      </c>
    </row>
    <row r="9" spans="1:20" x14ac:dyDescent="0.3">
      <c r="A9" s="45" t="s">
        <v>239</v>
      </c>
      <c r="B9" s="46">
        <v>6</v>
      </c>
      <c r="C9" s="47" t="s">
        <v>104</v>
      </c>
      <c r="D9" s="44" t="s">
        <v>99</v>
      </c>
      <c r="E9" s="46" t="s">
        <v>240</v>
      </c>
      <c r="F9" s="48">
        <f>10.7639 * (0.8*2.7)</f>
        <v>23.250024</v>
      </c>
      <c r="G9" s="46">
        <v>78</v>
      </c>
      <c r="H9" s="46">
        <v>120</v>
      </c>
      <c r="I9" s="49">
        <f t="shared" si="0"/>
        <v>42</v>
      </c>
      <c r="J9" s="46">
        <v>0.313</v>
      </c>
      <c r="K9" s="46" t="str">
        <f t="shared" si="1"/>
        <v>↔</v>
      </c>
      <c r="L9" s="50">
        <f t="shared" si="2"/>
        <v>305.64481550400001</v>
      </c>
      <c r="M9" s="49"/>
      <c r="N9" s="50">
        <f t="shared" si="3"/>
        <v>305.64481550400001</v>
      </c>
      <c r="O9" s="46">
        <v>70</v>
      </c>
      <c r="P9" s="46">
        <v>70</v>
      </c>
      <c r="Q9" s="49">
        <f t="shared" si="4"/>
        <v>0</v>
      </c>
      <c r="R9" s="46"/>
      <c r="S9" s="46"/>
      <c r="T9" s="51">
        <f t="shared" si="5"/>
        <v>0</v>
      </c>
    </row>
    <row r="10" spans="1:20" x14ac:dyDescent="0.3">
      <c r="A10" s="45" t="s">
        <v>210</v>
      </c>
      <c r="B10" s="46">
        <v>6</v>
      </c>
      <c r="C10" s="47" t="s">
        <v>175</v>
      </c>
      <c r="D10" s="44" t="s">
        <v>99</v>
      </c>
      <c r="E10" s="46" t="s">
        <v>241</v>
      </c>
      <c r="F10" s="48">
        <f>10.7639 * (1.2*2.7 + 1.2*2.7)</f>
        <v>69.750072000000003</v>
      </c>
      <c r="G10" s="46">
        <v>78</v>
      </c>
      <c r="H10" s="46">
        <v>80</v>
      </c>
      <c r="I10" s="49">
        <f t="shared" si="0"/>
        <v>2</v>
      </c>
      <c r="J10" s="46">
        <v>0.158</v>
      </c>
      <c r="K10" s="46" t="str">
        <f t="shared" si="1"/>
        <v>↔</v>
      </c>
      <c r="L10" s="50">
        <f t="shared" si="2"/>
        <v>22.041022752</v>
      </c>
      <c r="M10" s="49"/>
      <c r="N10" s="50">
        <f t="shared" si="3"/>
        <v>22.041022752</v>
      </c>
      <c r="O10" s="46">
        <v>70</v>
      </c>
      <c r="P10" s="46">
        <v>70</v>
      </c>
      <c r="Q10" s="49">
        <f t="shared" si="4"/>
        <v>0</v>
      </c>
      <c r="R10" s="46"/>
      <c r="S10" s="46"/>
      <c r="T10" s="51">
        <f t="shared" si="5"/>
        <v>0</v>
      </c>
    </row>
    <row r="11" spans="1:20" x14ac:dyDescent="0.3">
      <c r="A11" s="45" t="s">
        <v>242</v>
      </c>
      <c r="B11" s="46">
        <v>6</v>
      </c>
      <c r="C11" s="47" t="s">
        <v>104</v>
      </c>
      <c r="D11" s="44" t="s">
        <v>99</v>
      </c>
      <c r="E11" s="46" t="s">
        <v>240</v>
      </c>
      <c r="F11" s="48">
        <f>10.7639 * (0.8*2.7)</f>
        <v>23.250024</v>
      </c>
      <c r="G11" s="46">
        <v>78</v>
      </c>
      <c r="H11" s="46">
        <v>120</v>
      </c>
      <c r="I11" s="49">
        <f t="shared" si="0"/>
        <v>42</v>
      </c>
      <c r="J11" s="46">
        <v>0.313</v>
      </c>
      <c r="K11" s="46" t="str">
        <f t="shared" si="1"/>
        <v>↔</v>
      </c>
      <c r="L11" s="50">
        <f t="shared" si="2"/>
        <v>305.64481550400001</v>
      </c>
      <c r="M11" s="49"/>
      <c r="N11" s="50">
        <f t="shared" si="3"/>
        <v>305.64481550400001</v>
      </c>
      <c r="O11" s="46">
        <v>70</v>
      </c>
      <c r="P11" s="46">
        <v>70</v>
      </c>
      <c r="Q11" s="49">
        <f t="shared" si="4"/>
        <v>0</v>
      </c>
      <c r="R11" s="46"/>
      <c r="S11" s="46"/>
      <c r="T11" s="51">
        <f t="shared" si="5"/>
        <v>0</v>
      </c>
    </row>
    <row r="12" spans="1:20" x14ac:dyDescent="0.3">
      <c r="A12" s="45" t="s">
        <v>178</v>
      </c>
      <c r="B12" s="46">
        <v>2</v>
      </c>
      <c r="C12" s="47" t="s">
        <v>175</v>
      </c>
      <c r="D12" s="44" t="s">
        <v>106</v>
      </c>
      <c r="E12" s="46"/>
      <c r="F12" s="48">
        <f>10.7639 * (24.32)</f>
        <v>261.77804800000001</v>
      </c>
      <c r="G12" s="46">
        <v>78</v>
      </c>
      <c r="H12" s="46">
        <v>130</v>
      </c>
      <c r="I12" s="49">
        <f t="shared" si="0"/>
        <v>52</v>
      </c>
      <c r="J12" s="46">
        <v>0.14399999999999999</v>
      </c>
      <c r="K12" s="46" t="str">
        <f>_xlfn.UNICHAR(8595)</f>
        <v>↓</v>
      </c>
      <c r="L12" s="50">
        <f t="shared" si="2"/>
        <v>1960.1940234240001</v>
      </c>
      <c r="M12" s="49"/>
      <c r="N12" s="50">
        <f t="shared" si="3"/>
        <v>1960.1940234240001</v>
      </c>
      <c r="O12" s="46">
        <v>70</v>
      </c>
      <c r="P12" s="46">
        <v>70</v>
      </c>
      <c r="Q12" s="49">
        <f t="shared" si="4"/>
        <v>0</v>
      </c>
      <c r="R12" s="46"/>
      <c r="S12" s="46"/>
      <c r="T12" s="51">
        <f t="shared" si="5"/>
        <v>0</v>
      </c>
    </row>
    <row r="13" spans="1:20" x14ac:dyDescent="0.3">
      <c r="A13" s="45" t="s">
        <v>210</v>
      </c>
      <c r="B13" s="46">
        <v>2</v>
      </c>
      <c r="C13" s="47" t="s">
        <v>175</v>
      </c>
      <c r="D13" s="44" t="s">
        <v>106</v>
      </c>
      <c r="E13" s="46" t="s">
        <v>243</v>
      </c>
      <c r="F13" s="48">
        <f>10.7639 * (3*1.2)</f>
        <v>38.750039999999991</v>
      </c>
      <c r="G13" s="46">
        <v>78</v>
      </c>
      <c r="H13" s="46">
        <v>80</v>
      </c>
      <c r="I13" s="49">
        <f t="shared" si="0"/>
        <v>2</v>
      </c>
      <c r="J13" s="46">
        <v>0.14399999999999999</v>
      </c>
      <c r="K13" s="46" t="str">
        <f>_xlfn.UNICHAR(8595)</f>
        <v>↓</v>
      </c>
      <c r="L13" s="50">
        <f t="shared" si="2"/>
        <v>11.160011519999996</v>
      </c>
      <c r="M13" s="49"/>
      <c r="N13" s="50">
        <f t="shared" si="3"/>
        <v>11.160011519999996</v>
      </c>
      <c r="O13" s="46">
        <v>70</v>
      </c>
      <c r="P13" s="46">
        <v>70</v>
      </c>
      <c r="Q13" s="49">
        <f t="shared" si="4"/>
        <v>0</v>
      </c>
      <c r="R13" s="46"/>
      <c r="S13" s="46"/>
      <c r="T13" s="51">
        <f t="shared" si="5"/>
        <v>0</v>
      </c>
    </row>
    <row r="14" spans="1:20" x14ac:dyDescent="0.3">
      <c r="A14" s="45" t="s">
        <v>244</v>
      </c>
      <c r="B14" s="46">
        <v>1</v>
      </c>
      <c r="C14" s="47" t="s">
        <v>175</v>
      </c>
      <c r="D14" s="44" t="s">
        <v>90</v>
      </c>
      <c r="E14" s="46"/>
      <c r="F14" s="48">
        <f>10.7639 * (10.08)</f>
        <v>108.500112</v>
      </c>
      <c r="G14" s="46">
        <v>78</v>
      </c>
      <c r="H14" s="46">
        <v>110</v>
      </c>
      <c r="I14" s="49">
        <f t="shared" si="0"/>
        <v>32</v>
      </c>
      <c r="J14" s="46">
        <v>0.17100000000000001</v>
      </c>
      <c r="K14" s="46" t="str">
        <f>_xlfn.UNICHAR(8593)</f>
        <v>↑</v>
      </c>
      <c r="L14" s="50">
        <f t="shared" si="2"/>
        <v>593.71261286400011</v>
      </c>
      <c r="M14" s="49"/>
      <c r="N14" s="50">
        <f t="shared" si="3"/>
        <v>593.71261286400011</v>
      </c>
      <c r="O14" s="46">
        <v>70</v>
      </c>
      <c r="P14" s="46">
        <v>70</v>
      </c>
      <c r="Q14" s="49">
        <f t="shared" si="4"/>
        <v>0</v>
      </c>
      <c r="R14" s="46"/>
      <c r="S14" s="46"/>
      <c r="T14" s="51">
        <f t="shared" si="5"/>
        <v>0</v>
      </c>
    </row>
    <row r="15" spans="1:20" x14ac:dyDescent="0.3">
      <c r="A15" s="45" t="s">
        <v>245</v>
      </c>
      <c r="B15" s="46">
        <v>1</v>
      </c>
      <c r="C15" s="47" t="s">
        <v>175</v>
      </c>
      <c r="D15" s="44" t="s">
        <v>90</v>
      </c>
      <c r="E15" s="46"/>
      <c r="F15" s="48">
        <f>10.7639 * (13.64)</f>
        <v>146.81959599999999</v>
      </c>
      <c r="G15" s="46">
        <v>78</v>
      </c>
      <c r="H15" s="46">
        <v>78</v>
      </c>
      <c r="I15" s="49">
        <f t="shared" si="0"/>
        <v>0</v>
      </c>
      <c r="J15" s="46">
        <v>0.17100000000000001</v>
      </c>
      <c r="K15" s="46" t="str">
        <f>_xlfn.UNICHAR(8593)</f>
        <v>↑</v>
      </c>
      <c r="L15" s="50">
        <f t="shared" si="2"/>
        <v>0</v>
      </c>
      <c r="M15" s="49"/>
      <c r="N15" s="50">
        <f t="shared" si="3"/>
        <v>0</v>
      </c>
      <c r="O15" s="46">
        <v>70</v>
      </c>
      <c r="P15" s="46">
        <v>70</v>
      </c>
      <c r="Q15" s="49">
        <f t="shared" si="4"/>
        <v>0</v>
      </c>
      <c r="R15" s="46"/>
      <c r="S15" s="46"/>
      <c r="T15" s="51">
        <f t="shared" si="5"/>
        <v>0</v>
      </c>
    </row>
    <row r="16" spans="1:20" x14ac:dyDescent="0.3">
      <c r="A16" s="45" t="s">
        <v>190</v>
      </c>
      <c r="B16" s="46">
        <v>6</v>
      </c>
      <c r="C16" s="47" t="s">
        <v>175</v>
      </c>
      <c r="D16" s="44" t="s">
        <v>99</v>
      </c>
      <c r="E16" s="46" t="s">
        <v>246</v>
      </c>
      <c r="F16" s="48">
        <f>10.7639 * (1*2.7)</f>
        <v>29.062530000000002</v>
      </c>
      <c r="G16" s="46">
        <v>78</v>
      </c>
      <c r="H16" s="46">
        <v>80</v>
      </c>
      <c r="I16" s="49">
        <f t="shared" si="0"/>
        <v>2</v>
      </c>
      <c r="J16" s="46">
        <v>0.158</v>
      </c>
      <c r="K16" s="46" t="str">
        <f>_xlfn.UNICHAR(8596)</f>
        <v>↔</v>
      </c>
      <c r="L16" s="50">
        <f t="shared" si="2"/>
        <v>9.1837594800000009</v>
      </c>
      <c r="M16" s="49"/>
      <c r="N16" s="50">
        <f t="shared" si="3"/>
        <v>9.1837594800000009</v>
      </c>
      <c r="O16" s="46">
        <v>70</v>
      </c>
      <c r="P16" s="46">
        <v>70</v>
      </c>
      <c r="Q16" s="49">
        <f t="shared" si="4"/>
        <v>0</v>
      </c>
      <c r="R16" s="46"/>
      <c r="S16" s="46"/>
      <c r="T16" s="51">
        <f t="shared" si="5"/>
        <v>0</v>
      </c>
    </row>
    <row r="17" spans="1:20" x14ac:dyDescent="0.3">
      <c r="A17" s="45" t="s">
        <v>190</v>
      </c>
      <c r="B17" s="46">
        <v>1</v>
      </c>
      <c r="C17" s="47" t="s">
        <v>175</v>
      </c>
      <c r="D17" s="44" t="s">
        <v>90</v>
      </c>
      <c r="E17" s="46" t="s">
        <v>247</v>
      </c>
      <c r="F17" s="48">
        <f>10.7639 * (0.6*1)</f>
        <v>6.4583399999999997</v>
      </c>
      <c r="G17" s="46">
        <v>78</v>
      </c>
      <c r="H17" s="46">
        <v>80</v>
      </c>
      <c r="I17" s="49">
        <f t="shared" si="0"/>
        <v>2</v>
      </c>
      <c r="J17" s="46">
        <v>0.17100000000000001</v>
      </c>
      <c r="K17" s="46" t="str">
        <f>_xlfn.UNICHAR(8593)</f>
        <v>↑</v>
      </c>
      <c r="L17" s="50">
        <f t="shared" si="2"/>
        <v>2.2087522800000001</v>
      </c>
      <c r="M17" s="49"/>
      <c r="N17" s="50">
        <f t="shared" si="3"/>
        <v>2.2087522800000001</v>
      </c>
      <c r="O17" s="46">
        <v>70</v>
      </c>
      <c r="P17" s="46">
        <v>70</v>
      </c>
      <c r="Q17" s="49">
        <f t="shared" si="4"/>
        <v>0</v>
      </c>
      <c r="R17" s="46"/>
      <c r="S17" s="46"/>
      <c r="T17" s="51">
        <f t="shared" si="5"/>
        <v>0</v>
      </c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9"/>
      <c r="J19" s="44"/>
      <c r="K19" s="44"/>
      <c r="L19" s="44"/>
      <c r="M19" s="44"/>
      <c r="N19" s="50">
        <f>SUM(N5:N17)</f>
        <v>4053.8005595640002</v>
      </c>
      <c r="O19" s="44"/>
      <c r="P19" s="44"/>
      <c r="Q19" s="44"/>
      <c r="R19" s="44"/>
      <c r="S19" s="44"/>
      <c r="T19" s="50">
        <f>SUM(T5:T17)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(0.6*0.5))*4</f>
        <v>12.916679999999999</v>
      </c>
      <c r="G20" s="44"/>
      <c r="H20" s="44"/>
      <c r="I20" s="49"/>
      <c r="J20" s="44"/>
      <c r="K20" s="44"/>
      <c r="L20" s="46">
        <f>F20*160</f>
        <v>2066.6687999999999</v>
      </c>
      <c r="M20" s="44"/>
      <c r="N20" s="50">
        <f t="shared" ref="N20:N27" si="6">L20+M20</f>
        <v>2066.6687999999999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27.92</f>
        <v>300.52808800000003</v>
      </c>
      <c r="G21" s="44"/>
      <c r="H21" s="44"/>
      <c r="I21" s="49"/>
      <c r="J21" s="44"/>
      <c r="K21" s="44"/>
      <c r="L21" s="44">
        <f>4*F21</f>
        <v>1202.1123520000001</v>
      </c>
      <c r="M21" s="44"/>
      <c r="N21" s="50">
        <f t="shared" si="6"/>
        <v>1202.1123520000001</v>
      </c>
      <c r="O21" s="44"/>
      <c r="P21" s="44"/>
      <c r="Q21" s="44"/>
      <c r="R21" s="44"/>
      <c r="S21" s="44"/>
      <c r="T21" s="54"/>
    </row>
    <row r="22" spans="1:20" x14ac:dyDescent="0.3">
      <c r="A22" s="53" t="s">
        <v>248</v>
      </c>
      <c r="B22" s="44">
        <v>8</v>
      </c>
      <c r="C22" s="44"/>
      <c r="D22" s="44"/>
      <c r="E22" s="44"/>
      <c r="F22" s="44"/>
      <c r="G22" s="44"/>
      <c r="H22" s="44"/>
      <c r="I22" s="49"/>
      <c r="J22" s="44"/>
      <c r="K22" s="44"/>
      <c r="L22" s="46">
        <v>13500</v>
      </c>
      <c r="M22" s="46">
        <v>6900</v>
      </c>
      <c r="N22" s="50">
        <f t="shared" si="6"/>
        <v>20400</v>
      </c>
      <c r="O22" s="44"/>
      <c r="P22" s="44"/>
      <c r="Q22" s="44"/>
      <c r="R22" s="44"/>
      <c r="S22" s="44"/>
      <c r="T22" s="54"/>
    </row>
    <row r="23" spans="1:20" x14ac:dyDescent="0.3">
      <c r="A23" s="53" t="s">
        <v>249</v>
      </c>
      <c r="B23" s="44">
        <v>8</v>
      </c>
      <c r="C23" s="44"/>
      <c r="D23" s="44"/>
      <c r="E23" s="44"/>
      <c r="F23" s="44"/>
      <c r="G23" s="44"/>
      <c r="H23" s="44"/>
      <c r="I23" s="49"/>
      <c r="J23" s="44"/>
      <c r="K23" s="44"/>
      <c r="L23" s="46">
        <v>13500</v>
      </c>
      <c r="M23" s="46">
        <v>6900</v>
      </c>
      <c r="N23" s="50">
        <f t="shared" si="6"/>
        <v>20400</v>
      </c>
      <c r="O23" s="44"/>
      <c r="P23" s="44"/>
      <c r="Q23" s="44"/>
      <c r="R23" s="44"/>
      <c r="S23" s="44"/>
      <c r="T23" s="54"/>
    </row>
    <row r="24" spans="1:20" x14ac:dyDescent="0.3">
      <c r="A24" s="53" t="s">
        <v>250</v>
      </c>
      <c r="B24" s="44">
        <v>8</v>
      </c>
      <c r="C24" s="44"/>
      <c r="D24" s="44"/>
      <c r="E24" s="44"/>
      <c r="F24" s="44"/>
      <c r="G24" s="44"/>
      <c r="H24" s="44"/>
      <c r="I24" s="49"/>
      <c r="J24" s="44"/>
      <c r="K24" s="44"/>
      <c r="L24" s="46">
        <v>1120</v>
      </c>
      <c r="M24" s="46">
        <v>580</v>
      </c>
      <c r="N24" s="50">
        <f t="shared" si="6"/>
        <v>1700</v>
      </c>
      <c r="O24" s="44"/>
      <c r="P24" s="44"/>
      <c r="Q24" s="44"/>
      <c r="R24" s="44"/>
      <c r="S24" s="44"/>
      <c r="T24" s="54"/>
    </row>
    <row r="25" spans="1:20" x14ac:dyDescent="0.3">
      <c r="A25" s="53" t="s">
        <v>251</v>
      </c>
      <c r="B25" s="44">
        <v>8</v>
      </c>
      <c r="C25" s="44"/>
      <c r="D25" s="44"/>
      <c r="E25" s="44"/>
      <c r="F25" s="44"/>
      <c r="G25" s="44"/>
      <c r="H25" s="44"/>
      <c r="I25" s="49"/>
      <c r="J25" s="44"/>
      <c r="K25" s="44"/>
      <c r="L25" s="46">
        <v>1300</v>
      </c>
      <c r="M25" s="44"/>
      <c r="N25" s="50">
        <f t="shared" si="6"/>
        <v>1300</v>
      </c>
      <c r="O25" s="44"/>
      <c r="P25" s="44"/>
      <c r="Q25" s="44"/>
      <c r="R25" s="44"/>
      <c r="S25" s="44"/>
      <c r="T25" s="54"/>
    </row>
    <row r="26" spans="1:20" x14ac:dyDescent="0.3">
      <c r="A26" s="53" t="s">
        <v>113</v>
      </c>
      <c r="B26" s="44">
        <v>8</v>
      </c>
      <c r="C26" s="44"/>
      <c r="D26" s="44"/>
      <c r="E26" s="44"/>
      <c r="F26" s="44"/>
      <c r="G26" s="44"/>
      <c r="H26" s="44"/>
      <c r="I26" s="49"/>
      <c r="J26" s="44"/>
      <c r="K26" s="44"/>
      <c r="L26" s="46">
        <f>30*21</f>
        <v>630</v>
      </c>
      <c r="M26" s="46">
        <f>30*21</f>
        <v>630</v>
      </c>
      <c r="N26" s="49">
        <f t="shared" si="6"/>
        <v>1260</v>
      </c>
      <c r="O26" s="44"/>
      <c r="P26" s="44"/>
      <c r="Q26" s="44"/>
      <c r="R26" s="44"/>
      <c r="S26" s="44"/>
      <c r="T26" s="44"/>
    </row>
    <row r="27" spans="1:20" x14ac:dyDescent="0.3">
      <c r="A27" s="53" t="s">
        <v>114</v>
      </c>
      <c r="B27" s="44">
        <v>9</v>
      </c>
      <c r="C27" s="44"/>
      <c r="D27" s="44"/>
      <c r="E27" s="44"/>
      <c r="F27" s="44"/>
      <c r="G27" s="44"/>
      <c r="H27" s="44"/>
      <c r="I27" s="49"/>
      <c r="J27" s="44"/>
      <c r="K27" s="44"/>
      <c r="L27" s="46">
        <f>2*315</f>
        <v>630</v>
      </c>
      <c r="M27" s="46">
        <f>2*485</f>
        <v>970</v>
      </c>
      <c r="N27" s="51">
        <f t="shared" si="6"/>
        <v>1600</v>
      </c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53982.581711564002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53982.581711564002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300.52808800000003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2662.1583450315843</v>
      </c>
      <c r="G37" s="44" t="s">
        <v>124</v>
      </c>
    </row>
    <row r="38" spans="1:20" x14ac:dyDescent="0.3">
      <c r="E38" s="44" t="s">
        <v>125</v>
      </c>
      <c r="F38" s="56">
        <f>F37/30</f>
        <v>88.738611501052816</v>
      </c>
      <c r="G38" s="44" t="s">
        <v>126</v>
      </c>
    </row>
    <row r="39" spans="1:20" x14ac:dyDescent="0.3">
      <c r="E39" s="44" t="s">
        <v>127</v>
      </c>
      <c r="F39" s="50">
        <f>SUM($L$5:$L$28)</f>
        <v>38002.581711564002</v>
      </c>
      <c r="G39" s="44" t="s">
        <v>128</v>
      </c>
    </row>
    <row r="40" spans="1:20" x14ac:dyDescent="0.3">
      <c r="E40" s="44" t="s">
        <v>129</v>
      </c>
      <c r="F40" s="49">
        <f>SUM($M$5:$M$28)</f>
        <v>15980</v>
      </c>
      <c r="G40" s="44" t="s">
        <v>128</v>
      </c>
    </row>
    <row r="41" spans="1:20" x14ac:dyDescent="0.3">
      <c r="E41" s="44" t="s">
        <v>130</v>
      </c>
      <c r="F41" s="50">
        <f>$N$29</f>
        <v>53982.581711564002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1407.5030263542224</v>
      </c>
      <c r="G43" s="44" t="s">
        <v>126</v>
      </c>
    </row>
    <row r="44" spans="1:20" x14ac:dyDescent="0.3">
      <c r="E44" s="44" t="s">
        <v>126</v>
      </c>
      <c r="F44" s="57">
        <f>ROUNDUP(F43,0)</f>
        <v>1408</v>
      </c>
      <c r="G44" s="44" t="s">
        <v>126</v>
      </c>
    </row>
    <row r="45" spans="1:20" x14ac:dyDescent="0.3">
      <c r="E45" s="44" t="s">
        <v>133</v>
      </c>
      <c r="F45" s="50">
        <f>F44*0.0002930711</f>
        <v>0.41264410879999996</v>
      </c>
      <c r="G45" s="44" t="s">
        <v>134</v>
      </c>
    </row>
    <row r="46" spans="1:20" x14ac:dyDescent="0.3">
      <c r="E46" s="44" t="s">
        <v>135</v>
      </c>
      <c r="F46" s="50">
        <f>F39/F41</f>
        <v>0.70397858914226752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7" t="s">
        <v>165</v>
      </c>
      <c r="B55" s="7"/>
      <c r="C55" s="7"/>
      <c r="D55" s="7" t="s">
        <v>166</v>
      </c>
      <c r="E55" s="7"/>
      <c r="F55" s="7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7"/>
      <c r="B56" s="7"/>
      <c r="C56" s="7"/>
      <c r="D56" s="7"/>
      <c r="E56" s="7"/>
      <c r="F56" s="7"/>
      <c r="G56" s="6" t="s">
        <v>168</v>
      </c>
      <c r="H56" s="6"/>
      <c r="I56" s="6"/>
      <c r="J56" s="6"/>
      <c r="K56" s="6" t="s">
        <v>169</v>
      </c>
      <c r="L56" s="6"/>
      <c r="M56" s="6"/>
      <c r="N56" s="6"/>
      <c r="O56" s="6"/>
      <c r="P56" s="6"/>
      <c r="Q56" s="6"/>
      <c r="R56" s="53" t="s">
        <v>170</v>
      </c>
      <c r="S56" s="6"/>
      <c r="T56" s="6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T254"/>
  <sheetViews>
    <sheetView topLeftCell="A43" zoomScale="95" zoomScaleNormal="95" workbookViewId="0">
      <selection activeCell="A43" sqref="A4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6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229</v>
      </c>
      <c r="B2" s="11"/>
      <c r="C2" s="11">
        <v>5002</v>
      </c>
      <c r="D2" s="11"/>
      <c r="E2" s="43" t="s">
        <v>230</v>
      </c>
      <c r="F2" s="43" t="s">
        <v>231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108</v>
      </c>
      <c r="B5" s="46">
        <v>3</v>
      </c>
      <c r="C5" s="47" t="s">
        <v>205</v>
      </c>
      <c r="D5" s="44" t="s">
        <v>99</v>
      </c>
      <c r="E5" s="46" t="s">
        <v>252</v>
      </c>
      <c r="F5" s="48">
        <f>10.7639 * (5.8*2.7 + 6*2.7)</f>
        <v>342.93785400000002</v>
      </c>
      <c r="G5" s="46">
        <v>78</v>
      </c>
      <c r="H5" s="46">
        <v>95</v>
      </c>
      <c r="I5" s="49">
        <f t="shared" ref="I5:I13" si="0">H5-G5</f>
        <v>17</v>
      </c>
      <c r="J5" s="46">
        <v>6.3E-2</v>
      </c>
      <c r="K5" s="46" t="str">
        <f>_xlfn.UNICHAR(8596)</f>
        <v>↔</v>
      </c>
      <c r="L5" s="50">
        <f t="shared" ref="L5:L13" si="1">F5*I5*J5</f>
        <v>367.28644163400003</v>
      </c>
      <c r="M5" s="49"/>
      <c r="N5" s="50">
        <f t="shared" ref="N5:N13" si="2">L5+M5</f>
        <v>367.28644163400003</v>
      </c>
      <c r="O5" s="46">
        <v>70</v>
      </c>
      <c r="P5" s="46">
        <v>70</v>
      </c>
      <c r="Q5" s="49">
        <f t="shared" ref="Q5:Q13" si="3">O5-P5</f>
        <v>0</v>
      </c>
      <c r="R5" s="46"/>
      <c r="S5" s="46"/>
      <c r="T5" s="51">
        <f t="shared" ref="T5:T13" si="4">F5*Q5*R5</f>
        <v>0</v>
      </c>
    </row>
    <row r="6" spans="1:20" x14ac:dyDescent="0.3">
      <c r="A6" s="45" t="s">
        <v>237</v>
      </c>
      <c r="B6" s="46">
        <v>6</v>
      </c>
      <c r="C6" s="47" t="s">
        <v>175</v>
      </c>
      <c r="D6" s="44" t="s">
        <v>99</v>
      </c>
      <c r="E6" s="46" t="s">
        <v>253</v>
      </c>
      <c r="F6" s="48">
        <f>10.7639 *(4*2.7)</f>
        <v>116.25012000000001</v>
      </c>
      <c r="G6" s="46">
        <v>78</v>
      </c>
      <c r="H6" s="46">
        <v>105</v>
      </c>
      <c r="I6" s="49">
        <f t="shared" si="0"/>
        <v>27</v>
      </c>
      <c r="J6" s="46">
        <v>0.158</v>
      </c>
      <c r="K6" s="46" t="str">
        <f>_xlfn.UNICHAR(8596)</f>
        <v>↔</v>
      </c>
      <c r="L6" s="50">
        <f t="shared" si="1"/>
        <v>495.92301192000008</v>
      </c>
      <c r="M6" s="49"/>
      <c r="N6" s="50">
        <f t="shared" si="2"/>
        <v>495.92301192000008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45" t="s">
        <v>190</v>
      </c>
      <c r="B7" s="46">
        <v>6</v>
      </c>
      <c r="C7" s="47" t="s">
        <v>175</v>
      </c>
      <c r="D7" s="44" t="s">
        <v>99</v>
      </c>
      <c r="E7" s="46" t="s">
        <v>254</v>
      </c>
      <c r="F7" s="48">
        <f>10.7639 *((3+3.5+1.3)*2.7)</f>
        <v>226.68773400000001</v>
      </c>
      <c r="G7" s="46">
        <v>78</v>
      </c>
      <c r="H7" s="46">
        <v>80</v>
      </c>
      <c r="I7" s="49">
        <f t="shared" si="0"/>
        <v>2</v>
      </c>
      <c r="J7" s="46">
        <v>0.158</v>
      </c>
      <c r="K7" s="46" t="str">
        <f>_xlfn.UNICHAR(8596)</f>
        <v>↔</v>
      </c>
      <c r="L7" s="50">
        <f t="shared" si="1"/>
        <v>71.633323943999997</v>
      </c>
      <c r="M7" s="49"/>
      <c r="N7" s="50">
        <f t="shared" si="2"/>
        <v>71.633323943999997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45" t="s">
        <v>178</v>
      </c>
      <c r="B8" s="46">
        <v>2</v>
      </c>
      <c r="C8" s="47" t="s">
        <v>255</v>
      </c>
      <c r="D8" s="44" t="s">
        <v>106</v>
      </c>
      <c r="E8" s="46"/>
      <c r="F8" s="48">
        <f>10.7639 * (27.7)</f>
        <v>298.16003000000001</v>
      </c>
      <c r="G8" s="46">
        <v>78</v>
      </c>
      <c r="H8" s="46">
        <v>130</v>
      </c>
      <c r="I8" s="49">
        <f t="shared" si="0"/>
        <v>52</v>
      </c>
      <c r="J8" s="46">
        <v>0.19900000000000001</v>
      </c>
      <c r="K8" s="46" t="str">
        <f>_xlfn.UNICHAR(8595)</f>
        <v>↓</v>
      </c>
      <c r="L8" s="50">
        <f t="shared" si="1"/>
        <v>3085.3599904400003</v>
      </c>
      <c r="M8" s="49"/>
      <c r="N8" s="50">
        <f t="shared" si="2"/>
        <v>3085.3599904400003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45" t="s">
        <v>256</v>
      </c>
      <c r="B9" s="46">
        <v>2</v>
      </c>
      <c r="C9" s="47" t="s">
        <v>255</v>
      </c>
      <c r="D9" s="44" t="s">
        <v>106</v>
      </c>
      <c r="E9" s="46" t="s">
        <v>257</v>
      </c>
      <c r="F9" s="48">
        <f>10.7639 * (5.8*1.7)</f>
        <v>106.132054</v>
      </c>
      <c r="G9" s="46">
        <v>78</v>
      </c>
      <c r="H9" s="46">
        <v>110</v>
      </c>
      <c r="I9" s="49">
        <f t="shared" si="0"/>
        <v>32</v>
      </c>
      <c r="J9" s="46">
        <v>0.19900000000000001</v>
      </c>
      <c r="K9" s="46" t="str">
        <f>_xlfn.UNICHAR(8595)</f>
        <v>↓</v>
      </c>
      <c r="L9" s="50">
        <f t="shared" si="1"/>
        <v>675.84891987200001</v>
      </c>
      <c r="M9" s="49"/>
      <c r="N9" s="50">
        <f t="shared" si="2"/>
        <v>675.84891987200001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45" t="s">
        <v>258</v>
      </c>
      <c r="B10" s="46">
        <v>1</v>
      </c>
      <c r="C10" s="47" t="s">
        <v>175</v>
      </c>
      <c r="D10" s="44" t="s">
        <v>90</v>
      </c>
      <c r="E10" s="46"/>
      <c r="F10" s="48">
        <f>10.7639 * (27.26)</f>
        <v>293.42391400000002</v>
      </c>
      <c r="G10" s="46">
        <v>78</v>
      </c>
      <c r="H10" s="46">
        <v>110</v>
      </c>
      <c r="I10" s="49">
        <f t="shared" si="0"/>
        <v>32</v>
      </c>
      <c r="J10" s="46">
        <v>0.17100000000000001</v>
      </c>
      <c r="K10" s="46" t="str">
        <f>_xlfn.UNICHAR(8593)</f>
        <v>↑</v>
      </c>
      <c r="L10" s="50">
        <f t="shared" si="1"/>
        <v>1605.6156574080003</v>
      </c>
      <c r="M10" s="49"/>
      <c r="N10" s="50">
        <f t="shared" si="2"/>
        <v>1605.6156574080003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45" t="s">
        <v>259</v>
      </c>
      <c r="B11" s="46">
        <v>1</v>
      </c>
      <c r="C11" s="47" t="s">
        <v>175</v>
      </c>
      <c r="D11" s="44" t="s">
        <v>90</v>
      </c>
      <c r="E11" s="46"/>
      <c r="F11" s="48">
        <f>10.7639 * (2.89)</f>
        <v>31.107671</v>
      </c>
      <c r="G11" s="46">
        <v>78</v>
      </c>
      <c r="H11" s="46">
        <v>78</v>
      </c>
      <c r="I11" s="49">
        <f t="shared" si="0"/>
        <v>0</v>
      </c>
      <c r="J11" s="46">
        <v>0.17100000000000001</v>
      </c>
      <c r="K11" s="46" t="str">
        <f>_xlfn.UNICHAR(8593)</f>
        <v>↑</v>
      </c>
      <c r="L11" s="50">
        <f t="shared" si="1"/>
        <v>0</v>
      </c>
      <c r="M11" s="49"/>
      <c r="N11" s="50">
        <f t="shared" si="2"/>
        <v>0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45" t="s">
        <v>190</v>
      </c>
      <c r="B12" s="46">
        <v>1</v>
      </c>
      <c r="C12" s="47" t="s">
        <v>175</v>
      </c>
      <c r="D12" s="44" t="s">
        <v>90</v>
      </c>
      <c r="E12" s="46"/>
      <c r="F12" s="48">
        <f>10.7639 * (5.2)</f>
        <v>55.972279999999998</v>
      </c>
      <c r="G12" s="46">
        <v>78</v>
      </c>
      <c r="H12" s="46">
        <v>80</v>
      </c>
      <c r="I12" s="49">
        <f t="shared" si="0"/>
        <v>2</v>
      </c>
      <c r="J12" s="46">
        <v>0.17100000000000001</v>
      </c>
      <c r="K12" s="46" t="str">
        <f>_xlfn.UNICHAR(8593)</f>
        <v>↑</v>
      </c>
      <c r="L12" s="50">
        <f t="shared" si="1"/>
        <v>19.142519759999999</v>
      </c>
      <c r="M12" s="49"/>
      <c r="N12" s="50">
        <f t="shared" si="2"/>
        <v>19.142519759999999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45" t="s">
        <v>260</v>
      </c>
      <c r="B13" s="46">
        <v>1</v>
      </c>
      <c r="C13" s="47" t="s">
        <v>175</v>
      </c>
      <c r="D13" s="44" t="s">
        <v>90</v>
      </c>
      <c r="E13" s="46"/>
      <c r="F13" s="48">
        <f>10.7639 * (2.21)</f>
        <v>23.788218999999998</v>
      </c>
      <c r="G13" s="46">
        <v>78</v>
      </c>
      <c r="H13" s="46">
        <v>85</v>
      </c>
      <c r="I13" s="49">
        <f t="shared" si="0"/>
        <v>7</v>
      </c>
      <c r="J13" s="46">
        <v>0.17100000000000001</v>
      </c>
      <c r="K13" s="46" t="str">
        <f>_xlfn.UNICHAR(8593)</f>
        <v>↑</v>
      </c>
      <c r="L13" s="50">
        <f t="shared" si="1"/>
        <v>28.474498142999998</v>
      </c>
      <c r="M13" s="49"/>
      <c r="N13" s="50">
        <f t="shared" si="2"/>
        <v>28.474498142999998</v>
      </c>
      <c r="O13" s="46">
        <v>70</v>
      </c>
      <c r="P13" s="46">
        <v>70</v>
      </c>
      <c r="Q13" s="49">
        <f t="shared" si="3"/>
        <v>0</v>
      </c>
      <c r="R13" s="46"/>
      <c r="S13" s="46"/>
      <c r="T13" s="51">
        <f t="shared" si="4"/>
        <v>0</v>
      </c>
    </row>
    <row r="14" spans="1:20" x14ac:dyDescent="0.3">
      <c r="A14" s="53"/>
      <c r="B14" s="44"/>
      <c r="C14" s="44"/>
      <c r="D14" s="44"/>
      <c r="E14" s="44"/>
      <c r="F14" s="54"/>
      <c r="G14" s="44"/>
      <c r="H14" s="44"/>
      <c r="I14" s="44"/>
      <c r="J14" s="44"/>
      <c r="K14" s="44"/>
      <c r="L14" s="54"/>
      <c r="M14" s="44"/>
      <c r="N14" s="54"/>
      <c r="O14" s="44"/>
      <c r="P14" s="44"/>
      <c r="Q14" s="44"/>
      <c r="R14" s="44"/>
      <c r="S14" s="44"/>
      <c r="T14" s="69"/>
    </row>
    <row r="15" spans="1:20" x14ac:dyDescent="0.3">
      <c r="A15" s="53"/>
      <c r="B15" s="44"/>
      <c r="C15" s="44"/>
      <c r="D15" s="44"/>
      <c r="E15" s="44"/>
      <c r="F15" s="54"/>
      <c r="G15" s="44"/>
      <c r="H15" s="44"/>
      <c r="I15" s="44"/>
      <c r="J15" s="44"/>
      <c r="K15" s="44"/>
      <c r="L15" s="54"/>
      <c r="M15" s="44"/>
      <c r="N15" s="54"/>
      <c r="O15" s="44"/>
      <c r="P15" s="44"/>
      <c r="Q15" s="44"/>
      <c r="R15" s="44"/>
      <c r="S15" s="44"/>
      <c r="T15" s="69"/>
    </row>
    <row r="16" spans="1:20" x14ac:dyDescent="0.3">
      <c r="A16" s="53"/>
      <c r="B16" s="44"/>
      <c r="C16" s="44"/>
      <c r="D16" s="44"/>
      <c r="E16" s="44"/>
      <c r="F16" s="54"/>
      <c r="G16" s="44"/>
      <c r="H16" s="44"/>
      <c r="I16" s="44"/>
      <c r="J16" s="44"/>
      <c r="K16" s="44"/>
      <c r="L16" s="54"/>
      <c r="M16" s="44"/>
      <c r="N16" s="54"/>
      <c r="O16" s="44"/>
      <c r="P16" s="44"/>
      <c r="Q16" s="44"/>
      <c r="R16" s="44"/>
      <c r="S16" s="44"/>
      <c r="T16" s="69"/>
    </row>
    <row r="17" spans="1:20" x14ac:dyDescent="0.3">
      <c r="A17" s="53"/>
      <c r="B17" s="44"/>
      <c r="C17" s="44"/>
      <c r="D17" s="44"/>
      <c r="E17" s="44"/>
      <c r="F17" s="54"/>
      <c r="G17" s="44"/>
      <c r="H17" s="44"/>
      <c r="I17" s="44"/>
      <c r="J17" s="44"/>
      <c r="K17" s="44"/>
      <c r="L17" s="54"/>
      <c r="M17" s="44"/>
      <c r="N17" s="54"/>
      <c r="O17" s="44"/>
      <c r="P17" s="44"/>
      <c r="Q17" s="44"/>
      <c r="R17" s="44"/>
      <c r="S17" s="44"/>
      <c r="T17" s="69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SUM(N5:N17)</f>
        <v>6349.2843631210017</v>
      </c>
      <c r="O19" s="44"/>
      <c r="P19" s="44"/>
      <c r="Q19" s="44"/>
      <c r="R19" s="44"/>
      <c r="S19" s="44"/>
      <c r="T19" s="50">
        <f>SUM(T5:T17)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(0.6*0.5))*8</f>
        <v>25.833359999999999</v>
      </c>
      <c r="G20" s="44"/>
      <c r="H20" s="44"/>
      <c r="I20" s="49"/>
      <c r="J20" s="44"/>
      <c r="K20" s="44"/>
      <c r="L20" s="46">
        <f>F20*160</f>
        <v>4133.3375999999998</v>
      </c>
      <c r="M20" s="44"/>
      <c r="N20" s="50">
        <f t="shared" ref="N20:N26" si="5">L20+M20</f>
        <v>4133.3375999999998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37.56</f>
        <v>404.29208399999999</v>
      </c>
      <c r="G21" s="44"/>
      <c r="H21" s="44"/>
      <c r="I21" s="44"/>
      <c r="J21" s="44"/>
      <c r="K21" s="44"/>
      <c r="L21" s="48">
        <f>8*F21</f>
        <v>3234.3366719999999</v>
      </c>
      <c r="M21" s="44"/>
      <c r="N21" s="50">
        <f t="shared" si="5"/>
        <v>3234.3366719999999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0">
        <f t="shared" si="5"/>
        <v>0</v>
      </c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0">
        <f t="shared" si="5"/>
        <v>0</v>
      </c>
      <c r="O23" s="44"/>
      <c r="P23" s="44"/>
      <c r="Q23" s="44"/>
      <c r="R23" s="44"/>
      <c r="S23" s="44"/>
      <c r="T23" s="54"/>
    </row>
    <row r="24" spans="1:20" x14ac:dyDescent="0.3">
      <c r="A24" s="53" t="s">
        <v>251</v>
      </c>
      <c r="B24" s="44">
        <v>8</v>
      </c>
      <c r="C24" s="44"/>
      <c r="D24" s="44"/>
      <c r="E24" s="44"/>
      <c r="F24" s="44"/>
      <c r="G24" s="44"/>
      <c r="H24" s="44"/>
      <c r="I24" s="44"/>
      <c r="J24" s="44"/>
      <c r="K24" s="44"/>
      <c r="L24" s="46">
        <v>1300</v>
      </c>
      <c r="M24" s="44"/>
      <c r="N24" s="50">
        <f t="shared" si="5"/>
        <v>1300</v>
      </c>
      <c r="O24" s="44"/>
      <c r="P24" s="44"/>
      <c r="Q24" s="44"/>
      <c r="R24" s="44"/>
      <c r="S24" s="44"/>
      <c r="T24" s="54"/>
    </row>
    <row r="25" spans="1:20" x14ac:dyDescent="0.3">
      <c r="A25" s="53" t="s">
        <v>113</v>
      </c>
      <c r="B25" s="44">
        <v>8</v>
      </c>
      <c r="C25" s="44"/>
      <c r="D25" s="44"/>
      <c r="E25" s="44"/>
      <c r="F25" s="44"/>
      <c r="G25" s="44"/>
      <c r="H25" s="44"/>
      <c r="I25" s="44"/>
      <c r="J25" s="44"/>
      <c r="K25" s="44"/>
      <c r="L25" s="46">
        <f>30*21</f>
        <v>630</v>
      </c>
      <c r="M25" s="46">
        <f>30*21</f>
        <v>630</v>
      </c>
      <c r="N25" s="49">
        <f t="shared" si="5"/>
        <v>1260</v>
      </c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315*10</f>
        <v>3150</v>
      </c>
      <c r="M26" s="46">
        <f>485*10</f>
        <v>4850</v>
      </c>
      <c r="N26" s="51">
        <f t="shared" si="5"/>
        <v>8000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24276.958635121002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24276.958635121002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404.29208399999999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3581.3276303505122</v>
      </c>
      <c r="G37" s="44" t="s">
        <v>124</v>
      </c>
    </row>
    <row r="38" spans="1:20" x14ac:dyDescent="0.3">
      <c r="E38" s="44" t="s">
        <v>125</v>
      </c>
      <c r="F38" s="56">
        <f>F37/30</f>
        <v>119.37758767835041</v>
      </c>
      <c r="G38" s="44" t="s">
        <v>126</v>
      </c>
    </row>
    <row r="39" spans="1:20" x14ac:dyDescent="0.3">
      <c r="E39" s="44" t="s">
        <v>127</v>
      </c>
      <c r="F39" s="50">
        <f>SUM($L$5:$L$28)</f>
        <v>18796.958635121002</v>
      </c>
      <c r="G39" s="44" t="s">
        <v>128</v>
      </c>
    </row>
    <row r="40" spans="1:20" x14ac:dyDescent="0.3">
      <c r="E40" s="44" t="s">
        <v>129</v>
      </c>
      <c r="F40" s="49">
        <f>SUM($M$5:$M$28)</f>
        <v>5480</v>
      </c>
      <c r="G40" s="44" t="s">
        <v>128</v>
      </c>
    </row>
    <row r="41" spans="1:20" x14ac:dyDescent="0.3">
      <c r="E41" s="44" t="s">
        <v>130</v>
      </c>
      <c r="F41" s="50">
        <f>$N$29</f>
        <v>24276.958635121002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696.18365315262974</v>
      </c>
      <c r="G43" s="44" t="s">
        <v>126</v>
      </c>
    </row>
    <row r="44" spans="1:20" x14ac:dyDescent="0.3">
      <c r="E44" s="44" t="s">
        <v>126</v>
      </c>
      <c r="F44" s="57">
        <f>ROUNDUP(F43,0)</f>
        <v>697</v>
      </c>
      <c r="G44" s="44" t="s">
        <v>126</v>
      </c>
    </row>
    <row r="45" spans="1:20" x14ac:dyDescent="0.3">
      <c r="E45" s="44" t="s">
        <v>133</v>
      </c>
      <c r="F45" s="50">
        <f>F44*0.0002930711</f>
        <v>0.20427055669999999</v>
      </c>
      <c r="G45" s="44" t="s">
        <v>134</v>
      </c>
    </row>
    <row r="46" spans="1:20" x14ac:dyDescent="0.3">
      <c r="E46" s="44" t="s">
        <v>135</v>
      </c>
      <c r="F46" s="50">
        <f>F39/F41</f>
        <v>0.77427156002679054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7" t="s">
        <v>165</v>
      </c>
      <c r="B55" s="7"/>
      <c r="C55" s="7"/>
      <c r="D55" s="7" t="s">
        <v>166</v>
      </c>
      <c r="E55" s="7"/>
      <c r="F55" s="7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7"/>
      <c r="B56" s="7"/>
      <c r="C56" s="7"/>
      <c r="D56" s="7"/>
      <c r="E56" s="7"/>
      <c r="F56" s="7"/>
      <c r="G56" s="6" t="s">
        <v>168</v>
      </c>
      <c r="H56" s="6"/>
      <c r="I56" s="6"/>
      <c r="J56" s="6"/>
      <c r="K56" s="6" t="s">
        <v>169</v>
      </c>
      <c r="L56" s="6"/>
      <c r="M56" s="6"/>
      <c r="N56" s="6"/>
      <c r="O56" s="6"/>
      <c r="P56" s="6"/>
      <c r="Q56" s="6"/>
      <c r="R56" s="53" t="s">
        <v>170</v>
      </c>
      <c r="S56" s="6"/>
      <c r="T56" s="6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T254"/>
  <sheetViews>
    <sheetView zoomScale="95" zoomScaleNormal="95" workbookViewId="0"/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261</v>
      </c>
      <c r="B2" s="11"/>
      <c r="C2" s="11">
        <v>5003</v>
      </c>
      <c r="D2" s="11"/>
      <c r="E2" s="43" t="s">
        <v>230</v>
      </c>
      <c r="F2" s="43" t="s">
        <v>262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108</v>
      </c>
      <c r="B5" s="46">
        <v>3</v>
      </c>
      <c r="C5" s="47" t="s">
        <v>205</v>
      </c>
      <c r="D5" s="44" t="s">
        <v>99</v>
      </c>
      <c r="E5" s="46" t="s">
        <v>263</v>
      </c>
      <c r="F5" s="48">
        <f>10.7639 * ((5.9*6.4)*2.7)</f>
        <v>1097.4011328000001</v>
      </c>
      <c r="G5" s="46">
        <v>78</v>
      </c>
      <c r="H5" s="46">
        <v>95</v>
      </c>
      <c r="I5" s="49">
        <f t="shared" ref="I5:I14" si="0">H5-G5</f>
        <v>17</v>
      </c>
      <c r="J5" s="46">
        <v>6.3E-2</v>
      </c>
      <c r="K5" s="46" t="str">
        <f>_xlfn.UNICHAR(8596)</f>
        <v>↔</v>
      </c>
      <c r="L5" s="50">
        <f t="shared" ref="L5:L14" si="1">F5*I5*J5</f>
        <v>1175.3166132288002</v>
      </c>
      <c r="M5" s="49"/>
      <c r="N5" s="50">
        <f t="shared" ref="N5:N14" si="2">L5+M5</f>
        <v>1175.3166132288002</v>
      </c>
      <c r="O5" s="46">
        <v>70</v>
      </c>
      <c r="P5" s="46">
        <v>70</v>
      </c>
      <c r="Q5" s="49">
        <f t="shared" ref="Q5:Q14" si="3">O5-P5</f>
        <v>0</v>
      </c>
      <c r="R5" s="46"/>
      <c r="S5" s="46"/>
      <c r="T5" s="51">
        <f t="shared" ref="T5:T14" si="4">F5*Q5*R5</f>
        <v>0</v>
      </c>
    </row>
    <row r="6" spans="1:20" x14ac:dyDescent="0.3">
      <c r="A6" s="45" t="s">
        <v>190</v>
      </c>
      <c r="B6" s="46">
        <v>6</v>
      </c>
      <c r="C6" s="47" t="s">
        <v>175</v>
      </c>
      <c r="D6" s="44" t="s">
        <v>99</v>
      </c>
      <c r="E6" s="46" t="s">
        <v>264</v>
      </c>
      <c r="F6" s="48">
        <f>10.7639 *((5.1 + 1 + 1.3)*2.7)</f>
        <v>215.06272200000001</v>
      </c>
      <c r="G6" s="46">
        <v>78</v>
      </c>
      <c r="H6" s="46">
        <v>80</v>
      </c>
      <c r="I6" s="49">
        <f t="shared" si="0"/>
        <v>2</v>
      </c>
      <c r="J6" s="46">
        <v>0.158</v>
      </c>
      <c r="K6" s="46" t="str">
        <f>_xlfn.UNICHAR(8596)</f>
        <v>↔</v>
      </c>
      <c r="L6" s="50">
        <f t="shared" si="1"/>
        <v>67.959820152000006</v>
      </c>
      <c r="M6" s="49"/>
      <c r="N6" s="50">
        <f t="shared" si="2"/>
        <v>67.959820152000006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45" t="s">
        <v>265</v>
      </c>
      <c r="B7" s="46">
        <v>6</v>
      </c>
      <c r="C7" s="47" t="s">
        <v>104</v>
      </c>
      <c r="D7" s="44" t="s">
        <v>99</v>
      </c>
      <c r="E7" s="46" t="s">
        <v>266</v>
      </c>
      <c r="F7" s="48">
        <f>10.7639 *(4.9*2.7)</f>
        <v>142.40639700000003</v>
      </c>
      <c r="G7" s="46">
        <v>78</v>
      </c>
      <c r="H7" s="46">
        <v>78</v>
      </c>
      <c r="I7" s="49">
        <f t="shared" si="0"/>
        <v>0</v>
      </c>
      <c r="J7" s="46">
        <v>0.42499999999999999</v>
      </c>
      <c r="K7" s="46" t="str">
        <f>_xlfn.UNICHAR(8596)</f>
        <v>↔</v>
      </c>
      <c r="L7" s="50">
        <f t="shared" si="1"/>
        <v>0</v>
      </c>
      <c r="M7" s="49"/>
      <c r="N7" s="50">
        <f t="shared" si="2"/>
        <v>0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45" t="s">
        <v>207</v>
      </c>
      <c r="B8" s="46">
        <v>2</v>
      </c>
      <c r="C8" s="47" t="s">
        <v>255</v>
      </c>
      <c r="D8" s="44" t="s">
        <v>106</v>
      </c>
      <c r="E8" s="46"/>
      <c r="F8" s="48">
        <f>10.7639 * (19.7)</f>
        <v>212.04882999999998</v>
      </c>
      <c r="G8" s="46">
        <v>78</v>
      </c>
      <c r="H8" s="46">
        <v>110</v>
      </c>
      <c r="I8" s="49">
        <f t="shared" si="0"/>
        <v>32</v>
      </c>
      <c r="J8" s="46">
        <v>0.19900000000000001</v>
      </c>
      <c r="K8" s="46" t="str">
        <f>_xlfn.UNICHAR(8595)</f>
        <v>↓</v>
      </c>
      <c r="L8" s="50">
        <f t="shared" si="1"/>
        <v>1350.3269494399999</v>
      </c>
      <c r="M8" s="49"/>
      <c r="N8" s="50">
        <f t="shared" si="2"/>
        <v>1350.3269494399999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45" t="s">
        <v>202</v>
      </c>
      <c r="B9" s="46">
        <v>2</v>
      </c>
      <c r="C9" s="47" t="s">
        <v>267</v>
      </c>
      <c r="D9" s="44" t="s">
        <v>106</v>
      </c>
      <c r="E9" s="46"/>
      <c r="F9" s="48">
        <f>10.7639 * (16.99)</f>
        <v>182.87866099999997</v>
      </c>
      <c r="G9" s="46">
        <v>78</v>
      </c>
      <c r="H9" s="46">
        <v>78</v>
      </c>
      <c r="I9" s="49">
        <f t="shared" si="0"/>
        <v>0</v>
      </c>
      <c r="J9" s="46">
        <v>0.14299999999999999</v>
      </c>
      <c r="K9" s="46" t="str">
        <f>_xlfn.UNICHAR(8595)</f>
        <v>↓</v>
      </c>
      <c r="L9" s="50">
        <f t="shared" si="1"/>
        <v>0</v>
      </c>
      <c r="M9" s="49"/>
      <c r="N9" s="50">
        <f t="shared" si="2"/>
        <v>0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45" t="s">
        <v>268</v>
      </c>
      <c r="B10" s="46">
        <v>1</v>
      </c>
      <c r="C10" s="47" t="s">
        <v>175</v>
      </c>
      <c r="D10" s="44" t="s">
        <v>90</v>
      </c>
      <c r="E10" s="46"/>
      <c r="F10" s="48">
        <f>10.7639 * (13.45)</f>
        <v>144.77445499999999</v>
      </c>
      <c r="G10" s="46">
        <v>78</v>
      </c>
      <c r="H10" s="46">
        <v>78</v>
      </c>
      <c r="I10" s="49">
        <f t="shared" si="0"/>
        <v>0</v>
      </c>
      <c r="J10" s="46">
        <v>0.17100000000000001</v>
      </c>
      <c r="K10" s="46" t="str">
        <f>_xlfn.UNICHAR(8593)</f>
        <v>↑</v>
      </c>
      <c r="L10" s="50">
        <f t="shared" si="1"/>
        <v>0</v>
      </c>
      <c r="M10" s="49"/>
      <c r="N10" s="50">
        <f t="shared" si="2"/>
        <v>0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45" t="s">
        <v>269</v>
      </c>
      <c r="B11" s="46">
        <v>1</v>
      </c>
      <c r="C11" s="47" t="s">
        <v>175</v>
      </c>
      <c r="D11" s="44" t="s">
        <v>90</v>
      </c>
      <c r="E11" s="46"/>
      <c r="F11" s="48">
        <f>10.7639 * (12.47)</f>
        <v>134.22583299999999</v>
      </c>
      <c r="G11" s="46">
        <v>78</v>
      </c>
      <c r="H11" s="46">
        <v>78</v>
      </c>
      <c r="I11" s="49">
        <f t="shared" si="0"/>
        <v>0</v>
      </c>
      <c r="J11" s="46">
        <v>0.17100000000000001</v>
      </c>
      <c r="K11" s="46" t="str">
        <f>_xlfn.UNICHAR(8593)</f>
        <v>↑</v>
      </c>
      <c r="L11" s="50">
        <f t="shared" si="1"/>
        <v>0</v>
      </c>
      <c r="M11" s="49"/>
      <c r="N11" s="50">
        <f t="shared" si="2"/>
        <v>0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45" t="s">
        <v>190</v>
      </c>
      <c r="B12" s="46">
        <v>1</v>
      </c>
      <c r="C12" s="47" t="s">
        <v>175</v>
      </c>
      <c r="D12" s="44" t="s">
        <v>90</v>
      </c>
      <c r="E12" s="46"/>
      <c r="F12" s="48">
        <f>10.7639 * (5.1)</f>
        <v>54.895889999999994</v>
      </c>
      <c r="G12" s="46">
        <v>78</v>
      </c>
      <c r="H12" s="46">
        <v>80</v>
      </c>
      <c r="I12" s="49">
        <f t="shared" si="0"/>
        <v>2</v>
      </c>
      <c r="J12" s="46">
        <v>0.17100000000000001</v>
      </c>
      <c r="K12" s="46" t="str">
        <f>_xlfn.UNICHAR(8593)</f>
        <v>↑</v>
      </c>
      <c r="L12" s="50">
        <f t="shared" si="1"/>
        <v>18.77439438</v>
      </c>
      <c r="M12" s="49"/>
      <c r="N12" s="50">
        <f t="shared" si="2"/>
        <v>18.77439438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53" t="s">
        <v>270</v>
      </c>
      <c r="B13" s="44">
        <v>1</v>
      </c>
      <c r="C13" s="47" t="s">
        <v>175</v>
      </c>
      <c r="D13" s="44" t="s">
        <v>90</v>
      </c>
      <c r="E13" s="46" t="s">
        <v>271</v>
      </c>
      <c r="F13" s="48">
        <f>10.7639 *(1.6*1.7)</f>
        <v>29.277808</v>
      </c>
      <c r="G13" s="46">
        <v>78</v>
      </c>
      <c r="H13" s="46">
        <v>85</v>
      </c>
      <c r="I13" s="49">
        <f t="shared" si="0"/>
        <v>7</v>
      </c>
      <c r="J13" s="46">
        <v>0.17100000000000001</v>
      </c>
      <c r="K13" s="46" t="str">
        <f>_xlfn.UNICHAR(8593)</f>
        <v>↑</v>
      </c>
      <c r="L13" s="50">
        <f t="shared" si="1"/>
        <v>35.045536176000006</v>
      </c>
      <c r="M13" s="49"/>
      <c r="N13" s="50">
        <f t="shared" si="2"/>
        <v>35.045536176000006</v>
      </c>
      <c r="O13" s="46">
        <v>70</v>
      </c>
      <c r="P13" s="46">
        <v>70</v>
      </c>
      <c r="Q13" s="49">
        <f t="shared" si="3"/>
        <v>0</v>
      </c>
      <c r="R13" s="46"/>
      <c r="S13" s="46"/>
      <c r="T13" s="51">
        <f t="shared" si="4"/>
        <v>0</v>
      </c>
    </row>
    <row r="14" spans="1:20" x14ac:dyDescent="0.3">
      <c r="A14" s="53" t="s">
        <v>272</v>
      </c>
      <c r="B14" s="44">
        <v>1</v>
      </c>
      <c r="C14" s="47" t="s">
        <v>175</v>
      </c>
      <c r="D14" s="44" t="s">
        <v>90</v>
      </c>
      <c r="E14" s="46" t="s">
        <v>271</v>
      </c>
      <c r="F14" s="48">
        <f>10.7639 *(1.6*1.7)</f>
        <v>29.277808</v>
      </c>
      <c r="G14" s="46">
        <v>78</v>
      </c>
      <c r="H14" s="46">
        <v>85</v>
      </c>
      <c r="I14" s="49">
        <f t="shared" si="0"/>
        <v>7</v>
      </c>
      <c r="J14" s="46">
        <v>0.17100000000000001</v>
      </c>
      <c r="K14" s="46" t="str">
        <f>_xlfn.UNICHAR(8593)</f>
        <v>↑</v>
      </c>
      <c r="L14" s="50">
        <f t="shared" si="1"/>
        <v>35.045536176000006</v>
      </c>
      <c r="M14" s="49"/>
      <c r="N14" s="50">
        <f t="shared" si="2"/>
        <v>35.045536176000006</v>
      </c>
      <c r="O14" s="46">
        <v>70</v>
      </c>
      <c r="P14" s="46">
        <v>70</v>
      </c>
      <c r="Q14" s="49">
        <f t="shared" si="3"/>
        <v>0</v>
      </c>
      <c r="R14" s="46"/>
      <c r="S14" s="46"/>
      <c r="T14" s="51">
        <f t="shared" si="4"/>
        <v>0</v>
      </c>
    </row>
    <row r="15" spans="1:20" x14ac:dyDescent="0.3">
      <c r="A15" s="53"/>
      <c r="B15" s="44"/>
      <c r="C15" s="44"/>
      <c r="D15" s="44"/>
      <c r="E15" s="44"/>
      <c r="F15" s="54"/>
      <c r="G15" s="44"/>
      <c r="H15" s="44"/>
      <c r="I15" s="44"/>
      <c r="J15" s="44"/>
      <c r="K15" s="44"/>
      <c r="L15" s="54"/>
      <c r="M15" s="44"/>
      <c r="N15" s="54"/>
      <c r="O15" s="44"/>
      <c r="P15" s="44"/>
      <c r="Q15" s="44"/>
      <c r="R15" s="44"/>
      <c r="S15" s="44"/>
      <c r="T15" s="69"/>
    </row>
    <row r="16" spans="1:20" x14ac:dyDescent="0.3">
      <c r="A16" s="53"/>
      <c r="B16" s="44"/>
      <c r="C16" s="44"/>
      <c r="D16" s="44"/>
      <c r="E16" s="44"/>
      <c r="F16" s="54"/>
      <c r="G16" s="44"/>
      <c r="H16" s="44"/>
      <c r="I16" s="44"/>
      <c r="J16" s="44"/>
      <c r="K16" s="44"/>
      <c r="L16" s="54"/>
      <c r="M16" s="44"/>
      <c r="N16" s="54"/>
      <c r="O16" s="44"/>
      <c r="P16" s="44"/>
      <c r="Q16" s="44"/>
      <c r="R16" s="44"/>
      <c r="S16" s="44"/>
      <c r="T16" s="69"/>
    </row>
    <row r="17" spans="1:20" x14ac:dyDescent="0.3">
      <c r="A17" s="53"/>
      <c r="B17" s="44"/>
      <c r="C17" s="44"/>
      <c r="D17" s="44"/>
      <c r="E17" s="44"/>
      <c r="F17" s="54"/>
      <c r="G17" s="44"/>
      <c r="H17" s="44"/>
      <c r="I17" s="44"/>
      <c r="J17" s="44"/>
      <c r="K17" s="44"/>
      <c r="L17" s="54"/>
      <c r="M17" s="44"/>
      <c r="N17" s="54"/>
      <c r="O17" s="44"/>
      <c r="P17" s="44"/>
      <c r="Q17" s="44"/>
      <c r="R17" s="44"/>
      <c r="S17" s="44"/>
      <c r="T17" s="69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SUM(N5:N17)</f>
        <v>2682.4688495528003</v>
      </c>
      <c r="O19" s="44"/>
      <c r="P19" s="44"/>
      <c r="Q19" s="44"/>
      <c r="R19" s="44"/>
      <c r="S19" s="44"/>
      <c r="T19" s="50">
        <f>SUM(T5:T17)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(0.6*0.5))*7</f>
        <v>22.604189999999999</v>
      </c>
      <c r="G20" s="44"/>
      <c r="H20" s="44"/>
      <c r="I20" s="44"/>
      <c r="J20" s="44"/>
      <c r="K20" s="44"/>
      <c r="L20" s="46">
        <f>F20*160</f>
        <v>3616.6704</v>
      </c>
      <c r="M20" s="44"/>
      <c r="N20" s="50">
        <f t="shared" ref="N20:N26" si="5">L20+M20</f>
        <v>3616.6704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36.46</f>
        <v>392.45179400000001</v>
      </c>
      <c r="G21" s="44"/>
      <c r="H21" s="44"/>
      <c r="I21" s="44"/>
      <c r="J21" s="44"/>
      <c r="K21" s="44"/>
      <c r="L21" s="46">
        <f>8*F21</f>
        <v>3139.6143520000001</v>
      </c>
      <c r="M21" s="44"/>
      <c r="N21" s="50">
        <f t="shared" si="5"/>
        <v>3139.6143520000001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0">
        <f t="shared" si="5"/>
        <v>0</v>
      </c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0">
        <f t="shared" si="5"/>
        <v>0</v>
      </c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0">
        <f t="shared" si="5"/>
        <v>0</v>
      </c>
      <c r="O24" s="44"/>
      <c r="P24" s="44"/>
      <c r="Q24" s="44"/>
      <c r="R24" s="44"/>
      <c r="S24" s="44"/>
      <c r="T24" s="54"/>
    </row>
    <row r="25" spans="1:20" x14ac:dyDescent="0.3">
      <c r="A25" s="53" t="s">
        <v>113</v>
      </c>
      <c r="B25" s="44">
        <v>8</v>
      </c>
      <c r="C25" s="44"/>
      <c r="D25" s="44"/>
      <c r="E25" s="44"/>
      <c r="F25" s="44"/>
      <c r="G25" s="44"/>
      <c r="H25" s="44"/>
      <c r="I25" s="44"/>
      <c r="J25" s="44"/>
      <c r="K25" s="44"/>
      <c r="L25" s="46">
        <f>30*10</f>
        <v>300</v>
      </c>
      <c r="M25" s="46">
        <f>30*10</f>
        <v>300</v>
      </c>
      <c r="N25" s="50">
        <f t="shared" si="5"/>
        <v>600</v>
      </c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10*315</f>
        <v>3150</v>
      </c>
      <c r="M26" s="46">
        <f>10*485</f>
        <v>4850</v>
      </c>
      <c r="N26" s="50">
        <f t="shared" si="5"/>
        <v>8000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18038.753601552802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18038.753601552802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392.45179400000001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3476.4431683327925</v>
      </c>
      <c r="G37" s="44" t="s">
        <v>124</v>
      </c>
    </row>
    <row r="38" spans="1:20" x14ac:dyDescent="0.3">
      <c r="E38" s="44" t="s">
        <v>125</v>
      </c>
      <c r="F38" s="56">
        <f>F37/30</f>
        <v>115.88143894442642</v>
      </c>
      <c r="G38" s="44" t="s">
        <v>126</v>
      </c>
    </row>
    <row r="39" spans="1:20" x14ac:dyDescent="0.3">
      <c r="E39" s="44" t="s">
        <v>127</v>
      </c>
      <c r="F39" s="50">
        <f>SUM($L$5:$L$28)</f>
        <v>12888.7536015528</v>
      </c>
      <c r="G39" s="44" t="s">
        <v>128</v>
      </c>
    </row>
    <row r="40" spans="1:20" x14ac:dyDescent="0.3">
      <c r="E40" s="44" t="s">
        <v>129</v>
      </c>
      <c r="F40" s="49">
        <f>SUM($M$5:$M$28)</f>
        <v>5150</v>
      </c>
      <c r="G40" s="44" t="s">
        <v>128</v>
      </c>
    </row>
    <row r="41" spans="1:20" x14ac:dyDescent="0.3">
      <c r="E41" s="44" t="s">
        <v>130</v>
      </c>
      <c r="F41" s="50">
        <f>$N$29</f>
        <v>18038.753601552802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477.36124450195558</v>
      </c>
      <c r="G43" s="44" t="s">
        <v>126</v>
      </c>
    </row>
    <row r="44" spans="1:20" x14ac:dyDescent="0.3">
      <c r="E44" s="44" t="s">
        <v>126</v>
      </c>
      <c r="F44" s="57">
        <f>ROUNDUP(F43,0)</f>
        <v>478</v>
      </c>
      <c r="G44" s="44" t="s">
        <v>126</v>
      </c>
    </row>
    <row r="45" spans="1:20" x14ac:dyDescent="0.3">
      <c r="E45" s="44" t="s">
        <v>133</v>
      </c>
      <c r="F45" s="50">
        <f>F44*0.0002930711</f>
        <v>0.14008798579999998</v>
      </c>
      <c r="G45" s="44" t="s">
        <v>134</v>
      </c>
    </row>
    <row r="46" spans="1:20" x14ac:dyDescent="0.3">
      <c r="E46" s="44" t="s">
        <v>135</v>
      </c>
      <c r="F46" s="50">
        <f>F39/F41</f>
        <v>0.71450355641219676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T254"/>
  <sheetViews>
    <sheetView topLeftCell="A27" zoomScale="95" zoomScaleNormal="95" workbookViewId="0">
      <selection activeCell="K62" sqref="K62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265</v>
      </c>
      <c r="B2" s="11"/>
      <c r="C2" s="11">
        <v>5004</v>
      </c>
      <c r="D2" s="11"/>
      <c r="E2" s="43" t="s">
        <v>230</v>
      </c>
      <c r="F2" s="43" t="s">
        <v>273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108</v>
      </c>
      <c r="B5" s="46">
        <v>3</v>
      </c>
      <c r="C5" s="47" t="s">
        <v>205</v>
      </c>
      <c r="D5" s="44" t="s">
        <v>99</v>
      </c>
      <c r="E5" s="46" t="s">
        <v>274</v>
      </c>
      <c r="F5" s="48">
        <f>10.7639 * (5.2*2.7)</f>
        <v>151.125156</v>
      </c>
      <c r="G5" s="46">
        <v>78</v>
      </c>
      <c r="H5" s="46">
        <v>95</v>
      </c>
      <c r="I5" s="49">
        <f t="shared" ref="I5:I15" si="0">H5-G5</f>
        <v>17</v>
      </c>
      <c r="J5" s="46">
        <v>7.2999999999999995E-2</v>
      </c>
      <c r="K5" s="46" t="str">
        <f>_xlfn.UNICHAR(8596)</f>
        <v>↔</v>
      </c>
      <c r="L5" s="50">
        <f t="shared" ref="L5:L15" si="1">F5*I5*J5</f>
        <v>187.54631859599999</v>
      </c>
      <c r="M5" s="49"/>
      <c r="N5" s="50">
        <f t="shared" ref="N5:N15" si="2">L5+M5</f>
        <v>187.54631859599999</v>
      </c>
      <c r="O5" s="46">
        <v>70</v>
      </c>
      <c r="P5" s="46">
        <v>70</v>
      </c>
      <c r="Q5" s="49">
        <f t="shared" ref="Q5:Q15" si="3">O5-P5</f>
        <v>0</v>
      </c>
      <c r="R5" s="49">
        <f t="shared" ref="R5:R15" si="4">J5</f>
        <v>7.2999999999999995E-2</v>
      </c>
      <c r="S5" s="49" t="str">
        <f t="shared" ref="S5:S15" si="5">K5</f>
        <v>↔</v>
      </c>
      <c r="T5" s="51">
        <f t="shared" ref="T5:T15" si="6">F5*Q5*R5</f>
        <v>0</v>
      </c>
    </row>
    <row r="6" spans="1:20" x14ac:dyDescent="0.3">
      <c r="A6" s="45" t="s">
        <v>190</v>
      </c>
      <c r="B6" s="46">
        <v>6</v>
      </c>
      <c r="C6" s="47" t="s">
        <v>175</v>
      </c>
      <c r="D6" s="44" t="s">
        <v>99</v>
      </c>
      <c r="E6" s="46" t="s">
        <v>275</v>
      </c>
      <c r="F6" s="48">
        <f>10.7639 *((1.1+1+1)*2.7)</f>
        <v>90.093843000000007</v>
      </c>
      <c r="G6" s="46">
        <v>78</v>
      </c>
      <c r="H6" s="46">
        <v>80</v>
      </c>
      <c r="I6" s="49">
        <f t="shared" si="0"/>
        <v>2</v>
      </c>
      <c r="J6" s="46">
        <v>0.158</v>
      </c>
      <c r="K6" s="46" t="str">
        <f>_xlfn.UNICHAR(8596)</f>
        <v>↔</v>
      </c>
      <c r="L6" s="50">
        <f t="shared" si="1"/>
        <v>28.469654388000002</v>
      </c>
      <c r="M6" s="49"/>
      <c r="N6" s="50">
        <f t="shared" si="2"/>
        <v>28.469654388000002</v>
      </c>
      <c r="O6" s="46">
        <v>70</v>
      </c>
      <c r="P6" s="46">
        <v>70</v>
      </c>
      <c r="Q6" s="49">
        <f t="shared" si="3"/>
        <v>0</v>
      </c>
      <c r="R6" s="49">
        <f t="shared" si="4"/>
        <v>0.158</v>
      </c>
      <c r="S6" s="49" t="str">
        <f t="shared" si="5"/>
        <v>↔</v>
      </c>
      <c r="T6" s="50">
        <f t="shared" si="6"/>
        <v>0</v>
      </c>
    </row>
    <row r="7" spans="1:20" x14ac:dyDescent="0.3">
      <c r="A7" s="45" t="s">
        <v>210</v>
      </c>
      <c r="B7" s="46">
        <v>6</v>
      </c>
      <c r="C7" s="40" t="s">
        <v>175</v>
      </c>
      <c r="D7" s="44" t="s">
        <v>99</v>
      </c>
      <c r="E7" s="46" t="s">
        <v>276</v>
      </c>
      <c r="F7" s="48">
        <f>10.7639 *(3.1*2.7)</f>
        <v>90.093843000000007</v>
      </c>
      <c r="G7" s="46">
        <v>78</v>
      </c>
      <c r="H7" s="46">
        <v>80</v>
      </c>
      <c r="I7" s="49">
        <f t="shared" si="0"/>
        <v>2</v>
      </c>
      <c r="J7" s="46">
        <v>0.158</v>
      </c>
      <c r="K7" s="46" t="str">
        <f>_xlfn.UNICHAR(8596)</f>
        <v>↔</v>
      </c>
      <c r="L7" s="50">
        <f t="shared" si="1"/>
        <v>28.469654388000002</v>
      </c>
      <c r="M7" s="49"/>
      <c r="N7" s="50">
        <f t="shared" si="2"/>
        <v>28.469654388000002</v>
      </c>
      <c r="O7" s="46">
        <v>70</v>
      </c>
      <c r="P7" s="46">
        <v>70</v>
      </c>
      <c r="Q7" s="49">
        <f t="shared" si="3"/>
        <v>0</v>
      </c>
      <c r="R7" s="49">
        <f t="shared" si="4"/>
        <v>0.158</v>
      </c>
      <c r="S7" s="49" t="str">
        <f t="shared" si="5"/>
        <v>↔</v>
      </c>
      <c r="T7" s="51">
        <f t="shared" si="6"/>
        <v>0</v>
      </c>
    </row>
    <row r="8" spans="1:20" x14ac:dyDescent="0.3">
      <c r="A8" s="45" t="s">
        <v>277</v>
      </c>
      <c r="B8" s="46">
        <v>6</v>
      </c>
      <c r="C8" s="40" t="s">
        <v>175</v>
      </c>
      <c r="D8" s="44" t="s">
        <v>99</v>
      </c>
      <c r="E8" s="46" t="s">
        <v>266</v>
      </c>
      <c r="F8" s="48">
        <f>10.7639 * (4.9*2.7)</f>
        <v>142.40639700000003</v>
      </c>
      <c r="G8" s="46">
        <v>78</v>
      </c>
      <c r="H8" s="46">
        <v>78</v>
      </c>
      <c r="I8" s="49">
        <f t="shared" si="0"/>
        <v>0</v>
      </c>
      <c r="J8" s="46">
        <v>0.158</v>
      </c>
      <c r="K8" s="46" t="str">
        <f>_xlfn.UNICHAR(8596)</f>
        <v>↔</v>
      </c>
      <c r="L8" s="50">
        <f t="shared" si="1"/>
        <v>0</v>
      </c>
      <c r="M8" s="49"/>
      <c r="N8" s="50">
        <f t="shared" si="2"/>
        <v>0</v>
      </c>
      <c r="O8" s="46">
        <v>70</v>
      </c>
      <c r="P8" s="46">
        <v>70</v>
      </c>
      <c r="Q8" s="49">
        <f t="shared" si="3"/>
        <v>0</v>
      </c>
      <c r="R8" s="49">
        <f t="shared" si="4"/>
        <v>0.158</v>
      </c>
      <c r="S8" s="49" t="str">
        <f t="shared" si="5"/>
        <v>↔</v>
      </c>
      <c r="T8" s="51">
        <f t="shared" si="6"/>
        <v>0</v>
      </c>
    </row>
    <row r="9" spans="1:20" x14ac:dyDescent="0.3">
      <c r="A9" s="45" t="s">
        <v>261</v>
      </c>
      <c r="B9" s="46">
        <v>6</v>
      </c>
      <c r="C9" s="47" t="s">
        <v>104</v>
      </c>
      <c r="D9" s="44" t="s">
        <v>99</v>
      </c>
      <c r="E9" s="46" t="s">
        <v>266</v>
      </c>
      <c r="F9" s="48">
        <f>10.7639 * (4.9*2.7)</f>
        <v>142.40639700000003</v>
      </c>
      <c r="G9" s="46">
        <v>78</v>
      </c>
      <c r="H9" s="46">
        <v>78</v>
      </c>
      <c r="I9" s="49">
        <f t="shared" si="0"/>
        <v>0</v>
      </c>
      <c r="J9" s="46">
        <v>0.42499999999999999</v>
      </c>
      <c r="K9" s="46" t="str">
        <f>_xlfn.UNICHAR(8596)</f>
        <v>↔</v>
      </c>
      <c r="L9" s="50">
        <f t="shared" si="1"/>
        <v>0</v>
      </c>
      <c r="M9" s="49"/>
      <c r="N9" s="50">
        <f t="shared" si="2"/>
        <v>0</v>
      </c>
      <c r="O9" s="46">
        <v>70</v>
      </c>
      <c r="P9" s="46">
        <v>70</v>
      </c>
      <c r="Q9" s="49">
        <f t="shared" si="3"/>
        <v>0</v>
      </c>
      <c r="R9" s="49">
        <f t="shared" si="4"/>
        <v>0.42499999999999999</v>
      </c>
      <c r="S9" s="49" t="str">
        <f t="shared" si="5"/>
        <v>↔</v>
      </c>
      <c r="T9" s="51">
        <f t="shared" si="6"/>
        <v>0</v>
      </c>
    </row>
    <row r="10" spans="1:20" x14ac:dyDescent="0.3">
      <c r="A10" s="45" t="s">
        <v>202</v>
      </c>
      <c r="B10" s="46">
        <v>2</v>
      </c>
      <c r="C10" s="47" t="s">
        <v>267</v>
      </c>
      <c r="D10" s="44" t="s">
        <v>106</v>
      </c>
      <c r="E10" s="44"/>
      <c r="F10" s="48">
        <f>10.7639 * (29.58)</f>
        <v>318.39616199999995</v>
      </c>
      <c r="G10" s="46">
        <v>78</v>
      </c>
      <c r="H10" s="46">
        <v>78</v>
      </c>
      <c r="I10" s="49">
        <f t="shared" si="0"/>
        <v>0</v>
      </c>
      <c r="J10" s="46">
        <v>0.161</v>
      </c>
      <c r="K10" s="46" t="str">
        <f>_xlfn.UNICHAR(8595)</f>
        <v>↓</v>
      </c>
      <c r="L10" s="50">
        <f t="shared" si="1"/>
        <v>0</v>
      </c>
      <c r="M10" s="49"/>
      <c r="N10" s="50">
        <f t="shared" si="2"/>
        <v>0</v>
      </c>
      <c r="O10" s="46">
        <v>70</v>
      </c>
      <c r="P10" s="46">
        <v>70</v>
      </c>
      <c r="Q10" s="49">
        <f t="shared" si="3"/>
        <v>0</v>
      </c>
      <c r="R10" s="49">
        <f t="shared" si="4"/>
        <v>0.161</v>
      </c>
      <c r="S10" s="49" t="str">
        <f t="shared" si="5"/>
        <v>↓</v>
      </c>
      <c r="T10" s="51">
        <f t="shared" si="6"/>
        <v>0</v>
      </c>
    </row>
    <row r="11" spans="1:20" x14ac:dyDescent="0.3">
      <c r="A11" s="45" t="s">
        <v>278</v>
      </c>
      <c r="B11" s="46">
        <v>1</v>
      </c>
      <c r="C11" s="47" t="s">
        <v>175</v>
      </c>
      <c r="D11" s="44" t="s">
        <v>90</v>
      </c>
      <c r="E11" s="44"/>
      <c r="F11" s="48">
        <f>10.7639 * (9.27)</f>
        <v>99.781352999999996</v>
      </c>
      <c r="G11" s="46">
        <v>78</v>
      </c>
      <c r="H11" s="46">
        <v>78</v>
      </c>
      <c r="I11" s="49">
        <f t="shared" si="0"/>
        <v>0</v>
      </c>
      <c r="J11" s="46">
        <v>0.17100000000000001</v>
      </c>
      <c r="K11" s="46" t="str">
        <f>_xlfn.UNICHAR(8593)</f>
        <v>↑</v>
      </c>
      <c r="L11" s="50">
        <f t="shared" si="1"/>
        <v>0</v>
      </c>
      <c r="M11" s="49"/>
      <c r="N11" s="50">
        <f t="shared" si="2"/>
        <v>0</v>
      </c>
      <c r="O11" s="46">
        <v>70</v>
      </c>
      <c r="P11" s="46">
        <v>70</v>
      </c>
      <c r="Q11" s="49">
        <f t="shared" si="3"/>
        <v>0</v>
      </c>
      <c r="R11" s="49">
        <f t="shared" si="4"/>
        <v>0.17100000000000001</v>
      </c>
      <c r="S11" s="49" t="str">
        <f t="shared" si="5"/>
        <v>↑</v>
      </c>
      <c r="T11" s="51">
        <f t="shared" si="6"/>
        <v>0</v>
      </c>
    </row>
    <row r="12" spans="1:20" x14ac:dyDescent="0.3">
      <c r="A12" s="45" t="s">
        <v>279</v>
      </c>
      <c r="B12" s="46">
        <v>1</v>
      </c>
      <c r="C12" s="47" t="s">
        <v>175</v>
      </c>
      <c r="D12" s="44" t="s">
        <v>90</v>
      </c>
      <c r="E12" s="46" t="s">
        <v>280</v>
      </c>
      <c r="F12" s="48">
        <f>10.7639 * (0.6*1.7)</f>
        <v>10.979177999999999</v>
      </c>
      <c r="G12" s="46">
        <v>78</v>
      </c>
      <c r="H12" s="46">
        <v>85</v>
      </c>
      <c r="I12" s="49">
        <f t="shared" si="0"/>
        <v>7</v>
      </c>
      <c r="J12" s="46">
        <v>0.17100000000000001</v>
      </c>
      <c r="K12" s="46" t="str">
        <f>_xlfn.UNICHAR(8593)</f>
        <v>↑</v>
      </c>
      <c r="L12" s="50">
        <f t="shared" si="1"/>
        <v>13.142076066</v>
      </c>
      <c r="M12" s="49"/>
      <c r="N12" s="50">
        <f t="shared" si="2"/>
        <v>13.142076066</v>
      </c>
      <c r="O12" s="46">
        <v>70</v>
      </c>
      <c r="P12" s="46">
        <v>70</v>
      </c>
      <c r="Q12" s="49">
        <f t="shared" si="3"/>
        <v>0</v>
      </c>
      <c r="R12" s="49">
        <f t="shared" si="4"/>
        <v>0.17100000000000001</v>
      </c>
      <c r="S12" s="49" t="str">
        <f t="shared" si="5"/>
        <v>↑</v>
      </c>
      <c r="T12" s="51">
        <f t="shared" si="6"/>
        <v>0</v>
      </c>
    </row>
    <row r="13" spans="1:20" x14ac:dyDescent="0.3">
      <c r="A13" s="45" t="s">
        <v>281</v>
      </c>
      <c r="B13" s="46">
        <v>1</v>
      </c>
      <c r="C13" s="47" t="s">
        <v>175</v>
      </c>
      <c r="D13" s="44" t="s">
        <v>90</v>
      </c>
      <c r="E13" s="44"/>
      <c r="F13" s="48">
        <f>10.7639 * (12.47)</f>
        <v>134.22583299999999</v>
      </c>
      <c r="G13" s="46">
        <v>78</v>
      </c>
      <c r="H13" s="46">
        <v>78</v>
      </c>
      <c r="I13" s="49">
        <f t="shared" si="0"/>
        <v>0</v>
      </c>
      <c r="J13" s="46">
        <v>0.17100000000000001</v>
      </c>
      <c r="K13" s="46" t="str">
        <f>_xlfn.UNICHAR(8593)</f>
        <v>↑</v>
      </c>
      <c r="L13" s="50">
        <f t="shared" si="1"/>
        <v>0</v>
      </c>
      <c r="M13" s="44"/>
      <c r="N13" s="50">
        <f t="shared" si="2"/>
        <v>0</v>
      </c>
      <c r="O13" s="46">
        <v>70</v>
      </c>
      <c r="P13" s="46">
        <v>70</v>
      </c>
      <c r="Q13" s="49">
        <f t="shared" si="3"/>
        <v>0</v>
      </c>
      <c r="R13" s="49">
        <f t="shared" si="4"/>
        <v>0.17100000000000001</v>
      </c>
      <c r="S13" s="49" t="str">
        <f t="shared" si="5"/>
        <v>↑</v>
      </c>
      <c r="T13" s="51">
        <f t="shared" si="6"/>
        <v>0</v>
      </c>
    </row>
    <row r="14" spans="1:20" x14ac:dyDescent="0.3">
      <c r="A14" s="45" t="s">
        <v>190</v>
      </c>
      <c r="B14" s="46">
        <v>1</v>
      </c>
      <c r="C14" s="47" t="s">
        <v>175</v>
      </c>
      <c r="D14" s="44" t="s">
        <v>90</v>
      </c>
      <c r="E14" s="44"/>
      <c r="F14" s="48">
        <f>10.7639 * (4.1)</f>
        <v>44.131989999999995</v>
      </c>
      <c r="G14" s="46">
        <v>78</v>
      </c>
      <c r="H14" s="46">
        <v>80</v>
      </c>
      <c r="I14" s="49">
        <f t="shared" si="0"/>
        <v>2</v>
      </c>
      <c r="J14" s="46">
        <v>0.17100000000000001</v>
      </c>
      <c r="K14" s="46" t="str">
        <f>_xlfn.UNICHAR(8593)</f>
        <v>↑</v>
      </c>
      <c r="L14" s="50">
        <f t="shared" si="1"/>
        <v>15.09314058</v>
      </c>
      <c r="M14" s="44"/>
      <c r="N14" s="50">
        <f t="shared" si="2"/>
        <v>15.09314058</v>
      </c>
      <c r="O14" s="46">
        <v>70</v>
      </c>
      <c r="P14" s="46">
        <v>70</v>
      </c>
      <c r="Q14" s="49">
        <f t="shared" si="3"/>
        <v>0</v>
      </c>
      <c r="R14" s="49">
        <f t="shared" si="4"/>
        <v>0.17100000000000001</v>
      </c>
      <c r="S14" s="49" t="str">
        <f t="shared" si="5"/>
        <v>↑</v>
      </c>
      <c r="T14" s="51">
        <f t="shared" si="6"/>
        <v>0</v>
      </c>
    </row>
    <row r="15" spans="1:20" x14ac:dyDescent="0.3">
      <c r="A15" s="45" t="s">
        <v>282</v>
      </c>
      <c r="B15" s="46">
        <v>1</v>
      </c>
      <c r="C15" s="47" t="s">
        <v>175</v>
      </c>
      <c r="D15" s="44" t="s">
        <v>90</v>
      </c>
      <c r="E15" s="46" t="s">
        <v>283</v>
      </c>
      <c r="F15" s="48">
        <f>10.7639 * (1.7*1.6)</f>
        <v>29.277808</v>
      </c>
      <c r="G15" s="46">
        <v>78</v>
      </c>
      <c r="H15" s="46">
        <v>85</v>
      </c>
      <c r="I15" s="49">
        <f t="shared" si="0"/>
        <v>7</v>
      </c>
      <c r="J15" s="46">
        <v>0.17100000000000001</v>
      </c>
      <c r="K15" s="46" t="str">
        <f>_xlfn.UNICHAR(8593)</f>
        <v>↑</v>
      </c>
      <c r="L15" s="50">
        <f t="shared" si="1"/>
        <v>35.045536176000006</v>
      </c>
      <c r="M15" s="44"/>
      <c r="N15" s="50">
        <f t="shared" si="2"/>
        <v>35.045536176000006</v>
      </c>
      <c r="O15" s="46">
        <v>70</v>
      </c>
      <c r="P15" s="46">
        <v>70</v>
      </c>
      <c r="Q15" s="49">
        <f t="shared" si="3"/>
        <v>0</v>
      </c>
      <c r="R15" s="49">
        <f t="shared" si="4"/>
        <v>0.17100000000000001</v>
      </c>
      <c r="S15" s="49" t="str">
        <f t="shared" si="5"/>
        <v>↑</v>
      </c>
      <c r="T15" s="51">
        <f t="shared" si="6"/>
        <v>0</v>
      </c>
    </row>
    <row r="16" spans="1:20" x14ac:dyDescent="0.3">
      <c r="A16" s="53"/>
      <c r="B16" s="44"/>
      <c r="C16" s="44"/>
      <c r="D16" s="44"/>
      <c r="E16" s="44"/>
      <c r="F16" s="54"/>
      <c r="G16" s="44"/>
      <c r="H16" s="44"/>
      <c r="I16" s="44"/>
      <c r="J16" s="44"/>
      <c r="K16" s="44"/>
      <c r="L16" s="54"/>
      <c r="M16" s="44"/>
      <c r="N16" s="54"/>
      <c r="O16" s="44"/>
      <c r="P16" s="44"/>
      <c r="Q16" s="44"/>
      <c r="R16" s="44"/>
      <c r="S16" s="44"/>
      <c r="T16" s="69"/>
    </row>
    <row r="18" spans="1:20" x14ac:dyDescent="0.3">
      <c r="A18" s="53"/>
      <c r="B18" s="44"/>
      <c r="C18" s="44"/>
      <c r="D18" s="44"/>
      <c r="E18" s="44"/>
      <c r="F18" s="54"/>
      <c r="G18" s="44"/>
      <c r="H18" s="44"/>
      <c r="I18" s="44"/>
      <c r="J18" s="44"/>
      <c r="K18" s="44"/>
      <c r="L18" s="54"/>
      <c r="M18" s="44"/>
      <c r="N18" s="54"/>
      <c r="O18" s="44"/>
      <c r="P18" s="44"/>
      <c r="Q18" s="44"/>
      <c r="R18" s="44"/>
      <c r="S18" s="44"/>
      <c r="T18" s="69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307.76638019400002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(0.6*0.5))*4</f>
        <v>12.916679999999999</v>
      </c>
      <c r="G20" s="44"/>
      <c r="H20" s="44"/>
      <c r="I20" s="44"/>
      <c r="J20" s="44"/>
      <c r="K20" s="44"/>
      <c r="L20" s="46">
        <f>F20*160</f>
        <v>2066.6687999999999</v>
      </c>
      <c r="M20" s="44"/>
      <c r="N20" s="50">
        <f t="shared" ref="N20:N25" si="7">L20+M20</f>
        <v>2066.6687999999999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29.58</f>
        <v>318.39616199999995</v>
      </c>
      <c r="G21" s="44"/>
      <c r="H21" s="44"/>
      <c r="I21" s="44"/>
      <c r="J21" s="44"/>
      <c r="K21" s="44"/>
      <c r="L21" s="46">
        <f>8*F21</f>
        <v>2547.1692959999996</v>
      </c>
      <c r="M21" s="44"/>
      <c r="N21" s="50">
        <f t="shared" si="7"/>
        <v>2547.1692959999996</v>
      </c>
      <c r="O21" s="44"/>
      <c r="P21" s="44"/>
      <c r="Q21" s="44"/>
      <c r="R21" s="44"/>
      <c r="S21" s="44"/>
      <c r="T21" s="54"/>
    </row>
    <row r="22" spans="1:20" x14ac:dyDescent="0.3">
      <c r="A22" s="53" t="s">
        <v>284</v>
      </c>
      <c r="B22" s="44">
        <v>8</v>
      </c>
      <c r="C22" s="44"/>
      <c r="D22" s="44"/>
      <c r="E22" s="44"/>
      <c r="F22" s="44"/>
      <c r="G22" s="44"/>
      <c r="H22" s="44"/>
      <c r="I22" s="44"/>
      <c r="J22" s="44"/>
      <c r="K22" s="44"/>
      <c r="L22" s="44">
        <f>3.412 * 150 * 4 * 0.9</f>
        <v>1842.48</v>
      </c>
      <c r="M22" s="44"/>
      <c r="N22" s="50">
        <f t="shared" si="7"/>
        <v>1842.48</v>
      </c>
      <c r="O22" s="44"/>
      <c r="P22" s="44"/>
      <c r="Q22" s="44"/>
      <c r="R22" s="44"/>
      <c r="S22" s="44"/>
      <c r="T22" s="54"/>
    </row>
    <row r="23" spans="1:20" x14ac:dyDescent="0.3">
      <c r="A23" s="53" t="s">
        <v>285</v>
      </c>
      <c r="B23" s="44">
        <v>8</v>
      </c>
      <c r="C23" s="44"/>
      <c r="D23" s="44"/>
      <c r="E23" s="44"/>
      <c r="F23" s="44"/>
      <c r="G23" s="44"/>
      <c r="H23" s="44"/>
      <c r="I23" s="44"/>
      <c r="J23" s="44"/>
      <c r="K23" s="44"/>
      <c r="L23" s="44">
        <f>3.412 * 40 * 4 * 0.9</f>
        <v>491.32799999999997</v>
      </c>
      <c r="M23" s="44"/>
      <c r="N23" s="50">
        <f t="shared" si="7"/>
        <v>491.32799999999997</v>
      </c>
      <c r="O23" s="44"/>
      <c r="P23" s="44"/>
      <c r="Q23" s="44"/>
      <c r="R23" s="44"/>
      <c r="S23" s="44"/>
      <c r="T23" s="54"/>
    </row>
    <row r="24" spans="1:20" x14ac:dyDescent="0.3">
      <c r="A24" s="53" t="s">
        <v>286</v>
      </c>
      <c r="B24" s="44">
        <v>8</v>
      </c>
      <c r="C24" s="44"/>
      <c r="D24" s="44"/>
      <c r="E24" s="44"/>
      <c r="F24" s="44"/>
      <c r="G24" s="44"/>
      <c r="H24" s="44"/>
      <c r="I24" s="44"/>
      <c r="J24" s="44"/>
      <c r="K24" s="44"/>
      <c r="L24" s="44">
        <f>3.412 * 100 * 1 * 0.9</f>
        <v>307.08</v>
      </c>
      <c r="M24" s="44"/>
      <c r="N24" s="50">
        <f t="shared" si="7"/>
        <v>307.08</v>
      </c>
      <c r="O24" s="44"/>
      <c r="P24" s="44"/>
      <c r="Q24" s="44"/>
      <c r="R24" s="44"/>
      <c r="S24" s="44"/>
      <c r="T24" s="54"/>
    </row>
    <row r="25" spans="1:20" x14ac:dyDescent="0.3">
      <c r="A25" s="53" t="s">
        <v>287</v>
      </c>
      <c r="B25" s="44">
        <v>8</v>
      </c>
      <c r="C25" s="44"/>
      <c r="D25" s="44"/>
      <c r="E25" s="44"/>
      <c r="F25" s="44"/>
      <c r="G25" s="44"/>
      <c r="H25" s="44"/>
      <c r="I25" s="44"/>
      <c r="J25" s="44"/>
      <c r="K25" s="44"/>
      <c r="L25" s="44">
        <f>3.412 * 10 * 2 * 0.9</f>
        <v>61.415999999999997</v>
      </c>
      <c r="M25" s="44"/>
      <c r="N25" s="50">
        <f t="shared" si="7"/>
        <v>61.415999999999997</v>
      </c>
      <c r="O25" s="44"/>
      <c r="P25" s="44"/>
      <c r="Q25" s="44"/>
      <c r="R25" s="44"/>
      <c r="S25" s="44"/>
      <c r="T25" s="54"/>
    </row>
    <row r="26" spans="1:20" x14ac:dyDescent="0.3">
      <c r="A26" s="53" t="s">
        <v>288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</row>
    <row r="27" spans="1:20" x14ac:dyDescent="0.3">
      <c r="A27" s="53" t="s">
        <v>114</v>
      </c>
      <c r="B27" s="44">
        <v>9</v>
      </c>
      <c r="C27" s="44"/>
      <c r="D27" s="44"/>
      <c r="E27" s="44"/>
      <c r="F27" s="44"/>
      <c r="G27" s="44"/>
      <c r="H27" s="44"/>
      <c r="I27" s="44"/>
      <c r="J27" s="44"/>
      <c r="K27" s="44"/>
      <c r="L27" s="46">
        <f>2*315</f>
        <v>630</v>
      </c>
      <c r="M27" s="46">
        <f>2*485</f>
        <v>970</v>
      </c>
      <c r="N27" s="51">
        <f>L27+M27</f>
        <v>1600</v>
      </c>
      <c r="O27" s="44"/>
      <c r="P27" s="44"/>
      <c r="Q27" s="44"/>
      <c r="R27" s="44"/>
      <c r="S27" s="44"/>
      <c r="T27" s="54"/>
    </row>
    <row r="28" spans="1:20" x14ac:dyDescent="0.3">
      <c r="A28" s="53" t="s">
        <v>201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9223.9084761939994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9223.9084761939994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318.39616199999995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2820.4385331674157</v>
      </c>
      <c r="G37" s="44" t="s">
        <v>124</v>
      </c>
    </row>
    <row r="38" spans="1:20" x14ac:dyDescent="0.3">
      <c r="E38" s="44" t="s">
        <v>125</v>
      </c>
      <c r="F38" s="56">
        <f>F37/30</f>
        <v>94.014617772247192</v>
      </c>
      <c r="G38" s="44" t="s">
        <v>126</v>
      </c>
    </row>
    <row r="39" spans="1:20" x14ac:dyDescent="0.3">
      <c r="E39" s="44" t="s">
        <v>127</v>
      </c>
      <c r="F39" s="50">
        <f>SUM($L$5:$L$28)</f>
        <v>8253.9084761939994</v>
      </c>
      <c r="G39" s="44" t="s">
        <v>128</v>
      </c>
    </row>
    <row r="40" spans="1:20" x14ac:dyDescent="0.3">
      <c r="E40" s="44" t="s">
        <v>129</v>
      </c>
      <c r="F40" s="49">
        <f>SUM($M$5:$M$28)</f>
        <v>970</v>
      </c>
      <c r="G40" s="44" t="s">
        <v>128</v>
      </c>
    </row>
    <row r="41" spans="1:20" x14ac:dyDescent="0.3">
      <c r="E41" s="44" t="s">
        <v>130</v>
      </c>
      <c r="F41" s="50">
        <f>$N$29</f>
        <v>9223.9084761939994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305.70031393311109</v>
      </c>
      <c r="G43" s="44" t="s">
        <v>126</v>
      </c>
    </row>
    <row r="44" spans="1:20" x14ac:dyDescent="0.3">
      <c r="E44" s="44" t="s">
        <v>126</v>
      </c>
      <c r="F44" s="57">
        <f>ROUNDUP(F43,0)</f>
        <v>306</v>
      </c>
      <c r="G44" s="44" t="s">
        <v>126</v>
      </c>
    </row>
    <row r="45" spans="1:20" x14ac:dyDescent="0.3">
      <c r="E45" s="44" t="s">
        <v>133</v>
      </c>
      <c r="F45" s="50">
        <f>F44*0.0002930711</f>
        <v>8.9679756599999993E-2</v>
      </c>
      <c r="G45" s="44" t="s">
        <v>134</v>
      </c>
    </row>
    <row r="46" spans="1:20" x14ac:dyDescent="0.3">
      <c r="E46" s="44" t="s">
        <v>135</v>
      </c>
      <c r="F46" s="50">
        <f>F39/F41</f>
        <v>0.89483850555288202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5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T254"/>
  <sheetViews>
    <sheetView zoomScale="95" zoomScaleNormal="95" workbookViewId="0">
      <selection activeCell="C20" sqref="C20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277</v>
      </c>
      <c r="B2" s="11"/>
      <c r="C2" s="11">
        <v>5005</v>
      </c>
      <c r="D2" s="11"/>
      <c r="E2" s="43" t="s">
        <v>230</v>
      </c>
      <c r="F2" s="43" t="s">
        <v>273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108</v>
      </c>
      <c r="B5" s="46">
        <v>3</v>
      </c>
      <c r="C5" s="47" t="s">
        <v>205</v>
      </c>
      <c r="D5" s="44" t="s">
        <v>99</v>
      </c>
      <c r="E5" s="46" t="s">
        <v>289</v>
      </c>
      <c r="F5" s="48">
        <f>10.7639 * ((4.2+5.9)*2.7)</f>
        <v>293.53155300000009</v>
      </c>
      <c r="G5" s="46">
        <v>78</v>
      </c>
      <c r="H5" s="46">
        <v>95</v>
      </c>
      <c r="I5" s="49">
        <f t="shared" ref="I5:I15" si="0">H5-G5</f>
        <v>17</v>
      </c>
      <c r="J5" s="46">
        <v>7.2999999999999995E-2</v>
      </c>
      <c r="K5" s="46" t="str">
        <f>_xlfn.UNICHAR(8596)</f>
        <v>↔</v>
      </c>
      <c r="L5" s="50">
        <f t="shared" ref="L5:L15" si="1">F5*I5*J5</f>
        <v>364.27265727300005</v>
      </c>
      <c r="M5" s="49"/>
      <c r="N5" s="50">
        <f t="shared" ref="N5:N15" si="2">L5+M5</f>
        <v>364.27265727300005</v>
      </c>
      <c r="O5" s="46">
        <v>70</v>
      </c>
      <c r="P5" s="46">
        <v>70</v>
      </c>
      <c r="Q5" s="49">
        <f t="shared" ref="Q5:Q15" si="3">O5-P5</f>
        <v>0</v>
      </c>
      <c r="R5" s="46"/>
      <c r="S5" s="46"/>
      <c r="T5" s="51">
        <f t="shared" ref="T5:T15" si="4">F5*Q5*R5</f>
        <v>0</v>
      </c>
    </row>
    <row r="6" spans="1:20" x14ac:dyDescent="0.3">
      <c r="A6" s="45" t="s">
        <v>190</v>
      </c>
      <c r="B6" s="46">
        <v>6</v>
      </c>
      <c r="C6" s="47" t="s">
        <v>175</v>
      </c>
      <c r="D6" s="44" t="s">
        <v>99</v>
      </c>
      <c r="E6" s="46" t="s">
        <v>290</v>
      </c>
      <c r="F6" s="48">
        <f>10.7639 *((3.1+1+1.1)*2.7)</f>
        <v>151.12515599999998</v>
      </c>
      <c r="G6" s="46">
        <v>78</v>
      </c>
      <c r="H6" s="46">
        <v>80</v>
      </c>
      <c r="I6" s="49">
        <f t="shared" si="0"/>
        <v>2</v>
      </c>
      <c r="J6" s="46">
        <v>0.158</v>
      </c>
      <c r="K6" s="46" t="str">
        <f>_xlfn.UNICHAR(8596)</f>
        <v>↔</v>
      </c>
      <c r="L6" s="50">
        <f t="shared" si="1"/>
        <v>47.755549295999991</v>
      </c>
      <c r="M6" s="49"/>
      <c r="N6" s="50">
        <f t="shared" si="2"/>
        <v>47.755549295999991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45" t="s">
        <v>265</v>
      </c>
      <c r="B7" s="46">
        <v>6</v>
      </c>
      <c r="C7" s="40" t="s">
        <v>175</v>
      </c>
      <c r="D7" s="44" t="s">
        <v>99</v>
      </c>
      <c r="E7" s="46" t="s">
        <v>266</v>
      </c>
      <c r="F7" s="48">
        <f>10.7639 *(4.9*2.7)</f>
        <v>142.40639700000003</v>
      </c>
      <c r="G7" s="46">
        <v>78</v>
      </c>
      <c r="H7" s="46">
        <v>78</v>
      </c>
      <c r="I7" s="49">
        <f t="shared" si="0"/>
        <v>0</v>
      </c>
      <c r="J7" s="46">
        <v>0.158</v>
      </c>
      <c r="K7" s="46" t="str">
        <f>_xlfn.UNICHAR(8596)</f>
        <v>↔</v>
      </c>
      <c r="L7" s="50">
        <f t="shared" si="1"/>
        <v>0</v>
      </c>
      <c r="M7" s="49"/>
      <c r="N7" s="50">
        <f t="shared" si="2"/>
        <v>0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45" t="s">
        <v>202</v>
      </c>
      <c r="B8" s="46">
        <v>2</v>
      </c>
      <c r="C8" s="47" t="s">
        <v>267</v>
      </c>
      <c r="D8" s="44" t="s">
        <v>106</v>
      </c>
      <c r="E8" s="44"/>
      <c r="F8" s="48">
        <f>10.7639 * (15.42)</f>
        <v>165.97933799999998</v>
      </c>
      <c r="G8" s="46">
        <v>78</v>
      </c>
      <c r="H8" s="46">
        <v>78</v>
      </c>
      <c r="I8" s="49">
        <f t="shared" si="0"/>
        <v>0</v>
      </c>
      <c r="J8" s="46">
        <v>0.161</v>
      </c>
      <c r="K8" s="46" t="str">
        <f>_xlfn.UNICHAR(8595)</f>
        <v>↓</v>
      </c>
      <c r="L8" s="50">
        <f t="shared" si="1"/>
        <v>0</v>
      </c>
      <c r="M8" s="49"/>
      <c r="N8" s="50">
        <f t="shared" si="2"/>
        <v>0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45" t="s">
        <v>291</v>
      </c>
      <c r="B9" s="46">
        <v>2</v>
      </c>
      <c r="C9" s="47" t="s">
        <v>255</v>
      </c>
      <c r="D9" s="44" t="s">
        <v>106</v>
      </c>
      <c r="E9" s="46" t="s">
        <v>292</v>
      </c>
      <c r="F9" s="48">
        <f>10.7639 * (1.4*5.9)</f>
        <v>88.909813999999997</v>
      </c>
      <c r="G9" s="46">
        <v>78</v>
      </c>
      <c r="H9" s="46">
        <v>110</v>
      </c>
      <c r="I9" s="49">
        <f t="shared" si="0"/>
        <v>32</v>
      </c>
      <c r="J9" s="46">
        <v>0.19900000000000001</v>
      </c>
      <c r="K9" s="46" t="str">
        <f>_xlfn.UNICHAR(8595)</f>
        <v>↓</v>
      </c>
      <c r="L9" s="50">
        <f t="shared" si="1"/>
        <v>566.17769555200005</v>
      </c>
      <c r="M9" s="49"/>
      <c r="N9" s="50">
        <f t="shared" si="2"/>
        <v>566.17769555200005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45" t="s">
        <v>293</v>
      </c>
      <c r="B10" s="46">
        <v>1</v>
      </c>
      <c r="C10" s="47" t="s">
        <v>175</v>
      </c>
      <c r="D10" s="44" t="s">
        <v>90</v>
      </c>
      <c r="E10" s="44"/>
      <c r="F10" s="48">
        <f>10.7639 * (12.96)</f>
        <v>139.50014400000001</v>
      </c>
      <c r="G10" s="46">
        <v>78</v>
      </c>
      <c r="H10" s="46">
        <v>78</v>
      </c>
      <c r="I10" s="49">
        <f t="shared" si="0"/>
        <v>0</v>
      </c>
      <c r="J10" s="46">
        <v>0.17100000000000001</v>
      </c>
      <c r="K10" s="46" t="str">
        <f t="shared" ref="K10:K15" si="5">_xlfn.UNICHAR(8593)</f>
        <v>↑</v>
      </c>
      <c r="L10" s="50">
        <f t="shared" si="1"/>
        <v>0</v>
      </c>
      <c r="M10" s="49"/>
      <c r="N10" s="50">
        <f t="shared" si="2"/>
        <v>0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45" t="s">
        <v>294</v>
      </c>
      <c r="B11" s="46">
        <v>1</v>
      </c>
      <c r="C11" s="47" t="s">
        <v>175</v>
      </c>
      <c r="D11" s="44" t="s">
        <v>90</v>
      </c>
      <c r="E11" s="44"/>
      <c r="F11" s="48">
        <f>10.7639 * (2.42)</f>
        <v>26.048637999999997</v>
      </c>
      <c r="G11" s="46">
        <v>78</v>
      </c>
      <c r="H11" s="46">
        <v>85</v>
      </c>
      <c r="I11" s="49">
        <f t="shared" si="0"/>
        <v>7</v>
      </c>
      <c r="J11" s="46">
        <v>0.17100000000000001</v>
      </c>
      <c r="K11" s="46" t="str">
        <f t="shared" si="5"/>
        <v>↑</v>
      </c>
      <c r="L11" s="50">
        <f t="shared" si="1"/>
        <v>31.180219686000001</v>
      </c>
      <c r="M11" s="49"/>
      <c r="N11" s="50">
        <f t="shared" si="2"/>
        <v>31.180219686000001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45" t="s">
        <v>190</v>
      </c>
      <c r="B12" s="46">
        <v>1</v>
      </c>
      <c r="C12" s="47" t="s">
        <v>175</v>
      </c>
      <c r="D12" s="44" t="s">
        <v>90</v>
      </c>
      <c r="E12" s="44"/>
      <c r="F12" s="48">
        <f>10.7639 * (3.1)</f>
        <v>33.368090000000002</v>
      </c>
      <c r="G12" s="46">
        <v>78</v>
      </c>
      <c r="H12" s="46">
        <v>80</v>
      </c>
      <c r="I12" s="49">
        <f t="shared" si="0"/>
        <v>2</v>
      </c>
      <c r="J12" s="46">
        <v>0.17100000000000001</v>
      </c>
      <c r="K12" s="46" t="str">
        <f t="shared" si="5"/>
        <v>↑</v>
      </c>
      <c r="L12" s="50">
        <f t="shared" si="1"/>
        <v>11.411886780000001</v>
      </c>
      <c r="M12" s="49"/>
      <c r="N12" s="50">
        <f t="shared" si="2"/>
        <v>11.411886780000001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45" t="s">
        <v>278</v>
      </c>
      <c r="B13" s="46">
        <v>1</v>
      </c>
      <c r="C13" s="47" t="s">
        <v>175</v>
      </c>
      <c r="D13" s="44" t="s">
        <v>90</v>
      </c>
      <c r="E13" s="46" t="s">
        <v>295</v>
      </c>
      <c r="F13" s="48">
        <f>10.7639 * (3.2*1)</f>
        <v>34.444479999999999</v>
      </c>
      <c r="G13" s="46">
        <v>78</v>
      </c>
      <c r="H13" s="46">
        <v>78</v>
      </c>
      <c r="I13" s="49">
        <f t="shared" si="0"/>
        <v>0</v>
      </c>
      <c r="J13" s="46">
        <v>0.17100000000000001</v>
      </c>
      <c r="K13" s="46" t="str">
        <f t="shared" si="5"/>
        <v>↑</v>
      </c>
      <c r="L13" s="50">
        <f t="shared" si="1"/>
        <v>0</v>
      </c>
      <c r="M13" s="44"/>
      <c r="N13" s="50">
        <f t="shared" si="2"/>
        <v>0</v>
      </c>
      <c r="O13" s="46">
        <v>70</v>
      </c>
      <c r="P13" s="46">
        <v>70</v>
      </c>
      <c r="Q13" s="49">
        <f t="shared" si="3"/>
        <v>0</v>
      </c>
      <c r="R13" s="44"/>
      <c r="S13" s="44"/>
      <c r="T13" s="51">
        <f t="shared" si="4"/>
        <v>0</v>
      </c>
    </row>
    <row r="14" spans="1:20" x14ac:dyDescent="0.3">
      <c r="A14" s="45" t="s">
        <v>279</v>
      </c>
      <c r="B14" s="46">
        <v>1</v>
      </c>
      <c r="C14" s="47" t="s">
        <v>175</v>
      </c>
      <c r="D14" s="44" t="s">
        <v>90</v>
      </c>
      <c r="E14" s="46" t="s">
        <v>296</v>
      </c>
      <c r="F14" s="48">
        <f>10.7639 * (1.7*1)</f>
        <v>18.298629999999999</v>
      </c>
      <c r="G14" s="46">
        <v>78</v>
      </c>
      <c r="H14" s="46">
        <v>85</v>
      </c>
      <c r="I14" s="49">
        <f t="shared" si="0"/>
        <v>7</v>
      </c>
      <c r="J14" s="46">
        <v>0.17100000000000001</v>
      </c>
      <c r="K14" s="46" t="str">
        <f t="shared" si="5"/>
        <v>↑</v>
      </c>
      <c r="L14" s="50">
        <f t="shared" si="1"/>
        <v>21.903460110000001</v>
      </c>
      <c r="M14" s="44"/>
      <c r="N14" s="50">
        <f t="shared" si="2"/>
        <v>21.903460110000001</v>
      </c>
      <c r="O14" s="46">
        <v>70</v>
      </c>
      <c r="P14" s="46">
        <v>70</v>
      </c>
      <c r="Q14" s="49">
        <f t="shared" si="3"/>
        <v>0</v>
      </c>
      <c r="R14" s="44"/>
      <c r="S14" s="44"/>
      <c r="T14" s="51">
        <f t="shared" si="4"/>
        <v>0</v>
      </c>
    </row>
    <row r="15" spans="1:20" x14ac:dyDescent="0.3">
      <c r="A15" s="45" t="s">
        <v>297</v>
      </c>
      <c r="B15" s="46">
        <v>1</v>
      </c>
      <c r="C15" s="67" t="s">
        <v>175</v>
      </c>
      <c r="D15" s="46" t="s">
        <v>90</v>
      </c>
      <c r="E15" s="44"/>
      <c r="F15" s="48">
        <f>10.7639 * (0.3)</f>
        <v>3.2291699999999999</v>
      </c>
      <c r="G15" s="46">
        <v>78</v>
      </c>
      <c r="H15" s="46">
        <v>120</v>
      </c>
      <c r="I15" s="49">
        <f t="shared" si="0"/>
        <v>42</v>
      </c>
      <c r="J15" s="46">
        <v>0.17100000000000001</v>
      </c>
      <c r="K15" s="46" t="str">
        <f t="shared" si="5"/>
        <v>↑</v>
      </c>
      <c r="L15" s="50">
        <f t="shared" si="1"/>
        <v>23.191898939999998</v>
      </c>
      <c r="M15" s="44"/>
      <c r="N15" s="50">
        <f t="shared" si="2"/>
        <v>23.191898939999998</v>
      </c>
      <c r="O15" s="46">
        <v>70</v>
      </c>
      <c r="P15" s="46">
        <v>70</v>
      </c>
      <c r="Q15" s="49">
        <f t="shared" si="3"/>
        <v>0</v>
      </c>
      <c r="R15" s="44"/>
      <c r="S15" s="44"/>
      <c r="T15" s="51">
        <f t="shared" si="4"/>
        <v>0</v>
      </c>
    </row>
    <row r="16" spans="1:20" x14ac:dyDescent="0.3">
      <c r="A16" s="53"/>
      <c r="B16" s="44"/>
      <c r="C16" s="44"/>
      <c r="D16" s="44"/>
      <c r="E16" s="44"/>
      <c r="F16" s="54"/>
      <c r="G16" s="44"/>
      <c r="H16" s="44"/>
      <c r="I16" s="44"/>
      <c r="J16" s="44"/>
      <c r="K16" s="44"/>
      <c r="L16" s="54"/>
      <c r="M16" s="44"/>
      <c r="N16" s="54"/>
      <c r="O16" s="44"/>
      <c r="P16" s="44"/>
      <c r="Q16" s="44"/>
      <c r="R16" s="44"/>
      <c r="S16" s="44"/>
      <c r="T16" s="69"/>
    </row>
    <row r="17" spans="1:20" x14ac:dyDescent="0.3">
      <c r="A17" s="53"/>
      <c r="B17" s="44"/>
      <c r="C17" s="44"/>
      <c r="D17" s="44"/>
      <c r="E17" s="44"/>
      <c r="F17" s="54"/>
      <c r="G17" s="44"/>
      <c r="H17" s="44"/>
      <c r="I17" s="44"/>
      <c r="J17" s="44"/>
      <c r="K17" s="44"/>
      <c r="L17" s="54"/>
      <c r="M17" s="44"/>
      <c r="N17" s="54"/>
      <c r="O17" s="44"/>
      <c r="P17" s="44"/>
      <c r="Q17" s="44"/>
      <c r="R17" s="44"/>
      <c r="S17" s="44"/>
      <c r="T17" s="69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SUM(N5:N17)</f>
        <v>1065.8933676370002</v>
      </c>
      <c r="O19" s="44"/>
      <c r="P19" s="44"/>
      <c r="Q19" s="44"/>
      <c r="R19" s="44"/>
      <c r="S19" s="44"/>
      <c r="T19" s="50">
        <f>SUM(T5:T17)</f>
        <v>0</v>
      </c>
    </row>
    <row r="20" spans="1:20" x14ac:dyDescent="0.3">
      <c r="A20" s="53" t="s">
        <v>298</v>
      </c>
      <c r="B20" s="44"/>
      <c r="C20" s="44"/>
      <c r="D20" s="44"/>
      <c r="E20" s="44"/>
      <c r="F20" s="46">
        <f>(10.7639 * (0.6*0.5))*4</f>
        <v>12.916679999999999</v>
      </c>
      <c r="G20" s="44"/>
      <c r="H20" s="44"/>
      <c r="I20" s="44"/>
      <c r="J20" s="44"/>
      <c r="K20" s="44"/>
      <c r="L20" s="46">
        <f>F20*160</f>
        <v>2066.6687999999999</v>
      </c>
      <c r="M20" s="44"/>
      <c r="N20" s="50">
        <f>L20+M20</f>
        <v>2066.6687999999999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23.68</f>
        <v>254.889152</v>
      </c>
      <c r="G21" s="44"/>
      <c r="H21" s="44"/>
      <c r="I21" s="44"/>
      <c r="J21" s="44"/>
      <c r="K21" s="44"/>
      <c r="L21" s="46">
        <f>8*F21</f>
        <v>2039.113216</v>
      </c>
      <c r="M21" s="44"/>
      <c r="N21" s="50">
        <f>L21+M21</f>
        <v>2039.113216</v>
      </c>
      <c r="O21" s="44"/>
      <c r="P21" s="44"/>
      <c r="Q21" s="44"/>
      <c r="R21" s="44"/>
      <c r="S21" s="44"/>
      <c r="T21" s="54"/>
    </row>
    <row r="22" spans="1:20" x14ac:dyDescent="0.3">
      <c r="A22" s="53" t="s">
        <v>299</v>
      </c>
      <c r="B22" s="44">
        <v>8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 t="s">
        <v>300</v>
      </c>
      <c r="B23" s="44">
        <v>8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 t="s">
        <v>284</v>
      </c>
      <c r="B24" s="44">
        <v>8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 t="s">
        <v>301</v>
      </c>
      <c r="B25" s="44">
        <v>8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54"/>
      <c r="O25" s="44"/>
      <c r="P25" s="44"/>
      <c r="Q25" s="44"/>
      <c r="R25" s="44"/>
      <c r="S25" s="44"/>
      <c r="T25" s="5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2*315</f>
        <v>630</v>
      </c>
      <c r="M26" s="46">
        <f>2*485</f>
        <v>970</v>
      </c>
      <c r="N26" s="51">
        <f>L26+M26</f>
        <v>1600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6771.6753836369999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6771.6753836369999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254.889152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2257.8764187087363</v>
      </c>
      <c r="G37" s="44" t="s">
        <v>124</v>
      </c>
    </row>
    <row r="38" spans="1:20" x14ac:dyDescent="0.3">
      <c r="E38" s="44" t="s">
        <v>125</v>
      </c>
      <c r="F38" s="56">
        <f>F37/30</f>
        <v>75.262547290291209</v>
      </c>
      <c r="G38" s="44" t="s">
        <v>126</v>
      </c>
    </row>
    <row r="39" spans="1:20" x14ac:dyDescent="0.3">
      <c r="E39" s="44" t="s">
        <v>127</v>
      </c>
      <c r="F39" s="50">
        <f>SUM($L$5:$L$28)</f>
        <v>5801.6753836369999</v>
      </c>
      <c r="G39" s="44" t="s">
        <v>128</v>
      </c>
    </row>
    <row r="40" spans="1:20" x14ac:dyDescent="0.3">
      <c r="E40" s="44" t="s">
        <v>129</v>
      </c>
      <c r="F40" s="49">
        <f>SUM($M$5:$M$28)</f>
        <v>970</v>
      </c>
      <c r="G40" s="44" t="s">
        <v>128</v>
      </c>
    </row>
    <row r="41" spans="1:20" x14ac:dyDescent="0.3">
      <c r="E41" s="44" t="s">
        <v>130</v>
      </c>
      <c r="F41" s="50">
        <f>$N$29</f>
        <v>6771.6753836369999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214.87686606062962</v>
      </c>
      <c r="G43" s="44" t="s">
        <v>126</v>
      </c>
    </row>
    <row r="44" spans="1:20" x14ac:dyDescent="0.3">
      <c r="E44" s="44" t="s">
        <v>126</v>
      </c>
      <c r="F44" s="57">
        <f>ROUNDUP(F43,0)</f>
        <v>215</v>
      </c>
      <c r="G44" s="44" t="s">
        <v>126</v>
      </c>
    </row>
    <row r="45" spans="1:20" x14ac:dyDescent="0.3">
      <c r="E45" s="44" t="s">
        <v>133</v>
      </c>
      <c r="F45" s="50">
        <f>F44*0.0002930711</f>
        <v>6.3010286499999998E-2</v>
      </c>
      <c r="G45" s="44" t="s">
        <v>134</v>
      </c>
    </row>
    <row r="46" spans="1:20" x14ac:dyDescent="0.3">
      <c r="E46" s="44" t="s">
        <v>135</v>
      </c>
      <c r="F46" s="50">
        <f>F39/F41</f>
        <v>0.85675627595145842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T254"/>
  <sheetViews>
    <sheetView zoomScale="95" zoomScaleNormal="95" workbookViewId="0">
      <selection activeCell="C18" sqref="C18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235</v>
      </c>
      <c r="B2" s="11"/>
      <c r="C2" s="11">
        <v>5006</v>
      </c>
      <c r="D2" s="11"/>
      <c r="E2" s="43" t="s">
        <v>230</v>
      </c>
      <c r="F2" s="43" t="s">
        <v>302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190</v>
      </c>
      <c r="B5" s="46">
        <v>6</v>
      </c>
      <c r="C5" s="40" t="s">
        <v>175</v>
      </c>
      <c r="D5" s="44" t="s">
        <v>99</v>
      </c>
      <c r="E5" s="46" t="s">
        <v>236</v>
      </c>
      <c r="F5" s="48">
        <f>10.7639 * (2.8*2.7)</f>
        <v>81.375083999999987</v>
      </c>
      <c r="G5" s="46">
        <v>78</v>
      </c>
      <c r="H5" s="46">
        <v>80</v>
      </c>
      <c r="I5" s="49">
        <f t="shared" ref="I5:I13" si="0">H5-G5</f>
        <v>2</v>
      </c>
      <c r="J5" s="46">
        <v>0.158</v>
      </c>
      <c r="K5" s="46" t="str">
        <f>_xlfn.UNICHAR(8596)</f>
        <v>↔</v>
      </c>
      <c r="L5" s="50">
        <f t="shared" ref="L5:L13" si="1">F5*I5*J5</f>
        <v>25.714526543999995</v>
      </c>
      <c r="M5" s="49"/>
      <c r="N5" s="50">
        <f t="shared" ref="N5:N13" si="2">L5+M5</f>
        <v>25.714526543999995</v>
      </c>
      <c r="O5" s="46">
        <v>70</v>
      </c>
      <c r="P5" s="46">
        <v>70</v>
      </c>
      <c r="Q5" s="49">
        <f t="shared" ref="Q5:Q13" si="3">O5-P5</f>
        <v>0</v>
      </c>
      <c r="R5" s="46"/>
      <c r="S5" s="46"/>
      <c r="T5" s="51">
        <f t="shared" ref="T5:T13" si="4">F5*Q5*R5</f>
        <v>0</v>
      </c>
    </row>
    <row r="6" spans="1:20" x14ac:dyDescent="0.3">
      <c r="A6" s="45" t="s">
        <v>233</v>
      </c>
      <c r="B6" s="46">
        <v>6</v>
      </c>
      <c r="C6" s="47" t="s">
        <v>104</v>
      </c>
      <c r="D6" s="44" t="s">
        <v>99</v>
      </c>
      <c r="E6" s="46" t="s">
        <v>303</v>
      </c>
      <c r="F6" s="48">
        <f>10.7639 *(2.2*2.7)</f>
        <v>63.937566000000011</v>
      </c>
      <c r="G6" s="46">
        <v>78</v>
      </c>
      <c r="H6" s="46">
        <v>78</v>
      </c>
      <c r="I6" s="49">
        <f t="shared" si="0"/>
        <v>0</v>
      </c>
      <c r="J6" s="46">
        <v>0.42499999999999999</v>
      </c>
      <c r="K6" s="46" t="str">
        <f>_xlfn.UNICHAR(8596)</f>
        <v>↔</v>
      </c>
      <c r="L6" s="50">
        <f t="shared" si="1"/>
        <v>0</v>
      </c>
      <c r="M6" s="49"/>
      <c r="N6" s="50">
        <f t="shared" si="2"/>
        <v>0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45" t="s">
        <v>210</v>
      </c>
      <c r="B7" s="46">
        <v>6</v>
      </c>
      <c r="C7" s="44" t="s">
        <v>175</v>
      </c>
      <c r="D7" s="44" t="s">
        <v>99</v>
      </c>
      <c r="E7" s="46" t="s">
        <v>303</v>
      </c>
      <c r="F7" s="48">
        <f>10.7639 *(2.2*2.7)</f>
        <v>63.937566000000011</v>
      </c>
      <c r="G7" s="46">
        <v>78</v>
      </c>
      <c r="H7" s="46">
        <v>80</v>
      </c>
      <c r="I7" s="49">
        <f t="shared" si="0"/>
        <v>2</v>
      </c>
      <c r="J7" s="46">
        <v>0.158</v>
      </c>
      <c r="K7" s="46" t="str">
        <f>_xlfn.UNICHAR(8596)</f>
        <v>↔</v>
      </c>
      <c r="L7" s="50">
        <f t="shared" si="1"/>
        <v>20.204270856000004</v>
      </c>
      <c r="M7" s="49"/>
      <c r="N7" s="50">
        <f t="shared" si="2"/>
        <v>20.204270856000004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45" t="s">
        <v>229</v>
      </c>
      <c r="B8" s="46">
        <v>6</v>
      </c>
      <c r="C8" s="44" t="s">
        <v>175</v>
      </c>
      <c r="D8" s="44" t="s">
        <v>99</v>
      </c>
      <c r="E8" s="46" t="s">
        <v>236</v>
      </c>
      <c r="F8" s="48">
        <f>10.7639 * (2.8*2.7)</f>
        <v>81.375083999999987</v>
      </c>
      <c r="G8" s="46">
        <v>78</v>
      </c>
      <c r="H8" s="46">
        <v>78</v>
      </c>
      <c r="I8" s="49">
        <f t="shared" si="0"/>
        <v>0</v>
      </c>
      <c r="J8" s="46">
        <v>0.158</v>
      </c>
      <c r="K8" s="46" t="str">
        <f>_xlfn.UNICHAR(8596)</f>
        <v>↔</v>
      </c>
      <c r="L8" s="50">
        <f t="shared" si="1"/>
        <v>0</v>
      </c>
      <c r="M8" s="49"/>
      <c r="N8" s="50">
        <f t="shared" si="2"/>
        <v>0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45" t="s">
        <v>178</v>
      </c>
      <c r="B9" s="46">
        <v>2</v>
      </c>
      <c r="C9" s="47" t="s">
        <v>98</v>
      </c>
      <c r="D9" s="44" t="s">
        <v>106</v>
      </c>
      <c r="E9" s="46" t="s">
        <v>304</v>
      </c>
      <c r="F9" s="48">
        <f>10.7639 * (4.78)</f>
        <v>51.451442</v>
      </c>
      <c r="G9" s="46">
        <v>78</v>
      </c>
      <c r="H9" s="46">
        <v>130</v>
      </c>
      <c r="I9" s="49">
        <f t="shared" si="0"/>
        <v>52</v>
      </c>
      <c r="J9" s="46">
        <v>0.80100000000000005</v>
      </c>
      <c r="K9" s="46" t="str">
        <f>_xlfn.UNICHAR(8595)</f>
        <v>↓</v>
      </c>
      <c r="L9" s="50">
        <f t="shared" si="1"/>
        <v>2143.0554621840001</v>
      </c>
      <c r="M9" s="49"/>
      <c r="N9" s="50">
        <f t="shared" si="2"/>
        <v>2143.0554621840001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45" t="s">
        <v>305</v>
      </c>
      <c r="B10" s="46">
        <v>1</v>
      </c>
      <c r="C10" s="47" t="s">
        <v>175</v>
      </c>
      <c r="D10" s="44" t="s">
        <v>90</v>
      </c>
      <c r="E10" s="46"/>
      <c r="F10" s="48">
        <f>10.7639 * (5.61)</f>
        <v>60.385479000000004</v>
      </c>
      <c r="G10" s="46">
        <v>78</v>
      </c>
      <c r="H10" s="46">
        <v>78</v>
      </c>
      <c r="I10" s="49">
        <f t="shared" si="0"/>
        <v>0</v>
      </c>
      <c r="J10" s="46">
        <v>0.17100000000000001</v>
      </c>
      <c r="K10" s="46" t="str">
        <f>_xlfn.UNICHAR(8593)</f>
        <v>↑</v>
      </c>
      <c r="L10" s="50">
        <f t="shared" si="1"/>
        <v>0</v>
      </c>
      <c r="M10" s="49"/>
      <c r="N10" s="50">
        <f t="shared" si="2"/>
        <v>0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45" t="s">
        <v>306</v>
      </c>
      <c r="B11" s="46">
        <v>1</v>
      </c>
      <c r="C11" s="47" t="s">
        <v>175</v>
      </c>
      <c r="D11" s="44" t="s">
        <v>90</v>
      </c>
      <c r="E11" s="46"/>
      <c r="F11" s="48">
        <f>10.7639 * (0.3*1.98)</f>
        <v>6.3937565999999997</v>
      </c>
      <c r="G11" s="46">
        <v>78</v>
      </c>
      <c r="H11" s="46">
        <v>85</v>
      </c>
      <c r="I11" s="49">
        <f t="shared" si="0"/>
        <v>7</v>
      </c>
      <c r="J11" s="46">
        <v>0.17100000000000001</v>
      </c>
      <c r="K11" s="46" t="str">
        <f>_xlfn.UNICHAR(8593)</f>
        <v>↑</v>
      </c>
      <c r="L11" s="50">
        <f t="shared" si="1"/>
        <v>7.6533266501999995</v>
      </c>
      <c r="M11" s="49"/>
      <c r="N11" s="50">
        <f t="shared" si="2"/>
        <v>7.6533266501999995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45" t="s">
        <v>307</v>
      </c>
      <c r="B12" s="46">
        <v>1</v>
      </c>
      <c r="C12" s="47" t="s">
        <v>175</v>
      </c>
      <c r="D12" s="44" t="s">
        <v>90</v>
      </c>
      <c r="E12" s="46"/>
      <c r="F12" s="48">
        <f>10.7639 * (0.3*0.12)</f>
        <v>0.38750039999999997</v>
      </c>
      <c r="G12" s="46">
        <v>78</v>
      </c>
      <c r="H12" s="46">
        <v>120</v>
      </c>
      <c r="I12" s="49">
        <f t="shared" si="0"/>
        <v>42</v>
      </c>
      <c r="J12" s="46">
        <v>0.17100000000000001</v>
      </c>
      <c r="K12" s="46" t="str">
        <f>_xlfn.UNICHAR(8593)</f>
        <v>↑</v>
      </c>
      <c r="L12" s="50">
        <f t="shared" si="1"/>
        <v>2.7830278728</v>
      </c>
      <c r="M12" s="49"/>
      <c r="N12" s="50">
        <f t="shared" si="2"/>
        <v>2.7830278728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45" t="s">
        <v>308</v>
      </c>
      <c r="B13" s="44">
        <v>2</v>
      </c>
      <c r="C13" s="47" t="s">
        <v>98</v>
      </c>
      <c r="D13" s="44" t="s">
        <v>106</v>
      </c>
      <c r="E13" s="44"/>
      <c r="F13" s="48">
        <f>10.7639 * (1.46)</f>
        <v>15.715293999999998</v>
      </c>
      <c r="G13" s="46">
        <v>78</v>
      </c>
      <c r="H13" s="46">
        <v>120</v>
      </c>
      <c r="I13" s="49">
        <f t="shared" si="0"/>
        <v>42</v>
      </c>
      <c r="J13" s="46">
        <v>1.113</v>
      </c>
      <c r="K13" s="46" t="str">
        <f>_xlfn.UNICHAR(8593)</f>
        <v>↑</v>
      </c>
      <c r="L13" s="50">
        <f t="shared" si="1"/>
        <v>734.62713332399994</v>
      </c>
      <c r="M13" s="49"/>
      <c r="N13" s="50">
        <f t="shared" si="2"/>
        <v>734.62713332399994</v>
      </c>
      <c r="O13" s="46">
        <v>70</v>
      </c>
      <c r="P13" s="46">
        <v>70</v>
      </c>
      <c r="Q13" s="49">
        <f t="shared" si="3"/>
        <v>0</v>
      </c>
      <c r="R13" s="46"/>
      <c r="S13" s="46"/>
      <c r="T13" s="51">
        <f t="shared" si="4"/>
        <v>0</v>
      </c>
    </row>
    <row r="14" spans="1:20" x14ac:dyDescent="0.3">
      <c r="A14" s="53"/>
      <c r="B14" s="44"/>
      <c r="C14" s="47"/>
      <c r="D14" s="44"/>
      <c r="E14" s="44"/>
      <c r="F14" s="54"/>
      <c r="G14" s="44"/>
      <c r="H14" s="44"/>
      <c r="I14" s="44"/>
      <c r="J14" s="44"/>
      <c r="K14" s="44"/>
      <c r="L14" s="54"/>
      <c r="M14" s="44"/>
      <c r="N14" s="54"/>
      <c r="O14" s="44"/>
      <c r="P14" s="44"/>
      <c r="Q14" s="44"/>
      <c r="R14" s="44"/>
      <c r="S14" s="44"/>
      <c r="T14" s="69"/>
    </row>
    <row r="15" spans="1:20" x14ac:dyDescent="0.3">
      <c r="A15" s="53"/>
      <c r="B15" s="44"/>
      <c r="C15" s="47"/>
      <c r="D15" s="44"/>
      <c r="E15" s="44"/>
      <c r="F15" s="54"/>
      <c r="G15" s="44"/>
      <c r="H15" s="44"/>
      <c r="I15" s="44"/>
      <c r="J15" s="44"/>
      <c r="K15" s="44"/>
      <c r="L15" s="54"/>
      <c r="M15" s="44"/>
      <c r="N15" s="54"/>
      <c r="O15" s="44"/>
      <c r="P15" s="44"/>
      <c r="Q15" s="44"/>
      <c r="R15" s="44"/>
      <c r="S15" s="44"/>
      <c r="T15" s="69"/>
    </row>
    <row r="16" spans="1:20" x14ac:dyDescent="0.3">
      <c r="A16" s="53"/>
      <c r="B16" s="44"/>
      <c r="C16" s="44"/>
      <c r="D16" s="44"/>
      <c r="E16" s="44"/>
      <c r="F16" s="54"/>
      <c r="G16" s="44"/>
      <c r="H16" s="44"/>
      <c r="I16" s="44"/>
      <c r="J16" s="44"/>
      <c r="K16" s="44"/>
      <c r="L16" s="54"/>
      <c r="M16" s="44"/>
      <c r="N16" s="54"/>
      <c r="O16" s="44"/>
      <c r="P16" s="44"/>
      <c r="Q16" s="44"/>
      <c r="R16" s="44"/>
      <c r="S16" s="44"/>
      <c r="T16" s="69"/>
    </row>
    <row r="17" spans="1:20" x14ac:dyDescent="0.3">
      <c r="A17" s="53"/>
      <c r="B17" s="44"/>
      <c r="C17" s="44"/>
      <c r="D17" s="44"/>
      <c r="E17" s="44"/>
      <c r="F17" s="54"/>
      <c r="G17" s="44"/>
      <c r="H17" s="44"/>
      <c r="I17" s="44"/>
      <c r="J17" s="44"/>
      <c r="K17" s="44"/>
      <c r="L17" s="54"/>
      <c r="M17" s="44"/>
      <c r="N17" s="54"/>
      <c r="O17" s="44"/>
      <c r="P17" s="44"/>
      <c r="Q17" s="44"/>
      <c r="R17" s="44"/>
      <c r="S17" s="44"/>
      <c r="T17" s="69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SUM(N5:N17)</f>
        <v>2934.0377474310008</v>
      </c>
      <c r="O19" s="44"/>
      <c r="P19" s="44"/>
      <c r="Q19" s="44"/>
      <c r="R19" s="44"/>
      <c r="S19" s="44"/>
      <c r="T19" s="50">
        <f>SUM(T5:T17)</f>
        <v>0</v>
      </c>
    </row>
    <row r="20" spans="1:20" x14ac:dyDescent="0.3">
      <c r="A20" s="5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50"/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(2.6*2.4)</f>
        <v>67.166736</v>
      </c>
      <c r="G21" s="44"/>
      <c r="H21" s="44"/>
      <c r="I21" s="44"/>
      <c r="J21" s="44"/>
      <c r="K21" s="44"/>
      <c r="L21" s="46">
        <f>4*$F$21</f>
        <v>268.666944</v>
      </c>
      <c r="M21" s="44"/>
      <c r="N21" s="50">
        <f>L21+M21</f>
        <v>268.666944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>
        <v>8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>
        <v>8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>
        <v>8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4*315</f>
        <v>1260</v>
      </c>
      <c r="M26" s="46">
        <f>4*485</f>
        <v>1940</v>
      </c>
      <c r="N26" s="51">
        <f>L26+M26</f>
        <v>3200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6402.7046914310013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6402.7046914310013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67.166736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594.98094817324807</v>
      </c>
      <c r="G37" s="44" t="s">
        <v>124</v>
      </c>
    </row>
    <row r="38" spans="1:20" x14ac:dyDescent="0.3">
      <c r="E38" s="44" t="s">
        <v>125</v>
      </c>
      <c r="F38" s="56">
        <f>F37/30</f>
        <v>19.832698272441601</v>
      </c>
      <c r="G38" s="44" t="s">
        <v>126</v>
      </c>
    </row>
    <row r="39" spans="1:20" x14ac:dyDescent="0.3">
      <c r="E39" s="44" t="s">
        <v>127</v>
      </c>
      <c r="F39" s="50">
        <f>SUM($L$5:$L$28)</f>
        <v>4462.7046914310013</v>
      </c>
      <c r="G39" s="44" t="s">
        <v>128</v>
      </c>
    </row>
    <row r="40" spans="1:20" x14ac:dyDescent="0.3">
      <c r="E40" s="44" t="s">
        <v>129</v>
      </c>
      <c r="F40" s="49">
        <f>SUM($M$5:$M$28)</f>
        <v>1940</v>
      </c>
      <c r="G40" s="44" t="s">
        <v>128</v>
      </c>
    </row>
    <row r="41" spans="1:20" x14ac:dyDescent="0.3">
      <c r="E41" s="44" t="s">
        <v>130</v>
      </c>
      <c r="F41" s="50">
        <f>$N$29</f>
        <v>6402.7046914310013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165.28535894188894</v>
      </c>
      <c r="G43" s="44" t="s">
        <v>126</v>
      </c>
    </row>
    <row r="44" spans="1:20" x14ac:dyDescent="0.3">
      <c r="E44" s="44" t="s">
        <v>126</v>
      </c>
      <c r="F44" s="57">
        <f>ROUNDUP(F43,0)</f>
        <v>166</v>
      </c>
      <c r="G44" s="44" t="s">
        <v>126</v>
      </c>
    </row>
    <row r="45" spans="1:20" x14ac:dyDescent="0.3">
      <c r="E45" s="44" t="s">
        <v>133</v>
      </c>
      <c r="F45" s="50">
        <f>F44*0.0002930711</f>
        <v>4.86498026E-2</v>
      </c>
      <c r="G45" s="44" t="s">
        <v>134</v>
      </c>
    </row>
    <row r="46" spans="1:20" x14ac:dyDescent="0.3">
      <c r="E46" s="44" t="s">
        <v>135</v>
      </c>
      <c r="F46" s="50">
        <f>F39/F41</f>
        <v>0.69700304894642717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1:T254"/>
  <sheetViews>
    <sheetView zoomScale="95" zoomScaleNormal="95" workbookViewId="0">
      <selection activeCell="D45" sqref="D45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233</v>
      </c>
      <c r="B2" s="11"/>
      <c r="C2" s="11">
        <v>5007</v>
      </c>
      <c r="D2" s="11"/>
      <c r="E2" s="43" t="s">
        <v>230</v>
      </c>
      <c r="F2" s="43" t="s">
        <v>302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/>
      <c r="B5" s="46"/>
      <c r="C5" s="47"/>
      <c r="D5" s="46"/>
      <c r="E5" s="46"/>
      <c r="F5" s="48"/>
      <c r="G5" s="46"/>
      <c r="H5" s="46"/>
      <c r="I5" s="49"/>
      <c r="J5" s="46"/>
      <c r="K5" s="46"/>
      <c r="L5" s="50"/>
      <c r="M5" s="49"/>
      <c r="N5" s="50"/>
      <c r="O5" s="46"/>
      <c r="P5" s="46"/>
      <c r="Q5" s="49"/>
      <c r="R5" s="46"/>
      <c r="S5" s="46"/>
      <c r="T5" s="51"/>
    </row>
    <row r="6" spans="1:20" x14ac:dyDescent="0.3">
      <c r="A6" s="45"/>
      <c r="B6" s="46"/>
      <c r="C6" s="46"/>
      <c r="D6" s="46"/>
      <c r="E6" s="46"/>
      <c r="F6" s="48"/>
      <c r="G6" s="46"/>
      <c r="H6" s="46"/>
      <c r="I6" s="49"/>
      <c r="J6" s="46"/>
      <c r="K6" s="46"/>
      <c r="L6" s="50"/>
      <c r="M6" s="49"/>
      <c r="N6" s="50"/>
      <c r="O6" s="46"/>
      <c r="P6" s="46"/>
      <c r="Q6" s="49"/>
      <c r="R6" s="46"/>
      <c r="S6" s="46"/>
      <c r="T6" s="50"/>
    </row>
    <row r="7" spans="1:20" x14ac:dyDescent="0.3">
      <c r="A7" s="45" t="s">
        <v>190</v>
      </c>
      <c r="B7" s="46">
        <v>6</v>
      </c>
      <c r="C7" s="46" t="s">
        <v>175</v>
      </c>
      <c r="D7" s="46" t="s">
        <v>99</v>
      </c>
      <c r="E7" s="46" t="s">
        <v>309</v>
      </c>
      <c r="F7" s="48">
        <f>10.7639 *((1.2+1.7)*2.7)</f>
        <v>84.281336999999994</v>
      </c>
      <c r="G7" s="46">
        <v>78</v>
      </c>
      <c r="H7" s="46">
        <v>80</v>
      </c>
      <c r="I7" s="49">
        <f>H7-G7</f>
        <v>2</v>
      </c>
      <c r="J7" s="46">
        <v>0.158</v>
      </c>
      <c r="K7" s="46" t="str">
        <f>_xlfn.UNICHAR(8596)</f>
        <v>↔</v>
      </c>
      <c r="L7" s="50">
        <f>F7*I7*J7</f>
        <v>26.632902491999999</v>
      </c>
      <c r="M7" s="49"/>
      <c r="N7" s="50">
        <f>L7+M7</f>
        <v>26.632902491999999</v>
      </c>
      <c r="O7" s="46">
        <v>70</v>
      </c>
      <c r="P7" s="46">
        <v>70</v>
      </c>
      <c r="Q7" s="49">
        <f>O7-P7</f>
        <v>0</v>
      </c>
      <c r="R7" s="46"/>
      <c r="S7" s="46"/>
      <c r="T7" s="51">
        <f>F7*Q7*R7</f>
        <v>0</v>
      </c>
    </row>
    <row r="8" spans="1:20" x14ac:dyDescent="0.3">
      <c r="A8" s="45" t="s">
        <v>178</v>
      </c>
      <c r="B8" s="46">
        <v>2</v>
      </c>
      <c r="C8" s="67" t="s">
        <v>98</v>
      </c>
      <c r="D8" s="46" t="s">
        <v>106</v>
      </c>
      <c r="E8" s="46" t="s">
        <v>310</v>
      </c>
      <c r="F8" s="48">
        <f>10.7639 * (2.4*1.2)</f>
        <v>31.000031999999997</v>
      </c>
      <c r="G8" s="46">
        <v>78</v>
      </c>
      <c r="H8" s="46">
        <v>130</v>
      </c>
      <c r="I8" s="49">
        <f>H8-G8</f>
        <v>52</v>
      </c>
      <c r="J8" s="46">
        <v>0.80100000000000005</v>
      </c>
      <c r="K8" s="46" t="str">
        <f>_xlfn.UNICHAR(8595)</f>
        <v>↓</v>
      </c>
      <c r="L8" s="50">
        <f>F8*I8*J8</f>
        <v>1291.213332864</v>
      </c>
      <c r="M8" s="49"/>
      <c r="N8" s="50">
        <f>L8+M8</f>
        <v>1291.213332864</v>
      </c>
      <c r="O8" s="46">
        <v>70</v>
      </c>
      <c r="P8" s="46">
        <v>70</v>
      </c>
      <c r="Q8" s="49">
        <f>O8-P8</f>
        <v>0</v>
      </c>
      <c r="R8" s="46"/>
      <c r="S8" s="46"/>
      <c r="T8" s="51">
        <f>F8*Q8*R8</f>
        <v>0</v>
      </c>
    </row>
    <row r="9" spans="1:20" x14ac:dyDescent="0.3">
      <c r="A9" s="45" t="s">
        <v>306</v>
      </c>
      <c r="B9" s="46">
        <v>1</v>
      </c>
      <c r="C9" s="67" t="s">
        <v>175</v>
      </c>
      <c r="D9" s="46" t="s">
        <v>90</v>
      </c>
      <c r="E9" s="46"/>
      <c r="F9" s="48">
        <f>10.7639 * (1.898)</f>
        <v>20.429882199999998</v>
      </c>
      <c r="G9" s="46">
        <v>78</v>
      </c>
      <c r="H9" s="46">
        <v>85</v>
      </c>
      <c r="I9" s="49">
        <f>H9-G9</f>
        <v>7</v>
      </c>
      <c r="J9" s="46">
        <v>0.17100000000000001</v>
      </c>
      <c r="K9" s="46" t="str">
        <f>_xlfn.UNICHAR(8593)</f>
        <v>↑</v>
      </c>
      <c r="L9" s="50">
        <f>F9*I9*J9</f>
        <v>24.454568993399999</v>
      </c>
      <c r="M9" s="49"/>
      <c r="N9" s="50">
        <f>L9+M9</f>
        <v>24.454568993399999</v>
      </c>
      <c r="O9" s="46">
        <v>70</v>
      </c>
      <c r="P9" s="46">
        <v>70</v>
      </c>
      <c r="Q9" s="49">
        <f>O9-P9</f>
        <v>0</v>
      </c>
      <c r="R9" s="46"/>
      <c r="S9" s="46"/>
      <c r="T9" s="51">
        <f>F9*Q9*R9</f>
        <v>0</v>
      </c>
    </row>
    <row r="10" spans="1:20" x14ac:dyDescent="0.3">
      <c r="A10" s="45" t="s">
        <v>307</v>
      </c>
      <c r="B10" s="44">
        <v>1</v>
      </c>
      <c r="C10" s="67" t="s">
        <v>175</v>
      </c>
      <c r="D10" s="44" t="s">
        <v>90</v>
      </c>
      <c r="E10" s="46"/>
      <c r="F10" s="48">
        <f>10.7639 * (0.6219)</f>
        <v>6.69406941</v>
      </c>
      <c r="G10" s="46">
        <v>78</v>
      </c>
      <c r="H10" s="46">
        <v>120</v>
      </c>
      <c r="I10" s="49">
        <f>H10-G10</f>
        <v>42</v>
      </c>
      <c r="J10" s="46">
        <v>1.171</v>
      </c>
      <c r="K10" s="46" t="str">
        <f>_xlfn.UNICHAR(8593)</f>
        <v>↑</v>
      </c>
      <c r="L10" s="50">
        <f>F10*I10*J10</f>
        <v>329.22772172262</v>
      </c>
      <c r="M10" s="49"/>
      <c r="N10" s="50">
        <f>L10+M10</f>
        <v>329.22772172262</v>
      </c>
      <c r="O10" s="46">
        <v>70</v>
      </c>
      <c r="P10" s="46">
        <v>70</v>
      </c>
      <c r="Q10" s="49">
        <f>O10-P10</f>
        <v>0</v>
      </c>
      <c r="R10" s="46"/>
      <c r="S10" s="46"/>
      <c r="T10" s="51">
        <f>F10*Q10*R10</f>
        <v>0</v>
      </c>
    </row>
    <row r="11" spans="1:20" x14ac:dyDescent="0.3">
      <c r="A11" s="53"/>
      <c r="B11" s="44"/>
      <c r="C11" s="47"/>
      <c r="D11" s="44"/>
      <c r="E11" s="44"/>
      <c r="F11" s="54"/>
      <c r="G11" s="44"/>
      <c r="H11" s="44"/>
      <c r="I11" s="44"/>
      <c r="J11" s="44"/>
      <c r="K11" s="44"/>
      <c r="L11" s="54"/>
      <c r="M11" s="44"/>
      <c r="N11" s="54"/>
      <c r="O11" s="44"/>
      <c r="P11" s="44"/>
      <c r="Q11" s="44"/>
      <c r="R11" s="44"/>
      <c r="S11" s="44"/>
      <c r="T11" s="69"/>
    </row>
    <row r="12" spans="1:20" x14ac:dyDescent="0.3">
      <c r="A12" s="53"/>
      <c r="B12" s="44"/>
      <c r="C12" s="47"/>
      <c r="D12" s="44"/>
      <c r="E12" s="44"/>
      <c r="F12" s="54"/>
      <c r="G12" s="44"/>
      <c r="H12" s="44"/>
      <c r="I12" s="44"/>
      <c r="J12" s="44"/>
      <c r="K12" s="44"/>
      <c r="L12" s="54"/>
      <c r="M12" s="44"/>
      <c r="N12" s="54"/>
      <c r="O12" s="44"/>
      <c r="P12" s="44"/>
      <c r="Q12" s="44"/>
      <c r="R12" s="44"/>
      <c r="S12" s="44"/>
      <c r="T12" s="69"/>
    </row>
    <row r="13" spans="1:20" x14ac:dyDescent="0.3">
      <c r="A13" s="53"/>
      <c r="B13" s="44"/>
      <c r="C13" s="47"/>
      <c r="D13" s="44"/>
      <c r="E13" s="44"/>
      <c r="F13" s="54"/>
      <c r="G13" s="44"/>
      <c r="H13" s="44"/>
      <c r="I13" s="44"/>
      <c r="J13" s="44"/>
      <c r="K13" s="44"/>
      <c r="L13" s="54"/>
      <c r="M13" s="44"/>
      <c r="N13" s="54"/>
      <c r="O13" s="44"/>
      <c r="P13" s="44"/>
      <c r="Q13" s="44"/>
      <c r="R13" s="44"/>
      <c r="S13" s="44"/>
      <c r="T13" s="69"/>
    </row>
    <row r="14" spans="1:20" x14ac:dyDescent="0.3">
      <c r="A14" s="53"/>
      <c r="B14" s="44"/>
      <c r="C14" s="47"/>
      <c r="D14" s="44"/>
      <c r="E14" s="44"/>
      <c r="F14" s="54"/>
      <c r="G14" s="44"/>
      <c r="H14" s="44"/>
      <c r="I14" s="44"/>
      <c r="J14" s="44"/>
      <c r="K14" s="44"/>
      <c r="L14" s="54"/>
      <c r="M14" s="44"/>
      <c r="N14" s="54"/>
      <c r="O14" s="44"/>
      <c r="P14" s="44"/>
      <c r="Q14" s="44"/>
      <c r="R14" s="44"/>
      <c r="S14" s="44"/>
      <c r="T14" s="69"/>
    </row>
    <row r="15" spans="1:20" x14ac:dyDescent="0.3">
      <c r="A15" s="53"/>
      <c r="B15" s="44"/>
      <c r="C15" s="47"/>
      <c r="D15" s="44"/>
      <c r="E15" s="44"/>
      <c r="F15" s="54"/>
      <c r="G15" s="44"/>
      <c r="H15" s="44"/>
      <c r="I15" s="44"/>
      <c r="J15" s="44"/>
      <c r="K15" s="44"/>
      <c r="L15" s="54"/>
      <c r="M15" s="44"/>
      <c r="N15" s="54"/>
      <c r="O15" s="44"/>
      <c r="P15" s="44"/>
      <c r="Q15" s="44"/>
      <c r="R15" s="44"/>
      <c r="S15" s="44"/>
      <c r="T15" s="69"/>
    </row>
    <row r="16" spans="1:20" x14ac:dyDescent="0.3">
      <c r="A16" s="53"/>
      <c r="B16" s="44"/>
      <c r="C16" s="44"/>
      <c r="D16" s="44"/>
      <c r="E16" s="44"/>
      <c r="F16" s="54"/>
      <c r="G16" s="44"/>
      <c r="H16" s="44"/>
      <c r="I16" s="44"/>
      <c r="J16" s="44"/>
      <c r="K16" s="44"/>
      <c r="L16" s="54"/>
      <c r="M16" s="44"/>
      <c r="N16" s="54"/>
      <c r="O16" s="44"/>
      <c r="P16" s="44"/>
      <c r="Q16" s="44"/>
      <c r="R16" s="44"/>
      <c r="S16" s="44"/>
      <c r="T16" s="69"/>
    </row>
    <row r="17" spans="1:20" x14ac:dyDescent="0.3">
      <c r="A17" s="53"/>
      <c r="B17" s="44"/>
      <c r="C17" s="44"/>
      <c r="D17" s="44"/>
      <c r="E17" s="44"/>
      <c r="F17" s="54"/>
      <c r="G17" s="44"/>
      <c r="H17" s="44"/>
      <c r="I17" s="44"/>
      <c r="J17" s="44"/>
      <c r="K17" s="44"/>
      <c r="L17" s="54"/>
      <c r="M17" s="44"/>
      <c r="N17" s="54"/>
      <c r="O17" s="44"/>
      <c r="P17" s="44"/>
      <c r="Q17" s="44"/>
      <c r="R17" s="44"/>
      <c r="S17" s="44"/>
      <c r="T17" s="69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SUM(N5:N17)</f>
        <v>1671.5285260720202</v>
      </c>
      <c r="O19" s="44"/>
      <c r="P19" s="44"/>
      <c r="Q19" s="44"/>
      <c r="R19" s="44"/>
      <c r="S19" s="44"/>
      <c r="T19" s="50">
        <f>SUM(T5:T17)</f>
        <v>0</v>
      </c>
    </row>
    <row r="20" spans="1:20" x14ac:dyDescent="0.3">
      <c r="A20" s="5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50"/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(2.4*1.2)</f>
        <v>31.000031999999997</v>
      </c>
      <c r="G21" s="44"/>
      <c r="H21" s="44"/>
      <c r="I21" s="44"/>
      <c r="J21" s="44"/>
      <c r="K21" s="44"/>
      <c r="L21" s="46">
        <f>4*$F$21</f>
        <v>124.00012799999999</v>
      </c>
      <c r="M21" s="44"/>
      <c r="N21" s="50">
        <f>L21+M21</f>
        <v>124.00012799999999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2595.5286540720199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2595.5286540720199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31.000031999999997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274.60659146457601</v>
      </c>
      <c r="G37" s="44" t="s">
        <v>124</v>
      </c>
    </row>
    <row r="38" spans="1:20" x14ac:dyDescent="0.3">
      <c r="E38" s="44" t="s">
        <v>125</v>
      </c>
      <c r="F38" s="56">
        <f>F37/30</f>
        <v>9.1535530488191998</v>
      </c>
      <c r="G38" s="44" t="s">
        <v>126</v>
      </c>
    </row>
    <row r="39" spans="1:20" x14ac:dyDescent="0.3">
      <c r="E39" s="44" t="s">
        <v>127</v>
      </c>
      <c r="F39" s="50">
        <f>SUM($L$5:$L$28)</f>
        <v>2110.5286540720199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2595.5286540720199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78.167727928593322</v>
      </c>
      <c r="G43" s="44" t="s">
        <v>126</v>
      </c>
    </row>
    <row r="44" spans="1:20" x14ac:dyDescent="0.3">
      <c r="E44" s="44" t="s">
        <v>126</v>
      </c>
      <c r="F44" s="57">
        <f>ROUNDUP(F43,0)</f>
        <v>79</v>
      </c>
      <c r="G44" s="44" t="s">
        <v>126</v>
      </c>
    </row>
    <row r="45" spans="1:20" x14ac:dyDescent="0.3">
      <c r="E45" s="44" t="s">
        <v>133</v>
      </c>
      <c r="F45" s="50">
        <f>F44*0.0002930711</f>
        <v>2.3152616899999999E-2</v>
      </c>
      <c r="G45" s="44" t="s">
        <v>134</v>
      </c>
    </row>
    <row r="46" spans="1:20" x14ac:dyDescent="0.3">
      <c r="E46" s="44" t="s">
        <v>135</v>
      </c>
      <c r="F46" s="50">
        <f>F39/F41</f>
        <v>0.81314018659007936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T254"/>
  <sheetViews>
    <sheetView zoomScale="95" zoomScaleNormal="95" workbookViewId="0"/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293</v>
      </c>
      <c r="B2" s="11"/>
      <c r="C2" s="11">
        <v>6001</v>
      </c>
      <c r="D2" s="11"/>
      <c r="E2" s="43" t="s">
        <v>311</v>
      </c>
      <c r="F2" s="43" t="s">
        <v>273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294</v>
      </c>
      <c r="B5" s="46">
        <v>6</v>
      </c>
      <c r="C5" s="47" t="s">
        <v>104</v>
      </c>
      <c r="D5" s="46" t="s">
        <v>99</v>
      </c>
      <c r="E5" s="46" t="s">
        <v>312</v>
      </c>
      <c r="F5" s="48">
        <f>10.7639 * ((1.6+0.9)*2.7)</f>
        <v>72.656324999999995</v>
      </c>
      <c r="G5" s="46">
        <v>78</v>
      </c>
      <c r="H5" s="46">
        <v>85</v>
      </c>
      <c r="I5" s="49">
        <f>H5-G5</f>
        <v>7</v>
      </c>
      <c r="J5" s="46">
        <v>0.42499999999999999</v>
      </c>
      <c r="K5" s="46" t="str">
        <f>_xlfn.UNICHAR(8596)</f>
        <v>↔</v>
      </c>
      <c r="L5" s="50">
        <f>F5*I5*J5</f>
        <v>216.15256687499999</v>
      </c>
      <c r="M5" s="49"/>
      <c r="N5" s="50">
        <f>L5+M5</f>
        <v>216.15256687499999</v>
      </c>
      <c r="O5" s="46">
        <v>70</v>
      </c>
      <c r="P5" s="46">
        <v>70</v>
      </c>
      <c r="Q5" s="49">
        <f>O5-P5</f>
        <v>0</v>
      </c>
      <c r="R5" s="46"/>
      <c r="S5" s="46"/>
      <c r="T5" s="51">
        <f>F5*Q5*R5</f>
        <v>0</v>
      </c>
    </row>
    <row r="6" spans="1:20" x14ac:dyDescent="0.3">
      <c r="A6" s="45" t="s">
        <v>190</v>
      </c>
      <c r="B6" s="46">
        <v>6</v>
      </c>
      <c r="C6" s="47" t="s">
        <v>104</v>
      </c>
      <c r="D6" s="46" t="s">
        <v>99</v>
      </c>
      <c r="E6" s="46" t="s">
        <v>313</v>
      </c>
      <c r="F6" s="48">
        <f>10.7639 *(1.6*2.7)</f>
        <v>46.500048</v>
      </c>
      <c r="G6" s="46">
        <v>78</v>
      </c>
      <c r="H6" s="46">
        <v>80</v>
      </c>
      <c r="I6" s="49">
        <f>H6-G6</f>
        <v>2</v>
      </c>
      <c r="J6" s="46">
        <v>0.42499999999999999</v>
      </c>
      <c r="K6" s="46" t="str">
        <f>_xlfn.UNICHAR(8596)</f>
        <v>↔</v>
      </c>
      <c r="L6" s="50">
        <f>F6*I6*J6</f>
        <v>39.525040799999999</v>
      </c>
      <c r="M6" s="49"/>
      <c r="N6" s="50">
        <f>L6+M6</f>
        <v>39.525040799999999</v>
      </c>
      <c r="O6" s="46">
        <v>70</v>
      </c>
      <c r="P6" s="46">
        <v>70</v>
      </c>
      <c r="Q6" s="49">
        <f>O6-P6</f>
        <v>0</v>
      </c>
      <c r="R6" s="46"/>
      <c r="S6" s="46"/>
      <c r="T6" s="50">
        <f>F6*Q6*R6</f>
        <v>0</v>
      </c>
    </row>
    <row r="7" spans="1:20" x14ac:dyDescent="0.3">
      <c r="A7" s="45"/>
      <c r="B7" s="46"/>
      <c r="C7" s="67"/>
      <c r="D7" s="46"/>
      <c r="E7" s="46"/>
      <c r="F7" s="48"/>
      <c r="G7" s="46"/>
      <c r="H7" s="46"/>
      <c r="I7" s="49"/>
      <c r="J7" s="46"/>
      <c r="K7" s="46"/>
      <c r="L7" s="50"/>
      <c r="M7" s="49"/>
      <c r="N7" s="50"/>
      <c r="O7" s="46"/>
      <c r="P7" s="46"/>
      <c r="Q7" s="49"/>
      <c r="R7" s="46"/>
      <c r="S7" s="46"/>
      <c r="T7" s="51"/>
    </row>
    <row r="8" spans="1:20" x14ac:dyDescent="0.3">
      <c r="A8" s="45" t="s">
        <v>279</v>
      </c>
      <c r="B8" s="46">
        <v>6</v>
      </c>
      <c r="C8" s="47" t="s">
        <v>104</v>
      </c>
      <c r="D8" s="46" t="s">
        <v>99</v>
      </c>
      <c r="E8" s="46" t="s">
        <v>314</v>
      </c>
      <c r="F8" s="48">
        <f>10.7639 * (1.7*2.7)</f>
        <v>49.406300999999999</v>
      </c>
      <c r="G8" s="46">
        <v>78</v>
      </c>
      <c r="H8" s="46">
        <v>85</v>
      </c>
      <c r="I8" s="49">
        <f>H8-G8</f>
        <v>7</v>
      </c>
      <c r="J8" s="46">
        <v>0.42499999999999999</v>
      </c>
      <c r="K8" s="46" t="str">
        <f>_xlfn.UNICHAR(8596)</f>
        <v>↔</v>
      </c>
      <c r="L8" s="50">
        <f>F8*I8*J8</f>
        <v>146.98374547500001</v>
      </c>
      <c r="M8" s="49"/>
      <c r="N8" s="50">
        <f>L8+M8</f>
        <v>146.98374547500001</v>
      </c>
      <c r="O8" s="46">
        <v>70</v>
      </c>
      <c r="P8" s="46">
        <v>70</v>
      </c>
      <c r="Q8" s="49">
        <f>O8-P8</f>
        <v>0</v>
      </c>
      <c r="R8" s="46"/>
      <c r="S8" s="46"/>
      <c r="T8" s="51">
        <f>F8*Q8*R8</f>
        <v>0</v>
      </c>
    </row>
    <row r="9" spans="1:20" x14ac:dyDescent="0.3">
      <c r="A9" s="45" t="s">
        <v>108</v>
      </c>
      <c r="B9" s="46">
        <v>3</v>
      </c>
      <c r="C9" s="47" t="s">
        <v>205</v>
      </c>
      <c r="D9" s="46" t="s">
        <v>99</v>
      </c>
      <c r="E9" s="46" t="s">
        <v>315</v>
      </c>
      <c r="F9" s="48">
        <f>10.7639 * ((3+2.7)*2.7)</f>
        <v>165.65642100000002</v>
      </c>
      <c r="G9" s="46">
        <v>78</v>
      </c>
      <c r="H9" s="46">
        <v>95</v>
      </c>
      <c r="I9" s="49">
        <f>H9-G9</f>
        <v>17</v>
      </c>
      <c r="J9" s="46">
        <v>7.2999999999999995E-2</v>
      </c>
      <c r="K9" s="46" t="str">
        <f>_xlfn.UNICHAR(8596)</f>
        <v>↔</v>
      </c>
      <c r="L9" s="50">
        <f>F9*I9*J9</f>
        <v>205.57961846100002</v>
      </c>
      <c r="M9" s="49"/>
      <c r="N9" s="50">
        <f>L9+M9</f>
        <v>205.57961846100002</v>
      </c>
      <c r="O9" s="46">
        <v>70</v>
      </c>
      <c r="P9" s="46">
        <v>70</v>
      </c>
      <c r="Q9" s="49">
        <f>O9-P9</f>
        <v>0</v>
      </c>
      <c r="R9" s="46"/>
      <c r="S9" s="46"/>
      <c r="T9" s="51">
        <f>F9*Q9*R9</f>
        <v>0</v>
      </c>
    </row>
    <row r="10" spans="1:20" x14ac:dyDescent="0.3">
      <c r="A10" s="45"/>
      <c r="B10" s="46"/>
      <c r="C10" s="67"/>
      <c r="D10" s="46"/>
      <c r="E10" s="44"/>
      <c r="F10" s="48"/>
      <c r="G10" s="46"/>
      <c r="H10" s="46"/>
      <c r="I10" s="49"/>
      <c r="J10" s="46"/>
      <c r="K10" s="46"/>
      <c r="L10" s="50"/>
      <c r="M10" s="49"/>
      <c r="N10" s="50"/>
      <c r="O10" s="46"/>
      <c r="P10" s="46"/>
      <c r="Q10" s="49"/>
      <c r="R10" s="46"/>
      <c r="S10" s="46"/>
      <c r="T10" s="51"/>
    </row>
    <row r="11" spans="1:20" x14ac:dyDescent="0.3">
      <c r="A11" s="45" t="s">
        <v>297</v>
      </c>
      <c r="B11" s="46">
        <v>6</v>
      </c>
      <c r="C11" s="47" t="s">
        <v>104</v>
      </c>
      <c r="D11" s="46" t="s">
        <v>99</v>
      </c>
      <c r="E11" s="46" t="s">
        <v>240</v>
      </c>
      <c r="F11" s="48">
        <f>10.7639 * (0.8*2.7)</f>
        <v>23.250024</v>
      </c>
      <c r="G11" s="46">
        <v>78</v>
      </c>
      <c r="H11" s="46">
        <v>120</v>
      </c>
      <c r="I11" s="49">
        <f>H11-G11</f>
        <v>42</v>
      </c>
      <c r="J11" s="46">
        <v>0.42499999999999999</v>
      </c>
      <c r="K11" s="46" t="str">
        <f>_xlfn.UNICHAR(8596)</f>
        <v>↔</v>
      </c>
      <c r="L11" s="50">
        <f>F11*I11*J11</f>
        <v>415.01292839999996</v>
      </c>
      <c r="M11" s="49"/>
      <c r="N11" s="50">
        <f>L11+M11</f>
        <v>415.01292839999996</v>
      </c>
      <c r="O11" s="46">
        <v>70</v>
      </c>
      <c r="P11" s="46">
        <v>70</v>
      </c>
      <c r="Q11" s="49">
        <f>O11-P11</f>
        <v>0</v>
      </c>
      <c r="R11" s="46"/>
      <c r="S11" s="46"/>
      <c r="T11" s="51">
        <f>F11*Q11*R11</f>
        <v>0</v>
      </c>
    </row>
    <row r="12" spans="1:20" x14ac:dyDescent="0.3">
      <c r="A12" s="53"/>
      <c r="B12" s="44"/>
      <c r="C12" s="47"/>
      <c r="D12" s="44"/>
      <c r="E12" s="44"/>
      <c r="F12" s="54"/>
      <c r="G12" s="44"/>
      <c r="H12" s="44"/>
      <c r="I12" s="44"/>
      <c r="J12" s="44"/>
      <c r="K12" s="44"/>
      <c r="L12" s="54"/>
      <c r="M12" s="44"/>
      <c r="N12" s="54"/>
      <c r="O12" s="44"/>
      <c r="P12" s="44"/>
      <c r="Q12" s="44"/>
      <c r="R12" s="44"/>
      <c r="S12" s="44"/>
      <c r="T12" s="69"/>
    </row>
    <row r="13" spans="1:20" x14ac:dyDescent="0.3">
      <c r="A13" s="53"/>
      <c r="B13" s="44"/>
      <c r="C13" s="47"/>
      <c r="D13" s="44"/>
      <c r="E13" s="44"/>
      <c r="F13" s="54"/>
      <c r="G13" s="44"/>
      <c r="H13" s="44"/>
      <c r="I13" s="44"/>
      <c r="J13" s="44"/>
      <c r="K13" s="44"/>
      <c r="L13" s="54"/>
      <c r="M13" s="44"/>
      <c r="N13" s="54"/>
      <c r="O13" s="44"/>
      <c r="P13" s="44"/>
      <c r="Q13" s="44"/>
      <c r="R13" s="44"/>
      <c r="S13" s="44"/>
      <c r="T13" s="69"/>
    </row>
    <row r="14" spans="1:20" x14ac:dyDescent="0.3">
      <c r="A14" s="53"/>
      <c r="B14" s="44"/>
      <c r="C14" s="47"/>
      <c r="D14" s="44"/>
      <c r="E14" s="44"/>
      <c r="F14" s="54"/>
      <c r="G14" s="44"/>
      <c r="H14" s="44"/>
      <c r="I14" s="44"/>
      <c r="J14" s="44"/>
      <c r="K14" s="44"/>
      <c r="L14" s="54"/>
      <c r="M14" s="44"/>
      <c r="N14" s="54"/>
      <c r="O14" s="44"/>
      <c r="P14" s="44"/>
      <c r="Q14" s="44"/>
      <c r="R14" s="44"/>
      <c r="S14" s="44"/>
      <c r="T14" s="69"/>
    </row>
    <row r="15" spans="1:20" x14ac:dyDescent="0.3">
      <c r="A15" s="53"/>
      <c r="B15" s="44"/>
      <c r="C15" s="47"/>
      <c r="D15" s="44"/>
      <c r="E15" s="44"/>
      <c r="F15" s="54"/>
      <c r="G15" s="44"/>
      <c r="H15" s="44"/>
      <c r="I15" s="44"/>
      <c r="J15" s="44"/>
      <c r="K15" s="44"/>
      <c r="L15" s="54"/>
      <c r="M15" s="44"/>
      <c r="N15" s="54"/>
      <c r="O15" s="44"/>
      <c r="P15" s="44"/>
      <c r="Q15" s="44"/>
      <c r="R15" s="44"/>
      <c r="S15" s="44"/>
      <c r="T15" s="69"/>
    </row>
    <row r="16" spans="1:20" x14ac:dyDescent="0.3">
      <c r="A16" s="53"/>
      <c r="B16" s="44"/>
      <c r="C16" s="44"/>
      <c r="D16" s="44"/>
      <c r="E16" s="44"/>
      <c r="F16" s="54"/>
      <c r="G16" s="44"/>
      <c r="H16" s="44"/>
      <c r="I16" s="44"/>
      <c r="J16" s="44"/>
      <c r="K16" s="44"/>
      <c r="L16" s="54"/>
      <c r="M16" s="44"/>
      <c r="N16" s="54"/>
      <c r="O16" s="44"/>
      <c r="P16" s="44"/>
      <c r="Q16" s="44"/>
      <c r="R16" s="44"/>
      <c r="S16" s="44"/>
      <c r="T16" s="69"/>
    </row>
    <row r="18" spans="1:20" x14ac:dyDescent="0.3">
      <c r="A18" s="53"/>
      <c r="B18" s="44"/>
      <c r="C18" s="44"/>
      <c r="D18" s="44"/>
      <c r="E18" s="44"/>
      <c r="F18" s="54"/>
      <c r="G18" s="44"/>
      <c r="H18" s="44"/>
      <c r="I18" s="44"/>
      <c r="J18" s="44"/>
      <c r="K18" s="44"/>
      <c r="L18" s="54"/>
      <c r="M18" s="44"/>
      <c r="N18" s="54"/>
      <c r="O18" s="44"/>
      <c r="P18" s="44"/>
      <c r="Q18" s="44"/>
      <c r="R18" s="44"/>
      <c r="S18" s="44"/>
      <c r="T18" s="69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1023.2539000109999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(0.6*0.5))*2</f>
        <v>6.4583399999999997</v>
      </c>
      <c r="G20" s="44"/>
      <c r="H20" s="44"/>
      <c r="I20" s="44"/>
      <c r="J20" s="44"/>
      <c r="K20" s="44"/>
      <c r="L20" s="46">
        <f>F20*160</f>
        <v>1033.3344</v>
      </c>
      <c r="M20" s="44"/>
      <c r="N20" s="50">
        <f>L20+M20</f>
        <v>1033.3344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12.96</f>
        <v>139.50014400000001</v>
      </c>
      <c r="G21" s="44"/>
      <c r="H21" s="44"/>
      <c r="I21" s="44"/>
      <c r="J21" s="44"/>
      <c r="K21" s="44"/>
      <c r="L21" s="46">
        <f>4*F21</f>
        <v>558.00057600000002</v>
      </c>
      <c r="M21" s="44"/>
      <c r="N21" s="50">
        <f>L21+M21</f>
        <v>558.00057600000002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54"/>
      <c r="M29" s="44"/>
      <c r="N29" s="50">
        <f>SUM(N19:N28)</f>
        <v>3414.5888760109997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3414.5888760109997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139.50014400000001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1235.7296615905921</v>
      </c>
      <c r="G37" s="44" t="s">
        <v>124</v>
      </c>
    </row>
    <row r="38" spans="1:20" x14ac:dyDescent="0.3">
      <c r="E38" s="44" t="s">
        <v>125</v>
      </c>
      <c r="F38" s="56">
        <f>F37/30</f>
        <v>41.190988719686402</v>
      </c>
      <c r="G38" s="44" t="s">
        <v>126</v>
      </c>
    </row>
    <row r="39" spans="1:20" x14ac:dyDescent="0.3">
      <c r="E39" s="44" t="s">
        <v>127</v>
      </c>
      <c r="F39" s="50">
        <f>SUM($L$5:$L$28)</f>
        <v>2929.5888760109997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3414.5888760109997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108.50329170411111</v>
      </c>
      <c r="G43" s="44" t="s">
        <v>126</v>
      </c>
    </row>
    <row r="44" spans="1:20" x14ac:dyDescent="0.3">
      <c r="E44" s="44" t="s">
        <v>126</v>
      </c>
      <c r="F44" s="57">
        <f>ROUNDUP(F43,0)</f>
        <v>109</v>
      </c>
      <c r="G44" s="44" t="s">
        <v>126</v>
      </c>
    </row>
    <row r="45" spans="1:20" x14ac:dyDescent="0.3">
      <c r="E45" s="44" t="s">
        <v>133</v>
      </c>
      <c r="F45" s="50">
        <f>F44*0.0002930711</f>
        <v>3.19447499E-2</v>
      </c>
      <c r="G45" s="44" t="s">
        <v>134</v>
      </c>
    </row>
    <row r="46" spans="1:20" x14ac:dyDescent="0.3">
      <c r="E46" s="44" t="s">
        <v>135</v>
      </c>
      <c r="F46" s="50">
        <f>F39/F41</f>
        <v>0.85796240261680112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T254"/>
  <sheetViews>
    <sheetView zoomScale="95" zoomScaleNormal="95" workbookViewId="0">
      <selection activeCell="C3" sqref="C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278</v>
      </c>
      <c r="B2" s="11"/>
      <c r="C2" s="11">
        <v>6002</v>
      </c>
      <c r="D2" s="11"/>
      <c r="E2" s="43" t="s">
        <v>311</v>
      </c>
      <c r="F2" s="43" t="s">
        <v>273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108</v>
      </c>
      <c r="B5" s="46">
        <v>6</v>
      </c>
      <c r="C5" s="47" t="s">
        <v>104</v>
      </c>
      <c r="D5" s="46" t="s">
        <v>316</v>
      </c>
      <c r="E5" s="46" t="s">
        <v>276</v>
      </c>
      <c r="F5" s="48">
        <f>10.7639 * (3.1*2.7)</f>
        <v>90.093843000000007</v>
      </c>
      <c r="G5" s="46">
        <v>78</v>
      </c>
      <c r="H5" s="46">
        <v>95</v>
      </c>
      <c r="I5" s="49">
        <f>H5-G5</f>
        <v>17</v>
      </c>
      <c r="J5" s="46">
        <v>0.313</v>
      </c>
      <c r="K5" s="46" t="str">
        <f>_xlfn.UNICHAR(8596)</f>
        <v>↔</v>
      </c>
      <c r="L5" s="50">
        <f>F5*I5*J5</f>
        <v>479.38933860300006</v>
      </c>
      <c r="M5" s="49"/>
      <c r="N5" s="50">
        <f>L5+M5</f>
        <v>479.38933860300006</v>
      </c>
      <c r="O5" s="46">
        <v>70</v>
      </c>
      <c r="P5" s="46">
        <v>70</v>
      </c>
      <c r="Q5" s="49">
        <f>O5-P5</f>
        <v>0</v>
      </c>
      <c r="R5" s="46"/>
      <c r="S5" s="46"/>
      <c r="T5" s="51">
        <f>F5*Q5*R5</f>
        <v>0</v>
      </c>
    </row>
    <row r="6" spans="1:20" x14ac:dyDescent="0.3">
      <c r="A6" s="45" t="s">
        <v>279</v>
      </c>
      <c r="B6" s="46">
        <v>6</v>
      </c>
      <c r="C6" s="47" t="s">
        <v>104</v>
      </c>
      <c r="D6" s="46" t="s">
        <v>316</v>
      </c>
      <c r="E6" s="46" t="s">
        <v>317</v>
      </c>
      <c r="F6" s="48">
        <f>10.7639 *((1.6+1.7)*2.7)</f>
        <v>95.906348999999992</v>
      </c>
      <c r="G6" s="46">
        <v>78</v>
      </c>
      <c r="H6" s="46">
        <v>85</v>
      </c>
      <c r="I6" s="49">
        <f>H6-G6</f>
        <v>7</v>
      </c>
      <c r="J6" s="46">
        <v>0.313</v>
      </c>
      <c r="K6" s="46" t="str">
        <f>_xlfn.UNICHAR(8596)</f>
        <v>↔</v>
      </c>
      <c r="L6" s="50">
        <f>F6*I6*J6</f>
        <v>210.13081065899999</v>
      </c>
      <c r="M6" s="49"/>
      <c r="N6" s="50">
        <f>L6+M6</f>
        <v>210.13081065899999</v>
      </c>
      <c r="O6" s="46">
        <v>70</v>
      </c>
      <c r="P6" s="46">
        <v>70</v>
      </c>
      <c r="Q6" s="49">
        <f>O6-P6</f>
        <v>0</v>
      </c>
      <c r="R6" s="46"/>
      <c r="S6" s="46"/>
      <c r="T6" s="50">
        <f>F6*Q6*R6</f>
        <v>0</v>
      </c>
    </row>
    <row r="7" spans="1:20" x14ac:dyDescent="0.3">
      <c r="A7" s="45" t="s">
        <v>282</v>
      </c>
      <c r="B7" s="46">
        <v>6</v>
      </c>
      <c r="C7" s="47" t="s">
        <v>104</v>
      </c>
      <c r="D7" s="46" t="s">
        <v>316</v>
      </c>
      <c r="E7" s="46" t="s">
        <v>314</v>
      </c>
      <c r="F7" s="48">
        <f>10.7639 *(1.7*2.7)</f>
        <v>49.406300999999999</v>
      </c>
      <c r="G7" s="46">
        <v>78</v>
      </c>
      <c r="H7" s="46">
        <v>85</v>
      </c>
      <c r="I7" s="49">
        <f>H7-G7</f>
        <v>7</v>
      </c>
      <c r="J7" s="46">
        <v>0.313</v>
      </c>
      <c r="K7" s="46" t="str">
        <f>_xlfn.UNICHAR(8596)</f>
        <v>↔</v>
      </c>
      <c r="L7" s="50">
        <f>F7*I7*J7</f>
        <v>108.249205491</v>
      </c>
      <c r="M7" s="49"/>
      <c r="N7" s="50">
        <f>L7+M7</f>
        <v>108.249205491</v>
      </c>
      <c r="O7" s="46">
        <v>70</v>
      </c>
      <c r="P7" s="46">
        <v>70</v>
      </c>
      <c r="Q7" s="49">
        <f>O7-P7</f>
        <v>0</v>
      </c>
      <c r="R7" s="46"/>
      <c r="S7" s="46"/>
      <c r="T7" s="51">
        <f>F7*Q7*R7</f>
        <v>0</v>
      </c>
    </row>
    <row r="8" spans="1:20" x14ac:dyDescent="0.3">
      <c r="A8" s="45"/>
      <c r="B8" s="46"/>
      <c r="C8" s="47"/>
      <c r="D8" s="46"/>
      <c r="E8" s="46"/>
      <c r="F8" s="48"/>
      <c r="G8" s="46"/>
      <c r="H8" s="46"/>
      <c r="I8" s="49"/>
      <c r="J8" s="46"/>
      <c r="K8" s="46"/>
      <c r="L8" s="50"/>
      <c r="M8" s="49"/>
      <c r="N8" s="50"/>
      <c r="O8" s="46"/>
      <c r="P8" s="46"/>
      <c r="Q8" s="49"/>
      <c r="R8" s="46"/>
      <c r="S8" s="46"/>
      <c r="T8" s="51"/>
    </row>
    <row r="9" spans="1:20" x14ac:dyDescent="0.3">
      <c r="A9" s="45"/>
      <c r="B9" s="46"/>
      <c r="C9" s="47"/>
      <c r="D9" s="46"/>
      <c r="E9" s="46"/>
      <c r="F9" s="48"/>
      <c r="G9" s="46"/>
      <c r="H9" s="46"/>
      <c r="I9" s="49"/>
      <c r="J9" s="46"/>
      <c r="K9" s="46"/>
      <c r="L9" s="50"/>
      <c r="M9" s="49"/>
      <c r="N9" s="50"/>
      <c r="O9" s="46"/>
      <c r="P9" s="46"/>
      <c r="Q9" s="49"/>
      <c r="R9" s="46"/>
      <c r="S9" s="46"/>
      <c r="T9" s="51"/>
    </row>
    <row r="10" spans="1:20" x14ac:dyDescent="0.3">
      <c r="A10" s="45" t="s">
        <v>190</v>
      </c>
      <c r="B10" s="46">
        <v>2</v>
      </c>
      <c r="C10" s="67" t="s">
        <v>175</v>
      </c>
      <c r="D10" s="46" t="s">
        <v>318</v>
      </c>
      <c r="E10" s="46" t="s">
        <v>319</v>
      </c>
      <c r="F10" s="48">
        <f>10.7639 * (1.5*2.7)</f>
        <v>43.593795000000007</v>
      </c>
      <c r="G10" s="46">
        <v>78</v>
      </c>
      <c r="H10" s="46">
        <v>80</v>
      </c>
      <c r="I10" s="49">
        <f>H10-G10</f>
        <v>2</v>
      </c>
      <c r="J10" s="46">
        <v>0.14399999999999999</v>
      </c>
      <c r="K10" s="46" t="str">
        <f>_xlfn.UNICHAR(8595)</f>
        <v>↓</v>
      </c>
      <c r="L10" s="50">
        <f>F10*I10*J10</f>
        <v>12.555012960000001</v>
      </c>
      <c r="M10" s="44"/>
      <c r="N10" s="50">
        <f>L10+M10</f>
        <v>12.555012960000001</v>
      </c>
      <c r="O10" s="46">
        <v>70</v>
      </c>
      <c r="P10" s="46">
        <v>70</v>
      </c>
      <c r="Q10" s="49">
        <f>O10-P10</f>
        <v>0</v>
      </c>
      <c r="R10" s="46"/>
      <c r="S10" s="46"/>
      <c r="T10" s="51">
        <f>F10*Q10*R10</f>
        <v>0</v>
      </c>
    </row>
    <row r="11" spans="1:20" x14ac:dyDescent="0.3">
      <c r="A11" s="45"/>
      <c r="B11" s="46"/>
      <c r="C11" s="67"/>
      <c r="D11" s="46"/>
      <c r="E11" s="44"/>
      <c r="F11" s="48"/>
      <c r="G11" s="46"/>
      <c r="H11" s="46"/>
      <c r="I11" s="49"/>
      <c r="J11" s="46"/>
      <c r="K11" s="46"/>
      <c r="L11" s="50"/>
      <c r="M11" s="44"/>
      <c r="N11" s="50"/>
      <c r="O11" s="46"/>
      <c r="P11" s="46"/>
      <c r="Q11" s="49"/>
      <c r="R11" s="46"/>
      <c r="S11" s="46"/>
      <c r="T11" s="51"/>
    </row>
    <row r="12" spans="1:20" x14ac:dyDescent="0.3">
      <c r="A12" s="45"/>
      <c r="B12" s="46"/>
      <c r="C12" s="67"/>
      <c r="D12" s="46"/>
      <c r="E12" s="46"/>
      <c r="F12" s="48"/>
      <c r="G12" s="46"/>
      <c r="H12" s="46"/>
      <c r="I12" s="49"/>
      <c r="J12" s="46"/>
      <c r="K12" s="46"/>
      <c r="L12" s="50"/>
      <c r="M12" s="44"/>
      <c r="N12" s="50"/>
      <c r="O12" s="46"/>
      <c r="P12" s="46"/>
      <c r="Q12" s="49"/>
      <c r="R12" s="44"/>
      <c r="S12" s="44"/>
      <c r="T12" s="51"/>
    </row>
    <row r="13" spans="1:20" x14ac:dyDescent="0.3">
      <c r="A13" s="45"/>
      <c r="B13" s="46"/>
      <c r="C13" s="67"/>
      <c r="D13" s="46"/>
      <c r="E13" s="46"/>
      <c r="F13" s="48"/>
      <c r="G13" s="46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4"/>
      <c r="S13" s="44"/>
      <c r="T13" s="51"/>
    </row>
    <row r="14" spans="1:20" x14ac:dyDescent="0.3">
      <c r="A14" s="45"/>
      <c r="B14" s="46"/>
      <c r="C14" s="67"/>
      <c r="D14" s="46"/>
      <c r="E14" s="44"/>
      <c r="F14" s="48"/>
      <c r="G14" s="46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4"/>
      <c r="S14" s="44"/>
      <c r="T14" s="51"/>
    </row>
    <row r="15" spans="1:20" x14ac:dyDescent="0.3">
      <c r="A15" s="45" t="s">
        <v>320</v>
      </c>
      <c r="B15" s="46">
        <v>1</v>
      </c>
      <c r="C15" s="67" t="s">
        <v>175</v>
      </c>
      <c r="D15" s="46" t="s">
        <v>321</v>
      </c>
      <c r="E15" s="46" t="s">
        <v>322</v>
      </c>
      <c r="F15" s="48">
        <f>10.7639 * (1.5*2.1)</f>
        <v>33.906285000000004</v>
      </c>
      <c r="G15" s="46">
        <v>78</v>
      </c>
      <c r="H15" s="46">
        <v>85</v>
      </c>
      <c r="I15" s="49">
        <f>H15-G15</f>
        <v>7</v>
      </c>
      <c r="J15" s="46">
        <v>0.17100000000000001</v>
      </c>
      <c r="K15" s="46" t="str">
        <f>_xlfn.UNICHAR(8593)</f>
        <v>↑</v>
      </c>
      <c r="L15" s="50">
        <f>F15*I15*J15</f>
        <v>40.585823145000006</v>
      </c>
      <c r="M15" s="44"/>
      <c r="N15" s="50">
        <f>L15+M15</f>
        <v>40.585823145000006</v>
      </c>
      <c r="O15" s="46">
        <v>70</v>
      </c>
      <c r="P15" s="46">
        <v>70</v>
      </c>
      <c r="Q15" s="49">
        <f>O15-P15</f>
        <v>0</v>
      </c>
      <c r="R15" s="44"/>
      <c r="S15" s="44"/>
      <c r="T15" s="51">
        <f>F15*Q15*R15</f>
        <v>0</v>
      </c>
    </row>
    <row r="16" spans="1:20" x14ac:dyDescent="0.3">
      <c r="A16" s="53"/>
      <c r="B16" s="44"/>
      <c r="C16" s="44"/>
      <c r="D16" s="44"/>
      <c r="E16" s="44"/>
      <c r="F16" s="54"/>
      <c r="G16" s="44"/>
      <c r="H16" s="44"/>
      <c r="I16" s="44"/>
      <c r="J16" s="44"/>
      <c r="K16" s="44"/>
      <c r="L16" s="54"/>
      <c r="M16" s="44"/>
      <c r="N16" s="54"/>
      <c r="O16" s="44"/>
      <c r="P16" s="44"/>
      <c r="Q16" s="44"/>
      <c r="R16" s="44"/>
      <c r="S16" s="44"/>
      <c r="T16" s="69"/>
    </row>
    <row r="17" spans="1:20" x14ac:dyDescent="0.3">
      <c r="A17" s="53"/>
      <c r="B17" s="44"/>
      <c r="C17" s="44"/>
      <c r="D17" s="44"/>
      <c r="E17" s="44"/>
      <c r="F17" s="54"/>
      <c r="G17" s="44"/>
      <c r="H17" s="44"/>
      <c r="I17" s="44"/>
      <c r="J17" s="44"/>
      <c r="K17" s="44"/>
      <c r="L17" s="54"/>
      <c r="M17" s="44"/>
      <c r="N17" s="54"/>
      <c r="O17" s="44"/>
      <c r="P17" s="44"/>
      <c r="Q17" s="44"/>
      <c r="R17" s="44"/>
      <c r="S17" s="44"/>
      <c r="T17" s="69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SUM(N5:N17)</f>
        <v>850.91019085800008</v>
      </c>
      <c r="O19" s="44"/>
      <c r="P19" s="44"/>
      <c r="Q19" s="44"/>
      <c r="R19" s="44"/>
      <c r="S19" s="44"/>
      <c r="T19" s="50">
        <f>SUM(T5:T17)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(0.6*0.5))*2</f>
        <v>6.4583399999999997</v>
      </c>
      <c r="G20" s="44"/>
      <c r="H20" s="44"/>
      <c r="I20" s="44"/>
      <c r="J20" s="44"/>
      <c r="K20" s="44"/>
      <c r="L20" s="46">
        <f>F20*160</f>
        <v>1033.3344</v>
      </c>
      <c r="M20" s="44"/>
      <c r="N20" s="50">
        <f>L20+M20</f>
        <v>1033.3344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(12.47)</f>
        <v>134.22583299999999</v>
      </c>
      <c r="G21" s="44"/>
      <c r="H21" s="44"/>
      <c r="I21" s="44"/>
      <c r="J21" s="44"/>
      <c r="K21" s="44"/>
      <c r="L21" s="44">
        <f>4*F21</f>
        <v>536.90333199999998</v>
      </c>
      <c r="M21" s="44"/>
      <c r="N21" s="50">
        <f>L21+M21</f>
        <v>536.90333199999998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3221.1479228580001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3221.1479228580001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134.22583299999999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1189.008401237244</v>
      </c>
      <c r="G37" s="44" t="s">
        <v>124</v>
      </c>
    </row>
    <row r="38" spans="1:20" x14ac:dyDescent="0.3">
      <c r="E38" s="44" t="s">
        <v>125</v>
      </c>
      <c r="F38" s="56">
        <f>F37/30</f>
        <v>39.6336133745748</v>
      </c>
      <c r="G38" s="44" t="s">
        <v>126</v>
      </c>
    </row>
    <row r="39" spans="1:20" x14ac:dyDescent="0.3">
      <c r="E39" s="44" t="s">
        <v>127</v>
      </c>
      <c r="F39" s="50">
        <f>SUM($L$5:$L$28)</f>
        <v>2736.1479228580001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3221.1479228580001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101.33881195770371</v>
      </c>
      <c r="G43" s="44" t="s">
        <v>126</v>
      </c>
    </row>
    <row r="44" spans="1:20" x14ac:dyDescent="0.3">
      <c r="E44" s="44" t="s">
        <v>126</v>
      </c>
      <c r="F44" s="57">
        <f>ROUNDUP(F43,0)</f>
        <v>102</v>
      </c>
      <c r="G44" s="44" t="s">
        <v>126</v>
      </c>
    </row>
    <row r="45" spans="1:20" x14ac:dyDescent="0.3">
      <c r="E45" s="44" t="s">
        <v>133</v>
      </c>
      <c r="F45" s="50">
        <f>F44*0.0002930711</f>
        <v>2.9893252199999998E-2</v>
      </c>
      <c r="G45" s="44" t="s">
        <v>134</v>
      </c>
    </row>
    <row r="46" spans="1:20" x14ac:dyDescent="0.3">
      <c r="E46" s="44" t="s">
        <v>135</v>
      </c>
      <c r="F46" s="50">
        <f>F39/F41</f>
        <v>0.84943255894635283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254"/>
  <sheetViews>
    <sheetView zoomScale="95" zoomScaleNormal="95" workbookViewId="0">
      <selection activeCell="C3" sqref="C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281</v>
      </c>
      <c r="B2" s="11"/>
      <c r="C2" s="11">
        <v>6003</v>
      </c>
      <c r="D2" s="11"/>
      <c r="E2" s="43" t="s">
        <v>311</v>
      </c>
      <c r="F2" s="43" t="s">
        <v>273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282</v>
      </c>
      <c r="B5" s="44">
        <v>6</v>
      </c>
      <c r="C5" s="47" t="s">
        <v>104</v>
      </c>
      <c r="D5" s="44" t="s">
        <v>99</v>
      </c>
      <c r="E5" s="46" t="s">
        <v>317</v>
      </c>
      <c r="F5" s="48">
        <f>10.7639 *((1.6+1.7)*2.7)</f>
        <v>95.906348999999992</v>
      </c>
      <c r="G5" s="44">
        <v>78</v>
      </c>
      <c r="H5" s="46">
        <v>85</v>
      </c>
      <c r="I5" s="49">
        <f t="shared" ref="I5:I12" si="0">H5-G5</f>
        <v>7</v>
      </c>
      <c r="J5" s="46">
        <v>0.313</v>
      </c>
      <c r="K5" s="46" t="str">
        <f>_xlfn.UNICHAR(8596)</f>
        <v>↔</v>
      </c>
      <c r="L5" s="50">
        <f t="shared" ref="L5:L12" si="1">F5*I5*J5</f>
        <v>210.13081065899999</v>
      </c>
      <c r="M5" s="49"/>
      <c r="N5" s="50">
        <f t="shared" ref="N5:N12" si="2">L5+M5</f>
        <v>210.13081065899999</v>
      </c>
      <c r="O5" s="46">
        <v>70</v>
      </c>
      <c r="P5" s="46">
        <v>70</v>
      </c>
      <c r="Q5" s="49">
        <f t="shared" ref="Q5:Q12" si="3">O5-P5</f>
        <v>0</v>
      </c>
      <c r="R5" s="46"/>
      <c r="S5" s="46"/>
      <c r="T5" s="51">
        <f t="shared" ref="T5:T12" si="4">F5*Q5*R5</f>
        <v>0</v>
      </c>
    </row>
    <row r="6" spans="1:20" x14ac:dyDescent="0.3">
      <c r="A6" s="45" t="s">
        <v>269</v>
      </c>
      <c r="B6" s="44">
        <v>6</v>
      </c>
      <c r="C6" s="47" t="s">
        <v>104</v>
      </c>
      <c r="D6" s="44" t="s">
        <v>99</v>
      </c>
      <c r="E6" s="46" t="s">
        <v>266</v>
      </c>
      <c r="F6" s="48">
        <f>10.7639 *(4.9*2.7)</f>
        <v>142.40639700000003</v>
      </c>
      <c r="G6" s="44">
        <v>78</v>
      </c>
      <c r="H6" s="46">
        <v>78</v>
      </c>
      <c r="I6" s="49">
        <f t="shared" si="0"/>
        <v>0</v>
      </c>
      <c r="J6" s="46">
        <v>0.313</v>
      </c>
      <c r="K6" s="46" t="str">
        <f>_xlfn.UNICHAR(8596)</f>
        <v>↔</v>
      </c>
      <c r="L6" s="50">
        <f t="shared" si="1"/>
        <v>0</v>
      </c>
      <c r="M6" s="49"/>
      <c r="N6" s="50">
        <f t="shared" si="2"/>
        <v>0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45" t="s">
        <v>278</v>
      </c>
      <c r="B7" s="44">
        <v>6</v>
      </c>
      <c r="C7" s="47" t="s">
        <v>104</v>
      </c>
      <c r="D7" s="44" t="s">
        <v>99</v>
      </c>
      <c r="E7" s="46" t="s">
        <v>323</v>
      </c>
      <c r="F7" s="48">
        <f>10.7639 *(3.2*2.7)</f>
        <v>93.000095999999999</v>
      </c>
      <c r="G7" s="44">
        <v>78</v>
      </c>
      <c r="H7" s="46">
        <v>78</v>
      </c>
      <c r="I7" s="49">
        <f t="shared" si="0"/>
        <v>0</v>
      </c>
      <c r="J7" s="46">
        <v>0.313</v>
      </c>
      <c r="K7" s="46" t="str">
        <f>_xlfn.UNICHAR(8596)</f>
        <v>↔</v>
      </c>
      <c r="L7" s="50">
        <f t="shared" si="1"/>
        <v>0</v>
      </c>
      <c r="M7" s="49"/>
      <c r="N7" s="50">
        <f t="shared" si="2"/>
        <v>0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45" t="s">
        <v>190</v>
      </c>
      <c r="B8" s="44">
        <v>6</v>
      </c>
      <c r="C8" s="47" t="s">
        <v>104</v>
      </c>
      <c r="D8" s="44" t="s">
        <v>99</v>
      </c>
      <c r="E8" s="46" t="s">
        <v>319</v>
      </c>
      <c r="F8" s="48">
        <f>10.7639 * (1.5*2.7)</f>
        <v>43.593795000000007</v>
      </c>
      <c r="G8" s="44">
        <v>78</v>
      </c>
      <c r="H8" s="46">
        <v>80</v>
      </c>
      <c r="I8" s="49">
        <f t="shared" si="0"/>
        <v>2</v>
      </c>
      <c r="J8" s="46">
        <v>0.313</v>
      </c>
      <c r="K8" s="46" t="str">
        <f>_xlfn.UNICHAR(8596)</f>
        <v>↔</v>
      </c>
      <c r="L8" s="50">
        <f t="shared" si="1"/>
        <v>27.289715670000003</v>
      </c>
      <c r="M8" s="49"/>
      <c r="N8" s="50">
        <f t="shared" si="2"/>
        <v>27.289715670000003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45" t="s">
        <v>108</v>
      </c>
      <c r="B9" s="44">
        <v>3</v>
      </c>
      <c r="C9" s="47" t="s">
        <v>205</v>
      </c>
      <c r="D9" s="44" t="s">
        <v>99</v>
      </c>
      <c r="E9" s="46" t="s">
        <v>276</v>
      </c>
      <c r="F9" s="48">
        <f>10.7639 * (3.1*2.7)</f>
        <v>90.093843000000007</v>
      </c>
      <c r="G9" s="44">
        <v>78</v>
      </c>
      <c r="H9" s="46">
        <v>95</v>
      </c>
      <c r="I9" s="49">
        <f t="shared" si="0"/>
        <v>17</v>
      </c>
      <c r="J9" s="46">
        <v>6.3E-2</v>
      </c>
      <c r="K9" s="46" t="str">
        <f>_xlfn.UNICHAR(8596)</f>
        <v>↔</v>
      </c>
      <c r="L9" s="50">
        <f t="shared" si="1"/>
        <v>96.490505853000016</v>
      </c>
      <c r="M9" s="49"/>
      <c r="N9" s="50">
        <f t="shared" si="2"/>
        <v>96.490505853000016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45" t="s">
        <v>190</v>
      </c>
      <c r="B10" s="44">
        <v>1</v>
      </c>
      <c r="C10" s="47" t="s">
        <v>175</v>
      </c>
      <c r="D10" s="44" t="s">
        <v>90</v>
      </c>
      <c r="E10" s="46" t="s">
        <v>324</v>
      </c>
      <c r="F10" s="48">
        <f>10.7639 * (0.3*1.5)</f>
        <v>4.8437549999999989</v>
      </c>
      <c r="G10" s="44">
        <v>78</v>
      </c>
      <c r="H10" s="46">
        <v>80</v>
      </c>
      <c r="I10" s="49">
        <f t="shared" si="0"/>
        <v>2</v>
      </c>
      <c r="J10" s="46">
        <v>0.17100000000000001</v>
      </c>
      <c r="K10" s="46" t="str">
        <f>_xlfn.UNICHAR(8593)</f>
        <v>↑</v>
      </c>
      <c r="L10" s="50">
        <f t="shared" si="1"/>
        <v>1.6565642099999998</v>
      </c>
      <c r="M10" s="44"/>
      <c r="N10" s="50">
        <f t="shared" si="2"/>
        <v>1.6565642099999998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45" t="s">
        <v>325</v>
      </c>
      <c r="B11" s="44">
        <v>1</v>
      </c>
      <c r="C11" s="47" t="s">
        <v>175</v>
      </c>
      <c r="D11" s="44" t="s">
        <v>90</v>
      </c>
      <c r="E11" s="44"/>
      <c r="F11" s="48">
        <f>10.7639 * (10.82)</f>
        <v>116.46539799999999</v>
      </c>
      <c r="G11" s="44">
        <v>78</v>
      </c>
      <c r="H11" s="46">
        <v>78</v>
      </c>
      <c r="I11" s="49">
        <f t="shared" si="0"/>
        <v>0</v>
      </c>
      <c r="J11" s="46">
        <v>0.17100000000000001</v>
      </c>
      <c r="K11" s="46" t="str">
        <f>_xlfn.UNICHAR(8593)</f>
        <v>↑</v>
      </c>
      <c r="L11" s="50">
        <f t="shared" si="1"/>
        <v>0</v>
      </c>
      <c r="M11" s="44"/>
      <c r="N11" s="50">
        <f t="shared" si="2"/>
        <v>0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45" t="s">
        <v>265</v>
      </c>
      <c r="B12" s="44">
        <v>2</v>
      </c>
      <c r="C12" s="47" t="s">
        <v>175</v>
      </c>
      <c r="D12" s="44" t="s">
        <v>106</v>
      </c>
      <c r="E12" s="44"/>
      <c r="F12" s="48">
        <f>10.7639 * (12.47)</f>
        <v>134.22583299999999</v>
      </c>
      <c r="G12" s="44">
        <v>78</v>
      </c>
      <c r="H12" s="46">
        <v>78</v>
      </c>
      <c r="I12" s="49">
        <f t="shared" si="0"/>
        <v>0</v>
      </c>
      <c r="J12" s="46">
        <v>0.14399999999999999</v>
      </c>
      <c r="K12" s="46" t="str">
        <f>_xlfn.UNICHAR(8595)</f>
        <v>↓</v>
      </c>
      <c r="L12" s="50">
        <f t="shared" si="1"/>
        <v>0</v>
      </c>
      <c r="M12" s="44"/>
      <c r="N12" s="50">
        <f t="shared" si="2"/>
        <v>0</v>
      </c>
      <c r="O12" s="46">
        <v>70</v>
      </c>
      <c r="P12" s="46">
        <v>70</v>
      </c>
      <c r="Q12" s="49">
        <f t="shared" si="3"/>
        <v>0</v>
      </c>
      <c r="R12" s="44"/>
      <c r="S12" s="44"/>
      <c r="T12" s="51">
        <f t="shared" si="4"/>
        <v>0</v>
      </c>
    </row>
    <row r="13" spans="1:20" x14ac:dyDescent="0.3">
      <c r="A13" s="53"/>
      <c r="B13" s="44"/>
      <c r="C13" s="47"/>
      <c r="D13" s="44"/>
      <c r="E13" s="44"/>
      <c r="F13" s="54"/>
      <c r="G13" s="44"/>
      <c r="H13" s="44"/>
      <c r="I13" s="49"/>
      <c r="J13" s="46"/>
      <c r="K13" s="46"/>
      <c r="L13" s="50"/>
      <c r="M13" s="44"/>
      <c r="N13" s="50"/>
      <c r="O13" s="46"/>
      <c r="P13" s="46"/>
      <c r="Q13" s="49"/>
      <c r="R13" s="44"/>
      <c r="S13" s="44"/>
      <c r="T13" s="51"/>
    </row>
    <row r="14" spans="1:20" x14ac:dyDescent="0.3">
      <c r="A14" s="53"/>
      <c r="B14" s="44"/>
      <c r="C14" s="47"/>
      <c r="D14" s="44"/>
      <c r="E14" s="44"/>
      <c r="F14" s="54"/>
      <c r="G14" s="44"/>
      <c r="H14" s="44"/>
      <c r="I14" s="49"/>
      <c r="J14" s="46"/>
      <c r="K14" s="46"/>
      <c r="L14" s="50"/>
      <c r="M14" s="44"/>
      <c r="N14" s="50"/>
      <c r="O14" s="46"/>
      <c r="P14" s="46"/>
      <c r="Q14" s="49"/>
      <c r="R14" s="44"/>
      <c r="S14" s="44"/>
      <c r="T14" s="51"/>
    </row>
    <row r="15" spans="1:20" x14ac:dyDescent="0.3">
      <c r="A15" s="53"/>
      <c r="B15" s="44"/>
      <c r="C15" s="47"/>
      <c r="D15" s="44"/>
      <c r="E15" s="44"/>
      <c r="F15" s="54"/>
      <c r="G15" s="44"/>
      <c r="H15" s="44"/>
      <c r="I15" s="49"/>
      <c r="J15" s="46"/>
      <c r="K15" s="46"/>
      <c r="L15" s="50"/>
      <c r="M15" s="44"/>
      <c r="N15" s="50"/>
      <c r="O15" s="46"/>
      <c r="P15" s="46"/>
      <c r="Q15" s="49"/>
      <c r="R15" s="44"/>
      <c r="S15" s="44"/>
      <c r="T15" s="51"/>
    </row>
    <row r="16" spans="1:20" x14ac:dyDescent="0.3">
      <c r="A16" s="53"/>
      <c r="B16" s="44"/>
      <c r="C16" s="44"/>
      <c r="D16" s="44"/>
      <c r="E16" s="44"/>
      <c r="F16" s="54"/>
      <c r="G16" s="44"/>
      <c r="H16" s="44"/>
      <c r="I16" s="44"/>
      <c r="J16" s="44"/>
      <c r="K16" s="44"/>
      <c r="L16" s="54"/>
      <c r="M16" s="44"/>
      <c r="N16" s="54"/>
      <c r="O16" s="44"/>
      <c r="P16" s="44"/>
      <c r="Q16" s="44"/>
      <c r="R16" s="44"/>
      <c r="S16" s="44"/>
      <c r="T16" s="69"/>
    </row>
    <row r="17" spans="1:20" x14ac:dyDescent="0.3">
      <c r="A17" s="53"/>
      <c r="B17" s="44"/>
      <c r="C17" s="44"/>
      <c r="D17" s="44"/>
      <c r="E17" s="44"/>
      <c r="F17" s="54"/>
      <c r="G17" s="44"/>
      <c r="H17" s="44"/>
      <c r="I17" s="44"/>
      <c r="J17" s="44"/>
      <c r="K17" s="44"/>
      <c r="L17" s="54"/>
      <c r="M17" s="44"/>
      <c r="N17" s="54"/>
      <c r="O17" s="44"/>
      <c r="P17" s="44"/>
      <c r="Q17" s="44"/>
      <c r="R17" s="44"/>
      <c r="S17" s="44"/>
      <c r="T17" s="69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SUM(N5:N17)</f>
        <v>335.56759639199998</v>
      </c>
      <c r="O19" s="44"/>
      <c r="P19" s="44"/>
      <c r="Q19" s="44"/>
      <c r="R19" s="44"/>
      <c r="S19" s="44"/>
      <c r="T19" s="50">
        <f>SUM(T5:T17)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(0.6*0.5))*2</f>
        <v>6.4583399999999997</v>
      </c>
      <c r="G20" s="44"/>
      <c r="H20" s="44"/>
      <c r="I20" s="44"/>
      <c r="J20" s="44"/>
      <c r="K20" s="44"/>
      <c r="L20" s="46">
        <f>F20*160</f>
        <v>1033.3344</v>
      </c>
      <c r="M20" s="44"/>
      <c r="N20" s="50">
        <f>L20+M20</f>
        <v>1033.3344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(12.47)</f>
        <v>134.22583299999999</v>
      </c>
      <c r="G21" s="44"/>
      <c r="H21" s="44"/>
      <c r="I21" s="44"/>
      <c r="J21" s="44"/>
      <c r="K21" s="44"/>
      <c r="L21" s="44">
        <f>8*F21</f>
        <v>1073.806664</v>
      </c>
      <c r="M21" s="44"/>
      <c r="N21" s="50">
        <f>L21+M21</f>
        <v>1073.806664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3242.7086603919997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3242.7086603919997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134.22583299999999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1189.008401237244</v>
      </c>
      <c r="G37" s="44" t="s">
        <v>124</v>
      </c>
    </row>
    <row r="38" spans="1:20" x14ac:dyDescent="0.3">
      <c r="E38" s="44" t="s">
        <v>125</v>
      </c>
      <c r="F38" s="56">
        <f>F37/30</f>
        <v>39.6336133745748</v>
      </c>
      <c r="G38" s="44" t="s">
        <v>126</v>
      </c>
    </row>
    <row r="39" spans="1:20" x14ac:dyDescent="0.3">
      <c r="E39" s="44" t="s">
        <v>127</v>
      </c>
      <c r="F39" s="50">
        <f>SUM($L$5:$L$28)</f>
        <v>2757.7086603919997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3242.7086603919997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102.13735779229629</v>
      </c>
      <c r="G43" s="44" t="s">
        <v>126</v>
      </c>
    </row>
    <row r="44" spans="1:20" x14ac:dyDescent="0.3">
      <c r="E44" s="44" t="s">
        <v>126</v>
      </c>
      <c r="F44" s="57">
        <f>ROUNDUP(F43,0)</f>
        <v>103</v>
      </c>
      <c r="G44" s="44" t="s">
        <v>126</v>
      </c>
    </row>
    <row r="45" spans="1:20" x14ac:dyDescent="0.3">
      <c r="E45" s="44" t="s">
        <v>133</v>
      </c>
      <c r="F45" s="50">
        <f>F44*0.0002930711</f>
        <v>3.0186323299999998E-2</v>
      </c>
      <c r="G45" s="44" t="s">
        <v>134</v>
      </c>
    </row>
    <row r="46" spans="1:20" x14ac:dyDescent="0.3">
      <c r="E46" s="44" t="s">
        <v>135</v>
      </c>
      <c r="F46" s="50">
        <f>F39/F41</f>
        <v>0.85043368035987232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254"/>
  <sheetViews>
    <sheetView zoomScale="95" zoomScaleNormal="95" workbookViewId="0">
      <selection activeCell="C3" sqref="C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305</v>
      </c>
      <c r="B2" s="11"/>
      <c r="C2" s="11">
        <v>6004</v>
      </c>
      <c r="D2" s="11"/>
      <c r="E2" s="43" t="s">
        <v>311</v>
      </c>
      <c r="F2" s="43" t="s">
        <v>326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306</v>
      </c>
      <c r="B5" s="44">
        <v>6</v>
      </c>
      <c r="C5" s="47" t="s">
        <v>104</v>
      </c>
      <c r="D5" s="44" t="s">
        <v>99</v>
      </c>
      <c r="E5" s="44" t="s">
        <v>317</v>
      </c>
      <c r="F5" s="48">
        <f>10.7639 *((1.6+1.7)*2.7)</f>
        <v>95.906348999999992</v>
      </c>
      <c r="G5" s="44">
        <v>78</v>
      </c>
      <c r="H5" s="46">
        <v>85</v>
      </c>
      <c r="I5" s="49">
        <f t="shared" ref="I5:I18" si="0">H5-G5</f>
        <v>7</v>
      </c>
      <c r="J5" s="46">
        <v>0.313</v>
      </c>
      <c r="K5" s="46" t="str">
        <f>_xlfn.UNICHAR(8596)</f>
        <v>↔</v>
      </c>
      <c r="L5" s="50">
        <f t="shared" ref="L5:L18" si="1">F5*I5*J5</f>
        <v>210.13081065899999</v>
      </c>
      <c r="M5" s="49"/>
      <c r="N5" s="50">
        <f t="shared" ref="N5:N18" si="2">L5+M5</f>
        <v>210.13081065899999</v>
      </c>
      <c r="O5" s="46">
        <v>70</v>
      </c>
      <c r="P5" s="46">
        <v>70</v>
      </c>
      <c r="Q5" s="49">
        <f t="shared" ref="Q5:Q18" si="3">O5-P5</f>
        <v>0</v>
      </c>
      <c r="R5" s="46"/>
      <c r="S5" s="46"/>
      <c r="T5" s="51">
        <f t="shared" ref="T5:T18" si="4">F5*Q5*R5</f>
        <v>0</v>
      </c>
    </row>
    <row r="6" spans="1:20" x14ac:dyDescent="0.3">
      <c r="A6" s="53" t="s">
        <v>190</v>
      </c>
      <c r="B6" s="44">
        <v>6</v>
      </c>
      <c r="C6" s="47" t="s">
        <v>104</v>
      </c>
      <c r="D6" s="44" t="s">
        <v>99</v>
      </c>
      <c r="E6" s="44" t="s">
        <v>266</v>
      </c>
      <c r="F6" s="48">
        <f>10.7639 *(4.9*2.7)</f>
        <v>142.40639700000003</v>
      </c>
      <c r="G6" s="44">
        <v>78</v>
      </c>
      <c r="H6" s="46">
        <v>80</v>
      </c>
      <c r="I6" s="49">
        <f t="shared" si="0"/>
        <v>2</v>
      </c>
      <c r="J6" s="46">
        <v>0.313</v>
      </c>
      <c r="K6" s="46" t="str">
        <f>_xlfn.UNICHAR(8596)</f>
        <v>↔</v>
      </c>
      <c r="L6" s="50">
        <f t="shared" si="1"/>
        <v>89.146404522000012</v>
      </c>
      <c r="M6" s="49"/>
      <c r="N6" s="50">
        <f t="shared" si="2"/>
        <v>89.146404522000012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245</v>
      </c>
      <c r="B7" s="44">
        <v>6</v>
      </c>
      <c r="C7" s="47" t="s">
        <v>104</v>
      </c>
      <c r="D7" s="44" t="s">
        <v>99</v>
      </c>
      <c r="E7" s="44" t="s">
        <v>323</v>
      </c>
      <c r="F7" s="48">
        <f>10.7639 *(3.2*2.7)</f>
        <v>93.000095999999999</v>
      </c>
      <c r="G7" s="44">
        <v>78</v>
      </c>
      <c r="H7" s="46">
        <v>78</v>
      </c>
      <c r="I7" s="49">
        <f t="shared" si="0"/>
        <v>0</v>
      </c>
      <c r="J7" s="46">
        <v>0.313</v>
      </c>
      <c r="K7" s="46" t="str">
        <f>_xlfn.UNICHAR(8596)</f>
        <v>↔</v>
      </c>
      <c r="L7" s="50">
        <f t="shared" si="1"/>
        <v>0</v>
      </c>
      <c r="M7" s="49"/>
      <c r="N7" s="50">
        <f t="shared" si="2"/>
        <v>0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190</v>
      </c>
      <c r="B8" s="44">
        <v>6</v>
      </c>
      <c r="C8" s="47" t="s">
        <v>104</v>
      </c>
      <c r="D8" s="44" t="s">
        <v>99</v>
      </c>
      <c r="E8" s="44" t="s">
        <v>319</v>
      </c>
      <c r="F8" s="48">
        <f>10.7639 * (1.5*2.7)</f>
        <v>43.593795000000007</v>
      </c>
      <c r="G8" s="44">
        <v>78</v>
      </c>
      <c r="H8" s="46">
        <v>80</v>
      </c>
      <c r="I8" s="49">
        <f t="shared" si="0"/>
        <v>2</v>
      </c>
      <c r="J8" s="46">
        <v>0.313</v>
      </c>
      <c r="K8" s="46" t="str">
        <f>_xlfn.UNICHAR(8596)</f>
        <v>↔</v>
      </c>
      <c r="L8" s="50">
        <f t="shared" si="1"/>
        <v>27.289715670000003</v>
      </c>
      <c r="M8" s="49"/>
      <c r="N8" s="50">
        <f t="shared" si="2"/>
        <v>27.289715670000003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108</v>
      </c>
      <c r="B9" s="44">
        <v>3</v>
      </c>
      <c r="C9" s="47" t="s">
        <v>205</v>
      </c>
      <c r="D9" s="44" t="s">
        <v>99</v>
      </c>
      <c r="E9" s="44" t="s">
        <v>276</v>
      </c>
      <c r="F9" s="48">
        <f>10.7639 * (3.1*2.7)</f>
        <v>90.093843000000007</v>
      </c>
      <c r="G9" s="44">
        <v>78</v>
      </c>
      <c r="H9" s="46">
        <v>95</v>
      </c>
      <c r="I9" s="49">
        <f t="shared" si="0"/>
        <v>17</v>
      </c>
      <c r="J9" s="46">
        <v>6.3E-2</v>
      </c>
      <c r="K9" s="46" t="str">
        <f>_xlfn.UNICHAR(8596)</f>
        <v>↔</v>
      </c>
      <c r="L9" s="50">
        <f t="shared" si="1"/>
        <v>96.490505853000016</v>
      </c>
      <c r="M9" s="49"/>
      <c r="N9" s="50">
        <f t="shared" si="2"/>
        <v>96.490505853000016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190</v>
      </c>
      <c r="B10" s="44">
        <v>1</v>
      </c>
      <c r="C10" s="47" t="s">
        <v>175</v>
      </c>
      <c r="D10" s="44" t="s">
        <v>90</v>
      </c>
      <c r="E10" s="46" t="s">
        <v>327</v>
      </c>
      <c r="F10" s="48">
        <f>10.7639 * (0.1*1.3)</f>
        <v>1.3993070000000001</v>
      </c>
      <c r="G10" s="44">
        <v>78</v>
      </c>
      <c r="H10" s="46">
        <v>80</v>
      </c>
      <c r="I10" s="49">
        <f t="shared" si="0"/>
        <v>2</v>
      </c>
      <c r="J10" s="46">
        <v>0.17100000000000001</v>
      </c>
      <c r="K10" s="46" t="str">
        <f>_xlfn.UNICHAR(8593)</f>
        <v>↑</v>
      </c>
      <c r="L10" s="50">
        <f t="shared" si="1"/>
        <v>0.47856299400000007</v>
      </c>
      <c r="M10" s="44"/>
      <c r="N10" s="50">
        <f t="shared" si="2"/>
        <v>0.47856299400000007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328</v>
      </c>
      <c r="B11" s="44">
        <v>1</v>
      </c>
      <c r="C11" s="47" t="s">
        <v>175</v>
      </c>
      <c r="D11" s="44" t="s">
        <v>90</v>
      </c>
      <c r="E11" s="44"/>
      <c r="F11" s="48">
        <f>10.7639 * (10.82)</f>
        <v>116.46539799999999</v>
      </c>
      <c r="G11" s="44">
        <v>78</v>
      </c>
      <c r="H11" s="46">
        <v>78</v>
      </c>
      <c r="I11" s="49">
        <f t="shared" si="0"/>
        <v>0</v>
      </c>
      <c r="J11" s="46">
        <v>0.17100000000000001</v>
      </c>
      <c r="K11" s="46" t="str">
        <f>_xlfn.UNICHAR(8593)</f>
        <v>↑</v>
      </c>
      <c r="L11" s="50">
        <f t="shared" si="1"/>
        <v>0</v>
      </c>
      <c r="M11" s="44"/>
      <c r="N11" s="50">
        <f t="shared" si="2"/>
        <v>0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 t="s">
        <v>329</v>
      </c>
      <c r="B12" s="44">
        <v>1</v>
      </c>
      <c r="C12" s="47" t="s">
        <v>175</v>
      </c>
      <c r="D12" s="44" t="s">
        <v>90</v>
      </c>
      <c r="E12" s="44"/>
      <c r="F12" s="48">
        <f>10.7639 * (12.47)</f>
        <v>134.22583299999999</v>
      </c>
      <c r="G12" s="44">
        <v>78</v>
      </c>
      <c r="H12" s="46">
        <v>78</v>
      </c>
      <c r="I12" s="49">
        <f t="shared" si="0"/>
        <v>0</v>
      </c>
      <c r="J12" s="46">
        <v>0.17100000000000001</v>
      </c>
      <c r="K12" s="46" t="str">
        <f>_xlfn.UNICHAR(8593)</f>
        <v>↑</v>
      </c>
      <c r="L12" s="50">
        <f t="shared" si="1"/>
        <v>0</v>
      </c>
      <c r="M12" s="44"/>
      <c r="N12" s="50">
        <f t="shared" si="2"/>
        <v>0</v>
      </c>
      <c r="O12" s="46">
        <v>70</v>
      </c>
      <c r="P12" s="46">
        <v>70</v>
      </c>
      <c r="Q12" s="49">
        <f t="shared" si="3"/>
        <v>0</v>
      </c>
      <c r="R12" s="44"/>
      <c r="S12" s="44"/>
      <c r="T12" s="51">
        <f t="shared" si="4"/>
        <v>0</v>
      </c>
    </row>
    <row r="13" spans="1:20" x14ac:dyDescent="0.3">
      <c r="A13" s="53" t="s">
        <v>330</v>
      </c>
      <c r="B13" s="44">
        <v>1</v>
      </c>
      <c r="C13" s="47" t="s">
        <v>175</v>
      </c>
      <c r="D13" s="44" t="s">
        <v>90</v>
      </c>
      <c r="E13" s="44"/>
      <c r="F13" s="48">
        <f>10.7639 * (1.74)</f>
        <v>18.729185999999999</v>
      </c>
      <c r="G13" s="44">
        <v>78</v>
      </c>
      <c r="H13" s="46">
        <v>85</v>
      </c>
      <c r="I13" s="49">
        <f t="shared" si="0"/>
        <v>7</v>
      </c>
      <c r="J13" s="46">
        <v>0.17100000000000001</v>
      </c>
      <c r="K13" s="46" t="str">
        <f>_xlfn.UNICHAR(8593)</f>
        <v>↑</v>
      </c>
      <c r="L13" s="50">
        <f t="shared" si="1"/>
        <v>22.418835642000001</v>
      </c>
      <c r="M13" s="44"/>
      <c r="N13" s="50">
        <f t="shared" si="2"/>
        <v>22.418835642000001</v>
      </c>
      <c r="O13" s="46">
        <v>70</v>
      </c>
      <c r="P13" s="46">
        <v>70</v>
      </c>
      <c r="Q13" s="49">
        <f t="shared" si="3"/>
        <v>0</v>
      </c>
      <c r="R13" s="44"/>
      <c r="S13" s="44"/>
      <c r="T13" s="51">
        <f t="shared" si="4"/>
        <v>0</v>
      </c>
    </row>
    <row r="14" spans="1:20" x14ac:dyDescent="0.3">
      <c r="A14" s="53" t="s">
        <v>331</v>
      </c>
      <c r="B14" s="44">
        <v>1</v>
      </c>
      <c r="C14" s="47" t="s">
        <v>175</v>
      </c>
      <c r="D14" s="44" t="s">
        <v>90</v>
      </c>
      <c r="E14" s="44"/>
      <c r="F14" s="48">
        <f>10.7639 * (0.28)</f>
        <v>3.0138920000000002</v>
      </c>
      <c r="G14" s="44">
        <v>78</v>
      </c>
      <c r="H14" s="46">
        <v>85</v>
      </c>
      <c r="I14" s="49">
        <f t="shared" si="0"/>
        <v>7</v>
      </c>
      <c r="J14" s="46">
        <v>0.17100000000000001</v>
      </c>
      <c r="K14" s="46" t="str">
        <f>_xlfn.UNICHAR(8593)</f>
        <v>↑</v>
      </c>
      <c r="L14" s="50">
        <f t="shared" si="1"/>
        <v>3.6076287240000009</v>
      </c>
      <c r="M14" s="44"/>
      <c r="N14" s="50">
        <f t="shared" si="2"/>
        <v>3.6076287240000009</v>
      </c>
      <c r="O14" s="46">
        <v>70</v>
      </c>
      <c r="P14" s="46">
        <v>70</v>
      </c>
      <c r="Q14" s="49">
        <f t="shared" si="3"/>
        <v>0</v>
      </c>
      <c r="R14" s="44"/>
      <c r="S14" s="44"/>
      <c r="T14" s="51">
        <f t="shared" si="4"/>
        <v>0</v>
      </c>
    </row>
    <row r="15" spans="1:20" x14ac:dyDescent="0.3">
      <c r="A15" s="53" t="s">
        <v>190</v>
      </c>
      <c r="B15" s="44">
        <v>2</v>
      </c>
      <c r="C15" s="47" t="s">
        <v>175</v>
      </c>
      <c r="D15" s="44" t="s">
        <v>106</v>
      </c>
      <c r="E15" s="44"/>
      <c r="F15" s="48">
        <f>10.7639 * (5.2)</f>
        <v>55.972279999999998</v>
      </c>
      <c r="G15" s="44">
        <v>78</v>
      </c>
      <c r="H15" s="46">
        <v>80</v>
      </c>
      <c r="I15" s="49">
        <f t="shared" si="0"/>
        <v>2</v>
      </c>
      <c r="J15" s="46">
        <v>0.14399999999999999</v>
      </c>
      <c r="K15" s="46" t="str">
        <f>_xlfn.UNICHAR(8595)</f>
        <v>↓</v>
      </c>
      <c r="L15" s="50">
        <f t="shared" si="1"/>
        <v>16.120016639999999</v>
      </c>
      <c r="M15" s="44"/>
      <c r="N15" s="50">
        <f t="shared" si="2"/>
        <v>16.120016639999999</v>
      </c>
      <c r="O15" s="46">
        <v>70</v>
      </c>
      <c r="P15" s="46">
        <v>70</v>
      </c>
      <c r="Q15" s="49">
        <f t="shared" si="3"/>
        <v>0</v>
      </c>
      <c r="R15" s="44"/>
      <c r="S15" s="44"/>
      <c r="T15" s="51">
        <f t="shared" si="4"/>
        <v>0</v>
      </c>
    </row>
    <row r="16" spans="1:20" x14ac:dyDescent="0.3">
      <c r="A16" s="53" t="s">
        <v>235</v>
      </c>
      <c r="B16" s="44">
        <v>2</v>
      </c>
      <c r="C16" s="47" t="s">
        <v>175</v>
      </c>
      <c r="D16" s="44" t="s">
        <v>106</v>
      </c>
      <c r="E16" s="44"/>
      <c r="F16" s="48">
        <f>10.7639 * (5.61)</f>
        <v>60.385479000000004</v>
      </c>
      <c r="G16" s="44">
        <v>78</v>
      </c>
      <c r="H16" s="46">
        <v>78</v>
      </c>
      <c r="I16" s="49">
        <f t="shared" si="0"/>
        <v>0</v>
      </c>
      <c r="J16" s="46">
        <v>0.14399999999999999</v>
      </c>
      <c r="K16" s="46" t="str">
        <f>_xlfn.UNICHAR(8595)</f>
        <v>↓</v>
      </c>
      <c r="L16" s="50">
        <f t="shared" si="1"/>
        <v>0</v>
      </c>
      <c r="M16" s="44"/>
      <c r="N16" s="50">
        <f t="shared" si="2"/>
        <v>0</v>
      </c>
      <c r="O16" s="46">
        <v>70</v>
      </c>
      <c r="P16" s="46">
        <v>70</v>
      </c>
      <c r="Q16" s="49">
        <f t="shared" si="3"/>
        <v>0</v>
      </c>
      <c r="R16" s="44"/>
      <c r="S16" s="44"/>
      <c r="T16" s="51">
        <f t="shared" si="4"/>
        <v>0</v>
      </c>
    </row>
    <row r="17" spans="1:20" x14ac:dyDescent="0.3">
      <c r="A17" s="53" t="s">
        <v>210</v>
      </c>
      <c r="B17" s="44">
        <v>2</v>
      </c>
      <c r="C17" s="47" t="s">
        <v>175</v>
      </c>
      <c r="D17" s="44" t="s">
        <v>106</v>
      </c>
      <c r="E17" s="44"/>
      <c r="F17" s="48">
        <f>10.7639 * (3.36)</f>
        <v>36.166703999999996</v>
      </c>
      <c r="G17" s="44">
        <v>78</v>
      </c>
      <c r="H17" s="46">
        <v>80</v>
      </c>
      <c r="I17" s="49">
        <f t="shared" si="0"/>
        <v>2</v>
      </c>
      <c r="J17" s="46">
        <v>0.14399999999999999</v>
      </c>
      <c r="K17" s="46" t="str">
        <f>_xlfn.UNICHAR(8595)</f>
        <v>↓</v>
      </c>
      <c r="L17" s="50">
        <f t="shared" si="1"/>
        <v>10.416010751999998</v>
      </c>
      <c r="M17" s="44"/>
      <c r="N17" s="50">
        <f t="shared" si="2"/>
        <v>10.416010751999998</v>
      </c>
      <c r="O17" s="46">
        <v>70</v>
      </c>
      <c r="P17" s="46">
        <v>70</v>
      </c>
      <c r="Q17" s="49">
        <f t="shared" si="3"/>
        <v>0</v>
      </c>
      <c r="R17" s="44"/>
      <c r="S17" s="44"/>
      <c r="T17" s="51">
        <f t="shared" si="4"/>
        <v>0</v>
      </c>
    </row>
    <row r="18" spans="1:20" x14ac:dyDescent="0.3">
      <c r="A18" s="39" t="s">
        <v>233</v>
      </c>
      <c r="B18" s="40">
        <v>2</v>
      </c>
      <c r="C18" s="47" t="s">
        <v>175</v>
      </c>
      <c r="D18" s="40" t="s">
        <v>106</v>
      </c>
      <c r="F18" s="48">
        <f>10.7639 * (0.36)</f>
        <v>3.8750039999999997</v>
      </c>
      <c r="G18" s="44">
        <v>78</v>
      </c>
      <c r="H18" s="46">
        <v>78</v>
      </c>
      <c r="I18" s="49">
        <f t="shared" si="0"/>
        <v>0</v>
      </c>
      <c r="J18" s="46">
        <v>0.14399999999999999</v>
      </c>
      <c r="K18" s="46" t="str">
        <f>_xlfn.UNICHAR(8595)</f>
        <v>↓</v>
      </c>
      <c r="L18" s="50">
        <f t="shared" si="1"/>
        <v>0</v>
      </c>
      <c r="M18" s="44"/>
      <c r="N18" s="50">
        <f t="shared" si="2"/>
        <v>0</v>
      </c>
      <c r="O18" s="46">
        <v>70</v>
      </c>
      <c r="P18" s="46">
        <v>70</v>
      </c>
      <c r="Q18" s="49">
        <f t="shared" si="3"/>
        <v>0</v>
      </c>
      <c r="R18" s="44"/>
      <c r="S18" s="44"/>
      <c r="T18" s="51">
        <f t="shared" si="4"/>
        <v>0</v>
      </c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476.09849145599998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(0.6*0.5))*1</f>
        <v>3.2291699999999999</v>
      </c>
      <c r="G20" s="44"/>
      <c r="H20" s="44"/>
      <c r="I20" s="44"/>
      <c r="J20" s="44"/>
      <c r="K20" s="44"/>
      <c r="L20" s="46">
        <f>F20*160</f>
        <v>516.66719999999998</v>
      </c>
      <c r="M20" s="44"/>
      <c r="N20" s="50">
        <f>L20+M20</f>
        <v>516.66719999999998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(14.53)</f>
        <v>156.39946699999999</v>
      </c>
      <c r="G21" s="44"/>
      <c r="H21" s="44"/>
      <c r="I21" s="44"/>
      <c r="J21" s="44"/>
      <c r="K21" s="44"/>
      <c r="L21" s="44">
        <f>4*F21</f>
        <v>625.59786799999995</v>
      </c>
      <c r="M21" s="44"/>
      <c r="N21" s="50">
        <f>L21+M21</f>
        <v>625.59786799999995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2418.3635594560001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2418.3635594560001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156.39946699999999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1385.428393743156</v>
      </c>
      <c r="G37" s="44" t="s">
        <v>124</v>
      </c>
    </row>
    <row r="38" spans="1:20" x14ac:dyDescent="0.3">
      <c r="E38" s="44" t="s">
        <v>125</v>
      </c>
      <c r="F38" s="56">
        <f>F37/30</f>
        <v>46.180946458105197</v>
      </c>
      <c r="G38" s="44" t="s">
        <v>126</v>
      </c>
    </row>
    <row r="39" spans="1:20" x14ac:dyDescent="0.3">
      <c r="E39" s="44" t="s">
        <v>127</v>
      </c>
      <c r="F39" s="50">
        <f>SUM($L$5:$L$28)</f>
        <v>1933.3635594560001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2418.3635594560001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71.606057757629628</v>
      </c>
      <c r="G43" s="44" t="s">
        <v>126</v>
      </c>
    </row>
    <row r="44" spans="1:20" x14ac:dyDescent="0.3">
      <c r="E44" s="44" t="s">
        <v>126</v>
      </c>
      <c r="F44" s="57">
        <f>ROUNDUP(F43,0)</f>
        <v>72</v>
      </c>
      <c r="G44" s="44" t="s">
        <v>126</v>
      </c>
    </row>
    <row r="45" spans="1:20" x14ac:dyDescent="0.3">
      <c r="E45" s="44" t="s">
        <v>133</v>
      </c>
      <c r="F45" s="50">
        <f>F44*0.0002930711</f>
        <v>2.1101119199999997E-2</v>
      </c>
      <c r="G45" s="44" t="s">
        <v>134</v>
      </c>
    </row>
    <row r="46" spans="1:20" x14ac:dyDescent="0.3">
      <c r="E46" s="44" t="s">
        <v>135</v>
      </c>
      <c r="F46" s="50">
        <f>F39/F41</f>
        <v>0.79945116270727357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</sheetPr>
  <dimension ref="A1:T254"/>
  <sheetViews>
    <sheetView zoomScale="95" zoomScaleNormal="95" workbookViewId="0">
      <selection activeCell="C3" sqref="C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259</v>
      </c>
      <c r="B2" s="11"/>
      <c r="C2" s="11">
        <v>6005</v>
      </c>
      <c r="D2" s="11"/>
      <c r="E2" s="43" t="s">
        <v>311</v>
      </c>
      <c r="F2" s="43" t="s">
        <v>326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190</v>
      </c>
      <c r="B5" s="44">
        <v>6</v>
      </c>
      <c r="C5" s="47" t="s">
        <v>104</v>
      </c>
      <c r="D5" s="44" t="s">
        <v>99</v>
      </c>
      <c r="E5" s="44" t="s">
        <v>332</v>
      </c>
      <c r="F5" s="48">
        <f>10.7639 *((5+1.4)*2.7)</f>
        <v>186.000192</v>
      </c>
      <c r="G5" s="44">
        <v>78</v>
      </c>
      <c r="H5" s="46">
        <v>80</v>
      </c>
      <c r="I5" s="49">
        <f t="shared" ref="I5:I15" si="0">H5-G5</f>
        <v>2</v>
      </c>
      <c r="J5" s="46">
        <v>0.313</v>
      </c>
      <c r="K5" s="46" t="str">
        <f>_xlfn.UNICHAR(8596)</f>
        <v>↔</v>
      </c>
      <c r="L5" s="50">
        <f t="shared" ref="L5:L15" si="1">F5*I5*J5</f>
        <v>116.436120192</v>
      </c>
      <c r="M5" s="49"/>
      <c r="N5" s="50">
        <f t="shared" ref="N5:N15" si="2">L5+M5</f>
        <v>116.436120192</v>
      </c>
      <c r="O5" s="46">
        <v>70</v>
      </c>
      <c r="P5" s="46">
        <v>70</v>
      </c>
      <c r="Q5" s="49">
        <f t="shared" ref="Q5:Q15" si="3">O5-P5</f>
        <v>0</v>
      </c>
      <c r="R5" s="46"/>
      <c r="S5" s="46"/>
      <c r="T5" s="51">
        <f t="shared" ref="T5:T15" si="4">F5*Q5*R5</f>
        <v>0</v>
      </c>
    </row>
    <row r="6" spans="1:20" x14ac:dyDescent="0.3">
      <c r="A6" s="53" t="s">
        <v>333</v>
      </c>
      <c r="B6" s="44">
        <v>6</v>
      </c>
      <c r="C6" s="47" t="s">
        <v>175</v>
      </c>
      <c r="D6" s="44" t="s">
        <v>99</v>
      </c>
      <c r="E6" s="44" t="s">
        <v>334</v>
      </c>
      <c r="F6" s="48">
        <f>10.7639 *(3.5*2.7)</f>
        <v>101.718855</v>
      </c>
      <c r="G6" s="44">
        <v>78</v>
      </c>
      <c r="H6" s="46">
        <v>110</v>
      </c>
      <c r="I6" s="49">
        <f t="shared" si="0"/>
        <v>32</v>
      </c>
      <c r="J6" s="46">
        <v>0.158</v>
      </c>
      <c r="K6" s="46" t="str">
        <f>_xlfn.UNICHAR(8596)</f>
        <v>↔</v>
      </c>
      <c r="L6" s="50">
        <f t="shared" si="1"/>
        <v>514.29053088000001</v>
      </c>
      <c r="M6" s="49"/>
      <c r="N6" s="50">
        <f t="shared" si="2"/>
        <v>514.29053088000001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108</v>
      </c>
      <c r="B7" s="44">
        <v>3</v>
      </c>
      <c r="C7" s="47" t="s">
        <v>205</v>
      </c>
      <c r="D7" s="44" t="s">
        <v>99</v>
      </c>
      <c r="E7" s="44" t="s">
        <v>334</v>
      </c>
      <c r="F7" s="48">
        <f>10.7639 *(3.5*2.7)</f>
        <v>101.718855</v>
      </c>
      <c r="G7" s="44">
        <v>78</v>
      </c>
      <c r="H7" s="46">
        <v>95</v>
      </c>
      <c r="I7" s="49">
        <f t="shared" si="0"/>
        <v>17</v>
      </c>
      <c r="J7" s="46">
        <v>6.3E-2</v>
      </c>
      <c r="K7" s="46" t="str">
        <f>_xlfn.UNICHAR(8596)</f>
        <v>↔</v>
      </c>
      <c r="L7" s="50">
        <f t="shared" si="1"/>
        <v>108.94089370500001</v>
      </c>
      <c r="M7" s="49"/>
      <c r="N7" s="50">
        <f t="shared" si="2"/>
        <v>108.94089370500001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260</v>
      </c>
      <c r="B8" s="44">
        <v>6</v>
      </c>
      <c r="C8" s="47" t="s">
        <v>104</v>
      </c>
      <c r="D8" s="44" t="s">
        <v>99</v>
      </c>
      <c r="E8" s="44" t="s">
        <v>335</v>
      </c>
      <c r="F8" s="48">
        <f>10.7639 * ((1.5+2.1)*2.7)</f>
        <v>104.625108</v>
      </c>
      <c r="G8" s="44">
        <v>78</v>
      </c>
      <c r="H8" s="46">
        <v>85</v>
      </c>
      <c r="I8" s="49">
        <f t="shared" si="0"/>
        <v>7</v>
      </c>
      <c r="J8" s="46">
        <v>0.313</v>
      </c>
      <c r="K8" s="46" t="str">
        <f>_xlfn.UNICHAR(8596)</f>
        <v>↔</v>
      </c>
      <c r="L8" s="50">
        <f t="shared" si="1"/>
        <v>229.23361162800001</v>
      </c>
      <c r="M8" s="49"/>
      <c r="N8" s="50">
        <f t="shared" si="2"/>
        <v>229.23361162800001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336</v>
      </c>
      <c r="B9" s="44">
        <v>1</v>
      </c>
      <c r="C9" s="47" t="s">
        <v>175</v>
      </c>
      <c r="D9" s="44" t="s">
        <v>90</v>
      </c>
      <c r="E9" s="44"/>
      <c r="F9" s="48">
        <f>10.7639 * (7.45)</f>
        <v>80.191055000000006</v>
      </c>
      <c r="G9" s="44">
        <v>78</v>
      </c>
      <c r="H9" s="46">
        <v>78</v>
      </c>
      <c r="I9" s="49">
        <f t="shared" si="0"/>
        <v>0</v>
      </c>
      <c r="J9" s="46">
        <v>0.17100000000000001</v>
      </c>
      <c r="K9" s="46" t="str">
        <f>_xlfn.UNICHAR(8593)</f>
        <v>↑</v>
      </c>
      <c r="L9" s="50">
        <f t="shared" si="1"/>
        <v>0</v>
      </c>
      <c r="M9" s="49"/>
      <c r="N9" s="50">
        <f t="shared" si="2"/>
        <v>0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337</v>
      </c>
      <c r="B10" s="44">
        <v>1</v>
      </c>
      <c r="C10" s="47" t="s">
        <v>175</v>
      </c>
      <c r="D10" s="44" t="s">
        <v>90</v>
      </c>
      <c r="E10" s="44"/>
      <c r="F10" s="48">
        <f>10.7639 * (1.65)</f>
        <v>17.760434999999998</v>
      </c>
      <c r="G10" s="44">
        <v>78</v>
      </c>
      <c r="H10" s="46">
        <v>85</v>
      </c>
      <c r="I10" s="49">
        <f t="shared" si="0"/>
        <v>7</v>
      </c>
      <c r="J10" s="46">
        <v>0.17100000000000001</v>
      </c>
      <c r="K10" s="46" t="str">
        <f>_xlfn.UNICHAR(8593)</f>
        <v>↑</v>
      </c>
      <c r="L10" s="50">
        <f t="shared" si="1"/>
        <v>21.259240694999999</v>
      </c>
      <c r="M10" s="44"/>
      <c r="N10" s="50">
        <f t="shared" si="2"/>
        <v>21.259240694999999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338</v>
      </c>
      <c r="B11" s="44">
        <v>1</v>
      </c>
      <c r="C11" s="47" t="s">
        <v>175</v>
      </c>
      <c r="D11" s="44" t="s">
        <v>90</v>
      </c>
      <c r="E11" s="44"/>
      <c r="F11" s="48">
        <f>10.7639 * (5.25)</f>
        <v>56.510475</v>
      </c>
      <c r="G11" s="44">
        <v>78</v>
      </c>
      <c r="H11" s="46">
        <v>78</v>
      </c>
      <c r="I11" s="49">
        <f t="shared" si="0"/>
        <v>0</v>
      </c>
      <c r="J11" s="46">
        <v>0.17100000000000001</v>
      </c>
      <c r="K11" s="46" t="str">
        <f>_xlfn.UNICHAR(8593)</f>
        <v>↑</v>
      </c>
      <c r="L11" s="50">
        <f t="shared" si="1"/>
        <v>0</v>
      </c>
      <c r="M11" s="44"/>
      <c r="N11" s="50">
        <f t="shared" si="2"/>
        <v>0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 t="s">
        <v>190</v>
      </c>
      <c r="B12" s="44">
        <v>2</v>
      </c>
      <c r="C12" s="47" t="s">
        <v>175</v>
      </c>
      <c r="D12" s="44" t="s">
        <v>106</v>
      </c>
      <c r="E12" s="44"/>
      <c r="F12" s="48">
        <f>10.7639 * (5)</f>
        <v>53.819499999999998</v>
      </c>
      <c r="G12" s="44">
        <v>78</v>
      </c>
      <c r="H12" s="46">
        <v>80</v>
      </c>
      <c r="I12" s="49">
        <f t="shared" si="0"/>
        <v>2</v>
      </c>
      <c r="J12" s="46">
        <v>0.14399999999999999</v>
      </c>
      <c r="K12" s="46" t="str">
        <f>_xlfn.UNICHAR(8595)</f>
        <v>↓</v>
      </c>
      <c r="L12" s="50">
        <f t="shared" si="1"/>
        <v>15.500015999999999</v>
      </c>
      <c r="M12" s="44"/>
      <c r="N12" s="50">
        <f t="shared" si="2"/>
        <v>15.500015999999999</v>
      </c>
      <c r="O12" s="46">
        <v>70</v>
      </c>
      <c r="P12" s="46">
        <v>70</v>
      </c>
      <c r="Q12" s="49">
        <f t="shared" si="3"/>
        <v>0</v>
      </c>
      <c r="R12" s="44"/>
      <c r="S12" s="44"/>
      <c r="T12" s="51">
        <f t="shared" si="4"/>
        <v>0</v>
      </c>
    </row>
    <row r="13" spans="1:20" x14ac:dyDescent="0.3">
      <c r="A13" s="53" t="s">
        <v>180</v>
      </c>
      <c r="B13" s="44">
        <v>2</v>
      </c>
      <c r="C13" s="47" t="s">
        <v>175</v>
      </c>
      <c r="D13" s="44" t="s">
        <v>106</v>
      </c>
      <c r="E13" s="44"/>
      <c r="F13" s="48">
        <f>10.7639 * (2.85)</f>
        <v>30.677115000000001</v>
      </c>
      <c r="G13" s="44">
        <v>78</v>
      </c>
      <c r="H13" s="46">
        <v>85</v>
      </c>
      <c r="I13" s="49">
        <f t="shared" si="0"/>
        <v>7</v>
      </c>
      <c r="J13" s="46">
        <v>0.14399999999999999</v>
      </c>
      <c r="K13" s="46" t="str">
        <f>_xlfn.UNICHAR(8595)</f>
        <v>↓</v>
      </c>
      <c r="L13" s="50">
        <f t="shared" si="1"/>
        <v>30.922531919999997</v>
      </c>
      <c r="M13" s="44"/>
      <c r="N13" s="50">
        <f t="shared" si="2"/>
        <v>30.922531919999997</v>
      </c>
      <c r="O13" s="46">
        <v>70</v>
      </c>
      <c r="P13" s="46">
        <v>70</v>
      </c>
      <c r="Q13" s="49">
        <f t="shared" si="3"/>
        <v>0</v>
      </c>
      <c r="R13" s="44"/>
      <c r="S13" s="44"/>
      <c r="T13" s="51">
        <f t="shared" si="4"/>
        <v>0</v>
      </c>
    </row>
    <row r="14" spans="1:20" x14ac:dyDescent="0.3">
      <c r="A14" s="53" t="s">
        <v>339</v>
      </c>
      <c r="B14" s="44">
        <v>2</v>
      </c>
      <c r="C14" s="47" t="s">
        <v>175</v>
      </c>
      <c r="D14" s="44" t="s">
        <v>106</v>
      </c>
      <c r="E14" s="44"/>
      <c r="F14" s="48">
        <f>10.7639 * (5.95)</f>
        <v>64.045204999999996</v>
      </c>
      <c r="G14" s="44">
        <v>78</v>
      </c>
      <c r="H14" s="46">
        <v>78</v>
      </c>
      <c r="I14" s="49">
        <f t="shared" si="0"/>
        <v>0</v>
      </c>
      <c r="J14" s="46">
        <v>0.14399999999999999</v>
      </c>
      <c r="K14" s="46" t="str">
        <f>_xlfn.UNICHAR(8595)</f>
        <v>↓</v>
      </c>
      <c r="L14" s="50">
        <f t="shared" si="1"/>
        <v>0</v>
      </c>
      <c r="M14" s="44"/>
      <c r="N14" s="50">
        <f t="shared" si="2"/>
        <v>0</v>
      </c>
      <c r="O14" s="46">
        <v>70</v>
      </c>
      <c r="P14" s="46">
        <v>70</v>
      </c>
      <c r="Q14" s="49">
        <f t="shared" si="3"/>
        <v>0</v>
      </c>
      <c r="R14" s="44"/>
      <c r="S14" s="44"/>
      <c r="T14" s="51">
        <f t="shared" si="4"/>
        <v>0</v>
      </c>
    </row>
    <row r="15" spans="1:20" x14ac:dyDescent="0.3">
      <c r="A15" s="53" t="s">
        <v>340</v>
      </c>
      <c r="B15" s="44">
        <v>2</v>
      </c>
      <c r="C15" s="47" t="s">
        <v>175</v>
      </c>
      <c r="D15" s="44" t="s">
        <v>106</v>
      </c>
      <c r="E15" s="44"/>
      <c r="F15" s="48">
        <f>10.7639 * (0.5 * 1.1)</f>
        <v>5.9201450000000007</v>
      </c>
      <c r="G15" s="44">
        <v>78</v>
      </c>
      <c r="H15" s="46">
        <v>78</v>
      </c>
      <c r="I15" s="49">
        <f t="shared" si="0"/>
        <v>0</v>
      </c>
      <c r="J15" s="46">
        <v>0.14399999999999999</v>
      </c>
      <c r="K15" s="46" t="str">
        <f>_xlfn.UNICHAR(8595)</f>
        <v>↓</v>
      </c>
      <c r="L15" s="50">
        <f t="shared" si="1"/>
        <v>0</v>
      </c>
      <c r="M15" s="44"/>
      <c r="N15" s="50">
        <f t="shared" si="2"/>
        <v>0</v>
      </c>
      <c r="O15" s="46">
        <v>70</v>
      </c>
      <c r="P15" s="46">
        <v>70</v>
      </c>
      <c r="Q15" s="49">
        <f t="shared" si="3"/>
        <v>0</v>
      </c>
      <c r="R15" s="44"/>
      <c r="S15" s="44"/>
      <c r="T15" s="51">
        <f t="shared" si="4"/>
        <v>0</v>
      </c>
    </row>
    <row r="16" spans="1:20" x14ac:dyDescent="0.3">
      <c r="A16" s="53"/>
      <c r="B16" s="44"/>
      <c r="C16" s="47"/>
      <c r="D16" s="44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4"/>
      <c r="S16" s="44"/>
      <c r="T16" s="51"/>
    </row>
    <row r="17" spans="1:20" x14ac:dyDescent="0.3">
      <c r="A17" s="53"/>
      <c r="B17" s="44"/>
      <c r="C17" s="47"/>
      <c r="D17" s="44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4"/>
      <c r="S17" s="44"/>
      <c r="T17" s="51"/>
    </row>
    <row r="18" spans="1:20" x14ac:dyDescent="0.3">
      <c r="C18" s="47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4"/>
      <c r="S18" s="44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1036.5829450199999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(0.6*0.5))*1</f>
        <v>3.2291699999999999</v>
      </c>
      <c r="G20" s="44"/>
      <c r="H20" s="44"/>
      <c r="I20" s="44"/>
      <c r="J20" s="44"/>
      <c r="K20" s="44"/>
      <c r="L20" s="46">
        <f>F20*160</f>
        <v>516.66719999999998</v>
      </c>
      <c r="M20" s="44"/>
      <c r="N20" s="50">
        <f>L20+M20</f>
        <v>516.66719999999998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(14.35)</f>
        <v>154.46196499999999</v>
      </c>
      <c r="G21" s="44"/>
      <c r="H21" s="44"/>
      <c r="I21" s="44"/>
      <c r="J21" s="44"/>
      <c r="K21" s="44"/>
      <c r="L21" s="44">
        <f>4*F21</f>
        <v>617.84785999999997</v>
      </c>
      <c r="M21" s="44"/>
      <c r="N21" s="50">
        <f>L21+M21</f>
        <v>617.84785999999997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2971.0980050199996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2971.0980050199996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154.46196499999999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1368.2654817766199</v>
      </c>
      <c r="G37" s="44" t="s">
        <v>124</v>
      </c>
    </row>
    <row r="38" spans="1:20" x14ac:dyDescent="0.3">
      <c r="E38" s="44" t="s">
        <v>125</v>
      </c>
      <c r="F38" s="56">
        <f>F37/30</f>
        <v>45.608849392553999</v>
      </c>
      <c r="G38" s="44" t="s">
        <v>126</v>
      </c>
    </row>
    <row r="39" spans="1:20" x14ac:dyDescent="0.3">
      <c r="E39" s="44" t="s">
        <v>127</v>
      </c>
      <c r="F39" s="50">
        <f>SUM($L$5:$L$28)</f>
        <v>2486.0980050199996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2971.0980050199996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92.077703889629618</v>
      </c>
      <c r="G43" s="44" t="s">
        <v>126</v>
      </c>
    </row>
    <row r="44" spans="1:20" x14ac:dyDescent="0.3">
      <c r="E44" s="44" t="s">
        <v>126</v>
      </c>
      <c r="F44" s="57">
        <f>ROUNDUP(F43,0)</f>
        <v>93</v>
      </c>
      <c r="G44" s="44" t="s">
        <v>126</v>
      </c>
    </row>
    <row r="45" spans="1:20" x14ac:dyDescent="0.3">
      <c r="E45" s="44" t="s">
        <v>133</v>
      </c>
      <c r="F45" s="50">
        <f>F44*0.0002930711</f>
        <v>2.7255612299999999E-2</v>
      </c>
      <c r="G45" s="44" t="s">
        <v>134</v>
      </c>
    </row>
    <row r="46" spans="1:20" x14ac:dyDescent="0.3">
      <c r="E46" s="44" t="s">
        <v>135</v>
      </c>
      <c r="F46" s="50">
        <f>F39/F41</f>
        <v>0.83676068605595011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1:T254"/>
  <sheetViews>
    <sheetView zoomScale="95" zoomScaleNormal="95" workbookViewId="0">
      <selection activeCell="C3" sqref="C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268</v>
      </c>
      <c r="B2" s="11"/>
      <c r="C2" s="11">
        <v>6006</v>
      </c>
      <c r="D2" s="11"/>
      <c r="E2" s="43" t="s">
        <v>311</v>
      </c>
      <c r="F2" s="43" t="s">
        <v>273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190</v>
      </c>
      <c r="B5" s="44">
        <v>6</v>
      </c>
      <c r="C5" s="47" t="s">
        <v>104</v>
      </c>
      <c r="D5" s="44" t="s">
        <v>99</v>
      </c>
      <c r="E5" s="44" t="s">
        <v>314</v>
      </c>
      <c r="F5" s="48">
        <f>10.7639 *(1.7*2.7)</f>
        <v>49.406300999999999</v>
      </c>
      <c r="G5" s="44">
        <v>78</v>
      </c>
      <c r="H5" s="46">
        <v>80</v>
      </c>
      <c r="I5" s="49">
        <f t="shared" ref="I5:I12" si="0">H5-G5</f>
        <v>2</v>
      </c>
      <c r="J5" s="46">
        <v>0.313</v>
      </c>
      <c r="K5" s="46" t="str">
        <f>_xlfn.UNICHAR(8596)</f>
        <v>↔</v>
      </c>
      <c r="L5" s="50">
        <f t="shared" ref="L5:L12" si="1">F5*I5*J5</f>
        <v>30.928344425999999</v>
      </c>
      <c r="M5" s="49"/>
      <c r="N5" s="50">
        <f t="shared" ref="N5:N12" si="2">L5+M5</f>
        <v>30.928344425999999</v>
      </c>
      <c r="O5" s="46">
        <v>70</v>
      </c>
      <c r="P5" s="46">
        <v>70</v>
      </c>
      <c r="Q5" s="49">
        <f t="shared" ref="Q5:Q12" si="3">O5-P5</f>
        <v>0</v>
      </c>
      <c r="R5" s="46"/>
      <c r="S5" s="46"/>
      <c r="T5" s="51">
        <f t="shared" ref="T5:T12" si="4">F5*Q5*R5</f>
        <v>0</v>
      </c>
    </row>
    <row r="6" spans="1:20" x14ac:dyDescent="0.3">
      <c r="A6" s="53" t="s">
        <v>269</v>
      </c>
      <c r="B6" s="44">
        <v>6</v>
      </c>
      <c r="C6" s="47" t="s">
        <v>104</v>
      </c>
      <c r="D6" s="44" t="s">
        <v>99</v>
      </c>
      <c r="E6" s="44" t="s">
        <v>323</v>
      </c>
      <c r="F6" s="48">
        <f>10.7639 *(3.2*2.7)</f>
        <v>93.000095999999999</v>
      </c>
      <c r="G6" s="44">
        <v>78</v>
      </c>
      <c r="H6" s="46">
        <v>78</v>
      </c>
      <c r="I6" s="49">
        <f t="shared" si="0"/>
        <v>0</v>
      </c>
      <c r="J6" s="46">
        <v>0.313</v>
      </c>
      <c r="K6" s="46" t="str">
        <f>_xlfn.UNICHAR(8596)</f>
        <v>↔</v>
      </c>
      <c r="L6" s="50">
        <f t="shared" si="1"/>
        <v>0</v>
      </c>
      <c r="M6" s="49"/>
      <c r="N6" s="50">
        <f t="shared" si="2"/>
        <v>0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270</v>
      </c>
      <c r="B7" s="44">
        <v>6</v>
      </c>
      <c r="C7" s="47" t="s">
        <v>104</v>
      </c>
      <c r="D7" s="44" t="s">
        <v>99</v>
      </c>
      <c r="E7" s="44" t="s">
        <v>317</v>
      </c>
      <c r="F7" s="48">
        <f>10.7639 *((1.6 + 1.7)*2.7)</f>
        <v>95.906348999999992</v>
      </c>
      <c r="G7" s="44">
        <v>78</v>
      </c>
      <c r="H7" s="46">
        <v>85</v>
      </c>
      <c r="I7" s="49">
        <f t="shared" si="0"/>
        <v>7</v>
      </c>
      <c r="J7" s="46">
        <v>0.313</v>
      </c>
      <c r="K7" s="46" t="str">
        <f>_xlfn.UNICHAR(8596)</f>
        <v>↔</v>
      </c>
      <c r="L7" s="50">
        <f t="shared" si="1"/>
        <v>210.13081065899999</v>
      </c>
      <c r="M7" s="49"/>
      <c r="N7" s="50">
        <f t="shared" si="2"/>
        <v>210.13081065899999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341</v>
      </c>
      <c r="B8" s="44">
        <v>6</v>
      </c>
      <c r="C8" s="47" t="s">
        <v>104</v>
      </c>
      <c r="D8" s="44" t="s">
        <v>99</v>
      </c>
      <c r="E8" s="44" t="s">
        <v>314</v>
      </c>
      <c r="F8" s="48">
        <f>10.7639 * (1.7*2.7)</f>
        <v>49.406300999999999</v>
      </c>
      <c r="G8" s="44">
        <v>78</v>
      </c>
      <c r="H8" s="46">
        <v>85</v>
      </c>
      <c r="I8" s="49">
        <f t="shared" si="0"/>
        <v>7</v>
      </c>
      <c r="J8" s="46">
        <v>0.313</v>
      </c>
      <c r="K8" s="46" t="str">
        <f>_xlfn.UNICHAR(8596)</f>
        <v>↔</v>
      </c>
      <c r="L8" s="50">
        <f t="shared" si="1"/>
        <v>108.249205491</v>
      </c>
      <c r="M8" s="49"/>
      <c r="N8" s="50">
        <f t="shared" si="2"/>
        <v>108.249205491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342</v>
      </c>
      <c r="B9" s="44">
        <v>1</v>
      </c>
      <c r="C9" s="47" t="s">
        <v>175</v>
      </c>
      <c r="D9" s="44" t="s">
        <v>90</v>
      </c>
      <c r="E9" s="44"/>
      <c r="F9" s="48">
        <f>10.7639 * (12.94)</f>
        <v>139.28486599999999</v>
      </c>
      <c r="G9" s="44">
        <v>78</v>
      </c>
      <c r="H9" s="46">
        <v>78</v>
      </c>
      <c r="I9" s="49">
        <f t="shared" si="0"/>
        <v>0</v>
      </c>
      <c r="J9" s="46">
        <v>0.17100000000000001</v>
      </c>
      <c r="K9" s="46" t="str">
        <f>_xlfn.UNICHAR(8593)</f>
        <v>↑</v>
      </c>
      <c r="L9" s="50">
        <f t="shared" si="1"/>
        <v>0</v>
      </c>
      <c r="M9" s="49"/>
      <c r="N9" s="50">
        <f t="shared" si="2"/>
        <v>0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336</v>
      </c>
      <c r="B10" s="44">
        <v>1</v>
      </c>
      <c r="C10" s="47" t="s">
        <v>175</v>
      </c>
      <c r="D10" s="44" t="s">
        <v>90</v>
      </c>
      <c r="E10" s="44"/>
      <c r="F10" s="48">
        <f>10.7639 * (0.51)</f>
        <v>5.4895889999999996</v>
      </c>
      <c r="G10" s="44">
        <v>78</v>
      </c>
      <c r="H10" s="46">
        <v>78</v>
      </c>
      <c r="I10" s="49">
        <f t="shared" si="0"/>
        <v>0</v>
      </c>
      <c r="J10" s="46">
        <v>0.17100000000000001</v>
      </c>
      <c r="K10" s="46" t="str">
        <f>_xlfn.UNICHAR(8593)</f>
        <v>↑</v>
      </c>
      <c r="L10" s="50">
        <f t="shared" si="1"/>
        <v>0</v>
      </c>
      <c r="M10" s="44"/>
      <c r="N10" s="50">
        <f t="shared" si="2"/>
        <v>0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261</v>
      </c>
      <c r="B11" s="44">
        <v>2</v>
      </c>
      <c r="C11" s="47" t="s">
        <v>175</v>
      </c>
      <c r="D11" s="44" t="s">
        <v>106</v>
      </c>
      <c r="E11" s="44"/>
      <c r="F11" s="48">
        <f>10.7639 * (13.45)</f>
        <v>144.77445499999999</v>
      </c>
      <c r="G11" s="44">
        <v>78</v>
      </c>
      <c r="H11" s="46">
        <v>78</v>
      </c>
      <c r="I11" s="49">
        <f t="shared" si="0"/>
        <v>0</v>
      </c>
      <c r="J11" s="46">
        <v>0.14399999999999999</v>
      </c>
      <c r="K11" s="46" t="str">
        <f>_xlfn.UNICHAR(8595)</f>
        <v>↓</v>
      </c>
      <c r="L11" s="50">
        <f t="shared" si="1"/>
        <v>0</v>
      </c>
      <c r="M11" s="44"/>
      <c r="N11" s="50">
        <f t="shared" si="2"/>
        <v>0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 t="s">
        <v>108</v>
      </c>
      <c r="B12" s="44">
        <v>3</v>
      </c>
      <c r="C12" s="47" t="s">
        <v>205</v>
      </c>
      <c r="D12" s="44" t="s">
        <v>99</v>
      </c>
      <c r="E12" s="44" t="s">
        <v>343</v>
      </c>
      <c r="F12" s="48">
        <f>10.7639 * ((3.2+3.3)*2.7)</f>
        <v>188.90644499999999</v>
      </c>
      <c r="G12" s="44">
        <v>78</v>
      </c>
      <c r="H12" s="46">
        <v>95</v>
      </c>
      <c r="I12" s="49">
        <f t="shared" si="0"/>
        <v>17</v>
      </c>
      <c r="J12" s="46">
        <v>6.3E-2</v>
      </c>
      <c r="K12" s="46" t="str">
        <f>_xlfn.UNICHAR(8596)</f>
        <v>↔</v>
      </c>
      <c r="L12" s="50">
        <f t="shared" si="1"/>
        <v>202.31880259499999</v>
      </c>
      <c r="M12" s="44"/>
      <c r="N12" s="50">
        <f t="shared" si="2"/>
        <v>202.31880259499999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53"/>
      <c r="B13" s="44"/>
      <c r="C13" s="47"/>
      <c r="D13" s="44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4"/>
      <c r="S13" s="44"/>
      <c r="T13" s="51"/>
    </row>
    <row r="14" spans="1:20" x14ac:dyDescent="0.3">
      <c r="A14" s="53"/>
      <c r="B14" s="44"/>
      <c r="C14" s="47"/>
      <c r="D14" s="44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4"/>
      <c r="S14" s="44"/>
      <c r="T14" s="51"/>
    </row>
    <row r="15" spans="1:20" x14ac:dyDescent="0.3">
      <c r="A15" s="53"/>
      <c r="B15" s="44"/>
      <c r="C15" s="47"/>
      <c r="D15" s="44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4"/>
      <c r="S15" s="44"/>
      <c r="T15" s="51"/>
    </row>
    <row r="16" spans="1:20" x14ac:dyDescent="0.3">
      <c r="A16" s="53"/>
      <c r="B16" s="44"/>
      <c r="C16" s="47"/>
      <c r="D16" s="44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4"/>
      <c r="S16" s="44"/>
      <c r="T16" s="51"/>
    </row>
    <row r="17" spans="1:20" x14ac:dyDescent="0.3">
      <c r="A17" s="53"/>
      <c r="B17" s="44"/>
      <c r="C17" s="47"/>
      <c r="D17" s="44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4"/>
      <c r="S17" s="44"/>
      <c r="T17" s="51"/>
    </row>
    <row r="18" spans="1:20" x14ac:dyDescent="0.3">
      <c r="C18" s="47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4"/>
      <c r="S18" s="44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551.62716317100001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(0.6*0.5))*1</f>
        <v>3.2291699999999999</v>
      </c>
      <c r="G20" s="44"/>
      <c r="H20" s="44"/>
      <c r="I20" s="44"/>
      <c r="J20" s="44"/>
      <c r="K20" s="44"/>
      <c r="L20" s="46">
        <f>F20*160</f>
        <v>516.66719999999998</v>
      </c>
      <c r="M20" s="44"/>
      <c r="N20" s="50">
        <f>L20+M20</f>
        <v>516.66719999999998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(13.45)</f>
        <v>144.77445499999999</v>
      </c>
      <c r="G21" s="44"/>
      <c r="H21" s="44"/>
      <c r="I21" s="44"/>
      <c r="J21" s="44"/>
      <c r="K21" s="44"/>
      <c r="L21" s="44">
        <f>4*F21</f>
        <v>579.09781999999996</v>
      </c>
      <c r="M21" s="44"/>
      <c r="N21" s="50">
        <f>L21+M21</f>
        <v>579.09781999999996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2447.3921831709999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2447.3921831709999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144.77445499999999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1282.4509219439401</v>
      </c>
      <c r="G37" s="44" t="s">
        <v>124</v>
      </c>
    </row>
    <row r="38" spans="1:20" x14ac:dyDescent="0.3">
      <c r="E38" s="44" t="s">
        <v>125</v>
      </c>
      <c r="F38" s="56">
        <f>F37/30</f>
        <v>42.748364064798004</v>
      </c>
      <c r="G38" s="44" t="s">
        <v>126</v>
      </c>
    </row>
    <row r="39" spans="1:20" x14ac:dyDescent="0.3">
      <c r="E39" s="44" t="s">
        <v>127</v>
      </c>
      <c r="F39" s="50">
        <f>SUM($L$5:$L$28)</f>
        <v>1962.3921831709999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2447.3921831709999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72.681191969296293</v>
      </c>
      <c r="G43" s="44" t="s">
        <v>126</v>
      </c>
    </row>
    <row r="44" spans="1:20" x14ac:dyDescent="0.3">
      <c r="E44" s="44" t="s">
        <v>126</v>
      </c>
      <c r="F44" s="57">
        <f>ROUNDUP(F43,0)</f>
        <v>73</v>
      </c>
      <c r="G44" s="44" t="s">
        <v>126</v>
      </c>
    </row>
    <row r="45" spans="1:20" x14ac:dyDescent="0.3">
      <c r="E45" s="44" t="s">
        <v>133</v>
      </c>
      <c r="F45" s="50">
        <f>F44*0.0002930711</f>
        <v>2.1394190299999997E-2</v>
      </c>
      <c r="G45" s="44" t="s">
        <v>134</v>
      </c>
    </row>
    <row r="46" spans="1:20" x14ac:dyDescent="0.3">
      <c r="E46" s="44" t="s">
        <v>135</v>
      </c>
      <c r="F46" s="50">
        <f>F39/F41</f>
        <v>0.8018298810730029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</sheetPr>
  <dimension ref="A1:T254"/>
  <sheetViews>
    <sheetView zoomScale="95" zoomScaleNormal="95" workbookViewId="0">
      <selection activeCell="C3" sqref="C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269</v>
      </c>
      <c r="B2" s="11"/>
      <c r="C2" s="11">
        <v>6007</v>
      </c>
      <c r="D2" s="11"/>
      <c r="E2" s="43" t="s">
        <v>311</v>
      </c>
      <c r="F2" s="43" t="s">
        <v>273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190</v>
      </c>
      <c r="B5" s="44">
        <v>6</v>
      </c>
      <c r="C5" s="47" t="s">
        <v>104</v>
      </c>
      <c r="D5" s="44" t="s">
        <v>99</v>
      </c>
      <c r="E5" s="44" t="s">
        <v>319</v>
      </c>
      <c r="F5" s="48">
        <f>10.7639 *(1.5*2.7)</f>
        <v>43.593795000000007</v>
      </c>
      <c r="G5" s="44">
        <v>78</v>
      </c>
      <c r="H5" s="46">
        <v>80</v>
      </c>
      <c r="I5" s="49">
        <f t="shared" ref="I5:I16" si="0">H5-G5</f>
        <v>2</v>
      </c>
      <c r="J5" s="46">
        <v>0.313</v>
      </c>
      <c r="K5" s="46" t="str">
        <f>_xlfn.UNICHAR(8596)</f>
        <v>↔</v>
      </c>
      <c r="L5" s="50">
        <f t="shared" ref="L5:L16" si="1">F5*I5*J5</f>
        <v>27.289715670000003</v>
      </c>
      <c r="M5" s="49"/>
      <c r="N5" s="50">
        <f t="shared" ref="N5:N16" si="2">L5+M5</f>
        <v>27.289715670000003</v>
      </c>
      <c r="O5" s="46">
        <v>70</v>
      </c>
      <c r="P5" s="46">
        <v>70</v>
      </c>
      <c r="Q5" s="49">
        <f t="shared" ref="Q5:Q16" si="3">O5-P5</f>
        <v>0</v>
      </c>
      <c r="R5" s="46"/>
      <c r="S5" s="46"/>
      <c r="T5" s="51">
        <f t="shared" ref="T5:T16" si="4">F5*Q5*R5</f>
        <v>0</v>
      </c>
    </row>
    <row r="6" spans="1:20" x14ac:dyDescent="0.3">
      <c r="A6" s="53" t="s">
        <v>108</v>
      </c>
      <c r="B6" s="44">
        <v>3</v>
      </c>
      <c r="C6" s="47" t="s">
        <v>205</v>
      </c>
      <c r="D6" s="44" t="s">
        <v>99</v>
      </c>
      <c r="E6" s="44" t="s">
        <v>276</v>
      </c>
      <c r="F6" s="48">
        <f>10.7639 *(3.1*2.7)</f>
        <v>90.093843000000007</v>
      </c>
      <c r="G6" s="44">
        <v>78</v>
      </c>
      <c r="H6" s="46">
        <v>95</v>
      </c>
      <c r="I6" s="49">
        <f t="shared" si="0"/>
        <v>17</v>
      </c>
      <c r="J6" s="46">
        <v>6.3E-2</v>
      </c>
      <c r="K6" s="46" t="str">
        <f>_xlfn.UNICHAR(8596)</f>
        <v>↔</v>
      </c>
      <c r="L6" s="50">
        <f t="shared" si="1"/>
        <v>96.490505853000016</v>
      </c>
      <c r="M6" s="49"/>
      <c r="N6" s="50">
        <f t="shared" si="2"/>
        <v>96.490505853000016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341</v>
      </c>
      <c r="B7" s="44">
        <v>6</v>
      </c>
      <c r="C7" s="47" t="s">
        <v>104</v>
      </c>
      <c r="D7" s="44" t="s">
        <v>99</v>
      </c>
      <c r="E7" s="44" t="s">
        <v>317</v>
      </c>
      <c r="F7" s="48">
        <f>10.7639 *((1.6 + 1.7)*2.7)</f>
        <v>95.906348999999992</v>
      </c>
      <c r="G7" s="44">
        <v>78</v>
      </c>
      <c r="H7" s="46">
        <v>85</v>
      </c>
      <c r="I7" s="49">
        <f t="shared" si="0"/>
        <v>7</v>
      </c>
      <c r="J7" s="46">
        <v>0.313</v>
      </c>
      <c r="K7" s="46" t="str">
        <f>_xlfn.UNICHAR(8596)</f>
        <v>↔</v>
      </c>
      <c r="L7" s="50">
        <f t="shared" si="1"/>
        <v>210.13081065899999</v>
      </c>
      <c r="M7" s="49"/>
      <c r="N7" s="50">
        <f t="shared" si="2"/>
        <v>210.13081065899999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268</v>
      </c>
      <c r="B8" s="44">
        <v>6</v>
      </c>
      <c r="C8" s="47" t="s">
        <v>104</v>
      </c>
      <c r="D8" s="44" t="s">
        <v>99</v>
      </c>
      <c r="E8" s="44" t="s">
        <v>323</v>
      </c>
      <c r="F8" s="48">
        <f>10.7639 * (3.2*2.7)</f>
        <v>93.000095999999999</v>
      </c>
      <c r="G8" s="44">
        <v>78</v>
      </c>
      <c r="H8" s="46">
        <v>78</v>
      </c>
      <c r="I8" s="49">
        <f t="shared" si="0"/>
        <v>0</v>
      </c>
      <c r="J8" s="46">
        <v>0.313</v>
      </c>
      <c r="K8" s="46" t="str">
        <f>_xlfn.UNICHAR(8596)</f>
        <v>↔</v>
      </c>
      <c r="L8" s="50">
        <f t="shared" si="1"/>
        <v>0</v>
      </c>
      <c r="M8" s="49"/>
      <c r="N8" s="50">
        <f t="shared" si="2"/>
        <v>0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281</v>
      </c>
      <c r="B9" s="44">
        <v>6</v>
      </c>
      <c r="C9" s="47" t="s">
        <v>104</v>
      </c>
      <c r="D9" s="44" t="s">
        <v>99</v>
      </c>
      <c r="E9" s="44" t="s">
        <v>266</v>
      </c>
      <c r="F9" s="48">
        <f>10.7639 * (4.9*2.7)</f>
        <v>142.40639700000003</v>
      </c>
      <c r="G9" s="44">
        <v>78</v>
      </c>
      <c r="H9" s="46">
        <v>78</v>
      </c>
      <c r="I9" s="49">
        <f t="shared" si="0"/>
        <v>0</v>
      </c>
      <c r="J9" s="46">
        <v>0.313</v>
      </c>
      <c r="K9" s="46" t="str">
        <f>_xlfn.UNICHAR(8596)</f>
        <v>↔</v>
      </c>
      <c r="L9" s="50">
        <f t="shared" si="1"/>
        <v>0</v>
      </c>
      <c r="M9" s="49"/>
      <c r="N9" s="50">
        <f t="shared" si="2"/>
        <v>0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342</v>
      </c>
      <c r="B10" s="44">
        <v>1</v>
      </c>
      <c r="C10" s="47" t="s">
        <v>175</v>
      </c>
      <c r="D10" s="44" t="s">
        <v>90</v>
      </c>
      <c r="E10" s="44"/>
      <c r="F10" s="48">
        <f>10.7639 * (4.33)</f>
        <v>46.607686999999999</v>
      </c>
      <c r="G10" s="44">
        <v>78</v>
      </c>
      <c r="H10" s="46">
        <v>78</v>
      </c>
      <c r="I10" s="49">
        <f t="shared" si="0"/>
        <v>0</v>
      </c>
      <c r="J10" s="46">
        <v>0.17100000000000001</v>
      </c>
      <c r="K10" s="46" t="str">
        <f t="shared" ref="K10:K15" si="5">_xlfn.UNICHAR(8593)</f>
        <v>↑</v>
      </c>
      <c r="L10" s="50">
        <f t="shared" si="1"/>
        <v>0</v>
      </c>
      <c r="M10" s="44"/>
      <c r="N10" s="50">
        <f t="shared" si="2"/>
        <v>0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344</v>
      </c>
      <c r="B11" s="44">
        <v>1</v>
      </c>
      <c r="C11" s="47" t="s">
        <v>175</v>
      </c>
      <c r="D11" s="44" t="s">
        <v>90</v>
      </c>
      <c r="E11" s="44"/>
      <c r="F11" s="48">
        <f>10.7639 * (3.15)</f>
        <v>33.906284999999997</v>
      </c>
      <c r="G11" s="44">
        <v>78</v>
      </c>
      <c r="H11" s="46">
        <v>85</v>
      </c>
      <c r="I11" s="49">
        <f t="shared" si="0"/>
        <v>7</v>
      </c>
      <c r="J11" s="46">
        <v>0.17100000000000001</v>
      </c>
      <c r="K11" s="46" t="str">
        <f t="shared" si="5"/>
        <v>↑</v>
      </c>
      <c r="L11" s="50">
        <f t="shared" si="1"/>
        <v>40.585823144999999</v>
      </c>
      <c r="M11" s="44"/>
      <c r="N11" s="50">
        <f t="shared" si="2"/>
        <v>40.585823144999999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 t="s">
        <v>345</v>
      </c>
      <c r="B12" s="44">
        <v>1</v>
      </c>
      <c r="C12" s="47" t="s">
        <v>175</v>
      </c>
      <c r="D12" s="44" t="s">
        <v>90</v>
      </c>
      <c r="E12" s="44"/>
      <c r="F12" s="48">
        <f>10.7639 * (2.59)</f>
        <v>27.878500999999996</v>
      </c>
      <c r="G12" s="44">
        <v>78</v>
      </c>
      <c r="H12" s="46">
        <v>78</v>
      </c>
      <c r="I12" s="49">
        <f t="shared" si="0"/>
        <v>0</v>
      </c>
      <c r="J12" s="46">
        <v>0.17100000000000001</v>
      </c>
      <c r="K12" s="46" t="str">
        <f t="shared" si="5"/>
        <v>↑</v>
      </c>
      <c r="L12" s="50">
        <f t="shared" si="1"/>
        <v>0</v>
      </c>
      <c r="M12" s="44"/>
      <c r="N12" s="50">
        <f t="shared" si="2"/>
        <v>0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53" t="s">
        <v>346</v>
      </c>
      <c r="B13" s="44">
        <v>1</v>
      </c>
      <c r="C13" s="47" t="s">
        <v>175</v>
      </c>
      <c r="D13" s="44" t="s">
        <v>90</v>
      </c>
      <c r="E13" s="44"/>
      <c r="F13" s="48">
        <f>10.7639 * (1.95)</f>
        <v>20.989604999999997</v>
      </c>
      <c r="G13" s="44">
        <v>78</v>
      </c>
      <c r="H13" s="46">
        <v>85</v>
      </c>
      <c r="I13" s="49">
        <f t="shared" si="0"/>
        <v>7</v>
      </c>
      <c r="J13" s="46">
        <v>0.17100000000000001</v>
      </c>
      <c r="K13" s="46" t="str">
        <f t="shared" si="5"/>
        <v>↑</v>
      </c>
      <c r="L13" s="50">
        <f t="shared" si="1"/>
        <v>25.124557185</v>
      </c>
      <c r="M13" s="44"/>
      <c r="N13" s="50">
        <f t="shared" si="2"/>
        <v>25.124557185</v>
      </c>
      <c r="O13" s="46">
        <v>70</v>
      </c>
      <c r="P13" s="46">
        <v>70</v>
      </c>
      <c r="Q13" s="49">
        <f t="shared" si="3"/>
        <v>0</v>
      </c>
      <c r="R13" s="46"/>
      <c r="S13" s="46"/>
      <c r="T13" s="51">
        <f t="shared" si="4"/>
        <v>0</v>
      </c>
    </row>
    <row r="14" spans="1:20" x14ac:dyDescent="0.3">
      <c r="A14" s="53" t="s">
        <v>336</v>
      </c>
      <c r="B14" s="44">
        <v>1</v>
      </c>
      <c r="C14" s="47" t="s">
        <v>175</v>
      </c>
      <c r="D14" s="44" t="s">
        <v>90</v>
      </c>
      <c r="E14" s="44" t="s">
        <v>347</v>
      </c>
      <c r="F14" s="48">
        <f>10.7639*((0.2+0.3)*2.7)</f>
        <v>14.531265000000001</v>
      </c>
      <c r="G14" s="44">
        <v>78</v>
      </c>
      <c r="H14" s="46">
        <v>78</v>
      </c>
      <c r="I14" s="49">
        <f t="shared" si="0"/>
        <v>0</v>
      </c>
      <c r="J14" s="46">
        <v>0.17100000000000001</v>
      </c>
      <c r="K14" s="46" t="str">
        <f t="shared" si="5"/>
        <v>↑</v>
      </c>
      <c r="L14" s="50">
        <f t="shared" si="1"/>
        <v>0</v>
      </c>
      <c r="M14" s="44"/>
      <c r="N14" s="50">
        <f t="shared" si="2"/>
        <v>0</v>
      </c>
      <c r="O14" s="46">
        <v>70</v>
      </c>
      <c r="P14" s="46">
        <v>70</v>
      </c>
      <c r="Q14" s="49">
        <f t="shared" si="3"/>
        <v>0</v>
      </c>
      <c r="R14" s="46"/>
      <c r="S14" s="46"/>
      <c r="T14" s="51">
        <f t="shared" si="4"/>
        <v>0</v>
      </c>
    </row>
    <row r="15" spans="1:20" x14ac:dyDescent="0.3">
      <c r="A15" s="53" t="s">
        <v>190</v>
      </c>
      <c r="B15" s="44">
        <v>1</v>
      </c>
      <c r="C15" s="47" t="s">
        <v>175</v>
      </c>
      <c r="D15" s="44" t="s">
        <v>90</v>
      </c>
      <c r="E15" s="44"/>
      <c r="F15" s="48">
        <f>10.7639*(0.39)</f>
        <v>4.197921</v>
      </c>
      <c r="G15" s="44">
        <v>78</v>
      </c>
      <c r="H15" s="46">
        <v>85</v>
      </c>
      <c r="I15" s="49">
        <f t="shared" si="0"/>
        <v>7</v>
      </c>
      <c r="J15" s="46">
        <v>0.17100000000000001</v>
      </c>
      <c r="K15" s="46" t="str">
        <f t="shared" si="5"/>
        <v>↑</v>
      </c>
      <c r="L15" s="50">
        <f t="shared" si="1"/>
        <v>5.0249114370000001</v>
      </c>
      <c r="M15" s="44"/>
      <c r="N15" s="50">
        <f t="shared" si="2"/>
        <v>5.0249114370000001</v>
      </c>
      <c r="O15" s="46">
        <v>70</v>
      </c>
      <c r="P15" s="46">
        <v>70</v>
      </c>
      <c r="Q15" s="49">
        <f t="shared" si="3"/>
        <v>0</v>
      </c>
      <c r="R15" s="46"/>
      <c r="S15" s="46"/>
      <c r="T15" s="51">
        <f t="shared" si="4"/>
        <v>0</v>
      </c>
    </row>
    <row r="16" spans="1:20" x14ac:dyDescent="0.3">
      <c r="A16" s="53" t="s">
        <v>261</v>
      </c>
      <c r="B16" s="44">
        <v>2</v>
      </c>
      <c r="C16" s="47" t="s">
        <v>175</v>
      </c>
      <c r="D16" s="44" t="s">
        <v>106</v>
      </c>
      <c r="E16" s="44"/>
      <c r="F16" s="48">
        <f>10.7639*(12.47)</f>
        <v>134.22583299999999</v>
      </c>
      <c r="G16" s="44">
        <v>78</v>
      </c>
      <c r="H16" s="46">
        <v>78</v>
      </c>
      <c r="I16" s="49">
        <f t="shared" si="0"/>
        <v>0</v>
      </c>
      <c r="J16" s="46">
        <v>0.14399999999999999</v>
      </c>
      <c r="K16" s="46" t="str">
        <f>_xlfn.UNICHAR(8595)</f>
        <v>↓</v>
      </c>
      <c r="L16" s="50">
        <f t="shared" si="1"/>
        <v>0</v>
      </c>
      <c r="M16" s="44"/>
      <c r="N16" s="50">
        <f t="shared" si="2"/>
        <v>0</v>
      </c>
      <c r="O16" s="46">
        <v>70</v>
      </c>
      <c r="P16" s="46">
        <v>70</v>
      </c>
      <c r="Q16" s="49">
        <f t="shared" si="3"/>
        <v>0</v>
      </c>
      <c r="R16" s="46"/>
      <c r="S16" s="46"/>
      <c r="T16" s="51">
        <f t="shared" si="4"/>
        <v>0</v>
      </c>
    </row>
    <row r="17" spans="1:20" x14ac:dyDescent="0.3">
      <c r="A17" s="53"/>
      <c r="B17" s="44"/>
      <c r="C17" s="47"/>
      <c r="D17" s="44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4"/>
      <c r="S17" s="44"/>
      <c r="T17" s="51"/>
    </row>
    <row r="18" spans="1:20" x14ac:dyDescent="0.3">
      <c r="C18" s="47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4"/>
      <c r="S18" s="44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404.64632394900002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298</v>
      </c>
      <c r="B20" s="44"/>
      <c r="C20" s="44"/>
      <c r="D20" s="44"/>
      <c r="E20" s="44"/>
      <c r="F20" s="46">
        <f>(10.7639 * (0.6*0.5))*1</f>
        <v>3.2291699999999999</v>
      </c>
      <c r="G20" s="44"/>
      <c r="H20" s="44"/>
      <c r="I20" s="44"/>
      <c r="J20" s="44"/>
      <c r="K20" s="44"/>
      <c r="L20" s="46">
        <f>F20*160</f>
        <v>516.66719999999998</v>
      </c>
      <c r="M20" s="44"/>
      <c r="N20" s="50">
        <f>L20+M20</f>
        <v>516.66719999999998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(12.47)</f>
        <v>134.22583299999999</v>
      </c>
      <c r="G21" s="44"/>
      <c r="H21" s="44"/>
      <c r="I21" s="44"/>
      <c r="J21" s="44"/>
      <c r="K21" s="44"/>
      <c r="L21" s="44">
        <f>4*F21</f>
        <v>536.90333199999998</v>
      </c>
      <c r="M21" s="44"/>
      <c r="N21" s="50">
        <f>L21+M21</f>
        <v>536.90333199999998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2258.2168559490001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2258.2168559490001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134.22583299999999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1189.008401237244</v>
      </c>
      <c r="G37" s="44" t="s">
        <v>124</v>
      </c>
    </row>
    <row r="38" spans="1:20" x14ac:dyDescent="0.3">
      <c r="E38" s="44" t="s">
        <v>125</v>
      </c>
      <c r="F38" s="56">
        <f>F37/30</f>
        <v>39.6336133745748</v>
      </c>
      <c r="G38" s="44" t="s">
        <v>126</v>
      </c>
    </row>
    <row r="39" spans="1:20" x14ac:dyDescent="0.3">
      <c r="E39" s="44" t="s">
        <v>127</v>
      </c>
      <c r="F39" s="50">
        <f>SUM($L$5:$L$28)</f>
        <v>1773.2168559490001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2258.2168559490001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65.674698368481486</v>
      </c>
      <c r="G43" s="44" t="s">
        <v>126</v>
      </c>
    </row>
    <row r="44" spans="1:20" x14ac:dyDescent="0.3">
      <c r="E44" s="44" t="s">
        <v>126</v>
      </c>
      <c r="F44" s="57">
        <f>ROUNDUP(F43,0)</f>
        <v>66</v>
      </c>
      <c r="G44" s="44" t="s">
        <v>126</v>
      </c>
    </row>
    <row r="45" spans="1:20" x14ac:dyDescent="0.3">
      <c r="E45" s="44" t="s">
        <v>133</v>
      </c>
      <c r="F45" s="50">
        <f>F44*0.0002930711</f>
        <v>1.9342692599999999E-2</v>
      </c>
      <c r="G45" s="44" t="s">
        <v>134</v>
      </c>
    </row>
    <row r="46" spans="1:20" x14ac:dyDescent="0.3">
      <c r="E46" s="44" t="s">
        <v>135</v>
      </c>
      <c r="F46" s="50">
        <f>F39/F41</f>
        <v>0.78522877520716139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F0"/>
  </sheetPr>
  <dimension ref="A1:T254"/>
  <sheetViews>
    <sheetView zoomScale="95" zoomScaleNormal="95" workbookViewId="0">
      <selection activeCell="C3" sqref="C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348</v>
      </c>
      <c r="B2" s="11"/>
      <c r="C2" s="11">
        <v>6008</v>
      </c>
      <c r="D2" s="11"/>
      <c r="E2" s="43" t="s">
        <v>311</v>
      </c>
      <c r="F2" s="43" t="s">
        <v>349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190</v>
      </c>
      <c r="B5" s="46">
        <v>6</v>
      </c>
      <c r="C5" s="67" t="s">
        <v>175</v>
      </c>
      <c r="D5" s="46" t="s">
        <v>99</v>
      </c>
      <c r="E5" s="46" t="s">
        <v>350</v>
      </c>
      <c r="F5" s="48">
        <f>10.7639 *(5.6*2.7)</f>
        <v>162.75016799999997</v>
      </c>
      <c r="G5" s="44">
        <v>78</v>
      </c>
      <c r="H5" s="46">
        <v>110</v>
      </c>
      <c r="I5" s="49">
        <f t="shared" ref="I5:I16" si="0">H5-G5</f>
        <v>32</v>
      </c>
      <c r="J5" s="46">
        <v>0.158</v>
      </c>
      <c r="K5" s="46" t="str">
        <f t="shared" ref="K5:K11" si="1">_xlfn.UNICHAR(8596)</f>
        <v>↔</v>
      </c>
      <c r="L5" s="50">
        <f t="shared" ref="L5:L16" si="2">F5*I5*J5</f>
        <v>822.86484940799983</v>
      </c>
      <c r="M5" s="49"/>
      <c r="N5" s="50">
        <f t="shared" ref="N5:N16" si="3">L5+M5</f>
        <v>822.86484940799983</v>
      </c>
      <c r="O5" s="46">
        <v>70</v>
      </c>
      <c r="P5" s="46">
        <v>70</v>
      </c>
      <c r="Q5" s="49">
        <f t="shared" ref="Q5:Q16" si="4">O5-P5</f>
        <v>0</v>
      </c>
      <c r="R5" s="46"/>
      <c r="S5" s="46"/>
      <c r="T5" s="51">
        <f t="shared" ref="T5:T16" si="5">F5*Q5*R5</f>
        <v>0</v>
      </c>
    </row>
    <row r="6" spans="1:20" x14ac:dyDescent="0.3">
      <c r="A6" s="45" t="s">
        <v>108</v>
      </c>
      <c r="B6" s="46">
        <v>3</v>
      </c>
      <c r="C6" s="47" t="s">
        <v>205</v>
      </c>
      <c r="D6" s="46" t="s">
        <v>99</v>
      </c>
      <c r="E6" s="46" t="s">
        <v>319</v>
      </c>
      <c r="F6" s="48">
        <f>10.7639 *(1.5*2.7)</f>
        <v>43.593795000000007</v>
      </c>
      <c r="G6" s="44">
        <v>78</v>
      </c>
      <c r="H6" s="46">
        <v>95</v>
      </c>
      <c r="I6" s="49">
        <f t="shared" si="0"/>
        <v>17</v>
      </c>
      <c r="J6" s="46">
        <v>7.2999999999999995E-2</v>
      </c>
      <c r="K6" s="46" t="str">
        <f t="shared" si="1"/>
        <v>↔</v>
      </c>
      <c r="L6" s="50">
        <f t="shared" si="2"/>
        <v>54.099899595000004</v>
      </c>
      <c r="M6" s="49"/>
      <c r="N6" s="50">
        <f t="shared" si="3"/>
        <v>54.099899595000004</v>
      </c>
      <c r="O6" s="46">
        <v>70</v>
      </c>
      <c r="P6" s="46">
        <v>70</v>
      </c>
      <c r="Q6" s="49">
        <f t="shared" si="4"/>
        <v>0</v>
      </c>
      <c r="R6" s="46"/>
      <c r="S6" s="46"/>
      <c r="T6" s="50">
        <f t="shared" si="5"/>
        <v>0</v>
      </c>
    </row>
    <row r="7" spans="1:20" x14ac:dyDescent="0.3">
      <c r="A7" s="45" t="s">
        <v>244</v>
      </c>
      <c r="B7" s="46">
        <v>6</v>
      </c>
      <c r="C7" s="67" t="s">
        <v>175</v>
      </c>
      <c r="D7" s="46" t="s">
        <v>99</v>
      </c>
      <c r="E7" s="46" t="s">
        <v>351</v>
      </c>
      <c r="F7" s="48">
        <f>10.7639 *((1.6 + 2.4)*2.7)</f>
        <v>116.25012000000001</v>
      </c>
      <c r="G7" s="44">
        <v>78</v>
      </c>
      <c r="H7" s="46">
        <v>110</v>
      </c>
      <c r="I7" s="49">
        <f t="shared" si="0"/>
        <v>32</v>
      </c>
      <c r="J7" s="46">
        <v>0.158</v>
      </c>
      <c r="K7" s="46" t="str">
        <f t="shared" si="1"/>
        <v>↔</v>
      </c>
      <c r="L7" s="50">
        <f t="shared" si="2"/>
        <v>587.76060672000006</v>
      </c>
      <c r="M7" s="49"/>
      <c r="N7" s="50">
        <f t="shared" si="3"/>
        <v>587.76060672000006</v>
      </c>
      <c r="O7" s="46">
        <v>70</v>
      </c>
      <c r="P7" s="46">
        <v>70</v>
      </c>
      <c r="Q7" s="49">
        <f t="shared" si="4"/>
        <v>0</v>
      </c>
      <c r="R7" s="46"/>
      <c r="S7" s="46"/>
      <c r="T7" s="51">
        <f t="shared" si="5"/>
        <v>0</v>
      </c>
    </row>
    <row r="8" spans="1:20" x14ac:dyDescent="0.3">
      <c r="A8" s="45" t="s">
        <v>210</v>
      </c>
      <c r="B8" s="46">
        <v>6</v>
      </c>
      <c r="C8" s="67" t="s">
        <v>175</v>
      </c>
      <c r="D8" s="46" t="s">
        <v>99</v>
      </c>
      <c r="E8" s="46" t="s">
        <v>352</v>
      </c>
      <c r="F8" s="48">
        <f>10.7639 * (2.1*2.7)</f>
        <v>61.031313000000004</v>
      </c>
      <c r="G8" s="44">
        <v>78</v>
      </c>
      <c r="H8" s="46">
        <v>105</v>
      </c>
      <c r="I8" s="49">
        <f t="shared" si="0"/>
        <v>27</v>
      </c>
      <c r="J8" s="46">
        <v>0.158</v>
      </c>
      <c r="K8" s="46" t="str">
        <f t="shared" si="1"/>
        <v>↔</v>
      </c>
      <c r="L8" s="50">
        <f t="shared" si="2"/>
        <v>260.35958125800005</v>
      </c>
      <c r="M8" s="49"/>
      <c r="N8" s="50">
        <f t="shared" si="3"/>
        <v>260.35958125800005</v>
      </c>
      <c r="O8" s="46">
        <v>70</v>
      </c>
      <c r="P8" s="46">
        <v>70</v>
      </c>
      <c r="Q8" s="49">
        <f t="shared" si="4"/>
        <v>0</v>
      </c>
      <c r="R8" s="46"/>
      <c r="S8" s="46"/>
      <c r="T8" s="51">
        <f t="shared" si="5"/>
        <v>0</v>
      </c>
    </row>
    <row r="9" spans="1:20" x14ac:dyDescent="0.3">
      <c r="A9" s="45" t="s">
        <v>340</v>
      </c>
      <c r="B9" s="46">
        <v>6</v>
      </c>
      <c r="C9" s="67" t="s">
        <v>175</v>
      </c>
      <c r="D9" s="46" t="s">
        <v>99</v>
      </c>
      <c r="E9" s="46" t="s">
        <v>246</v>
      </c>
      <c r="F9" s="48">
        <f>10.7639 * (1*2.7)</f>
        <v>29.062530000000002</v>
      </c>
      <c r="G9" s="44">
        <v>78</v>
      </c>
      <c r="H9" s="46">
        <v>120</v>
      </c>
      <c r="I9" s="49">
        <f t="shared" si="0"/>
        <v>42</v>
      </c>
      <c r="J9" s="46">
        <v>0.158</v>
      </c>
      <c r="K9" s="46" t="str">
        <f t="shared" si="1"/>
        <v>↔</v>
      </c>
      <c r="L9" s="50">
        <f t="shared" si="2"/>
        <v>192.85894908</v>
      </c>
      <c r="M9" s="49"/>
      <c r="N9" s="50">
        <f t="shared" si="3"/>
        <v>192.85894908</v>
      </c>
      <c r="O9" s="46">
        <v>70</v>
      </c>
      <c r="P9" s="46">
        <v>70</v>
      </c>
      <c r="Q9" s="49">
        <f t="shared" si="4"/>
        <v>0</v>
      </c>
      <c r="R9" s="46"/>
      <c r="S9" s="46"/>
      <c r="T9" s="51">
        <f t="shared" si="5"/>
        <v>0</v>
      </c>
    </row>
    <row r="10" spans="1:20" x14ac:dyDescent="0.3">
      <c r="A10" s="45" t="s">
        <v>353</v>
      </c>
      <c r="B10" s="46">
        <v>6</v>
      </c>
      <c r="C10" s="67" t="s">
        <v>175</v>
      </c>
      <c r="D10" s="46" t="s">
        <v>99</v>
      </c>
      <c r="E10" s="46" t="s">
        <v>314</v>
      </c>
      <c r="F10" s="48">
        <f>10.7639 * (1.7*2.7)</f>
        <v>49.406300999999999</v>
      </c>
      <c r="G10" s="44">
        <v>78</v>
      </c>
      <c r="H10" s="46">
        <v>78</v>
      </c>
      <c r="I10" s="49">
        <f t="shared" si="0"/>
        <v>0</v>
      </c>
      <c r="J10" s="46">
        <v>0.158</v>
      </c>
      <c r="K10" s="46" t="str">
        <f t="shared" si="1"/>
        <v>↔</v>
      </c>
      <c r="L10" s="50">
        <f t="shared" si="2"/>
        <v>0</v>
      </c>
      <c r="M10" s="44"/>
      <c r="N10" s="50">
        <f t="shared" si="3"/>
        <v>0</v>
      </c>
      <c r="O10" s="46">
        <v>70</v>
      </c>
      <c r="P10" s="46">
        <v>70</v>
      </c>
      <c r="Q10" s="49">
        <f t="shared" si="4"/>
        <v>0</v>
      </c>
      <c r="R10" s="46"/>
      <c r="S10" s="46"/>
      <c r="T10" s="51">
        <f t="shared" si="5"/>
        <v>0</v>
      </c>
    </row>
    <row r="11" spans="1:20" x14ac:dyDescent="0.3">
      <c r="A11" s="45" t="s">
        <v>354</v>
      </c>
      <c r="B11" s="46">
        <v>6</v>
      </c>
      <c r="C11" s="67" t="s">
        <v>175</v>
      </c>
      <c r="D11" s="46" t="s">
        <v>99</v>
      </c>
      <c r="E11" s="46" t="s">
        <v>319</v>
      </c>
      <c r="F11" s="48">
        <f>10.7639 * (1.5*2.7)</f>
        <v>43.593795000000007</v>
      </c>
      <c r="G11" s="44">
        <v>78</v>
      </c>
      <c r="H11" s="46">
        <v>110</v>
      </c>
      <c r="I11" s="49">
        <f t="shared" si="0"/>
        <v>32</v>
      </c>
      <c r="J11" s="46">
        <v>0.158</v>
      </c>
      <c r="K11" s="46" t="str">
        <f t="shared" si="1"/>
        <v>↔</v>
      </c>
      <c r="L11" s="50">
        <f t="shared" si="2"/>
        <v>220.41022752000003</v>
      </c>
      <c r="M11" s="44"/>
      <c r="N11" s="50">
        <f t="shared" si="3"/>
        <v>220.41022752000003</v>
      </c>
      <c r="O11" s="46">
        <v>70</v>
      </c>
      <c r="P11" s="46">
        <v>70</v>
      </c>
      <c r="Q11" s="49">
        <f t="shared" si="4"/>
        <v>0</v>
      </c>
      <c r="R11" s="46"/>
      <c r="S11" s="46"/>
      <c r="T11" s="51">
        <f t="shared" si="5"/>
        <v>0</v>
      </c>
    </row>
    <row r="12" spans="1:20" x14ac:dyDescent="0.3">
      <c r="A12" s="45" t="s">
        <v>355</v>
      </c>
      <c r="B12" s="46">
        <v>1</v>
      </c>
      <c r="C12" s="67" t="s">
        <v>175</v>
      </c>
      <c r="D12" s="46" t="s">
        <v>90</v>
      </c>
      <c r="E12" s="44"/>
      <c r="F12" s="48">
        <f>10.7639 * (3.72)</f>
        <v>40.041708</v>
      </c>
      <c r="G12" s="44">
        <v>78</v>
      </c>
      <c r="H12" s="46">
        <v>78</v>
      </c>
      <c r="I12" s="49">
        <f t="shared" si="0"/>
        <v>0</v>
      </c>
      <c r="J12" s="46">
        <v>0.17100000000000001</v>
      </c>
      <c r="K12" s="46" t="str">
        <f>_xlfn.UNICHAR(8593)</f>
        <v>↑</v>
      </c>
      <c r="L12" s="50">
        <f t="shared" si="2"/>
        <v>0</v>
      </c>
      <c r="M12" s="44"/>
      <c r="N12" s="50">
        <f t="shared" si="3"/>
        <v>0</v>
      </c>
      <c r="O12" s="46">
        <v>70</v>
      </c>
      <c r="P12" s="46">
        <v>70</v>
      </c>
      <c r="Q12" s="49">
        <f t="shared" si="4"/>
        <v>0</v>
      </c>
      <c r="R12" s="46"/>
      <c r="S12" s="46"/>
      <c r="T12" s="51">
        <f t="shared" si="5"/>
        <v>0</v>
      </c>
    </row>
    <row r="13" spans="1:20" x14ac:dyDescent="0.3">
      <c r="A13" s="45" t="s">
        <v>356</v>
      </c>
      <c r="B13" s="46">
        <v>1</v>
      </c>
      <c r="C13" s="67" t="s">
        <v>175</v>
      </c>
      <c r="D13" s="46" t="s">
        <v>90</v>
      </c>
      <c r="E13" s="44"/>
      <c r="F13" s="48">
        <f>10.7639 * (6.08)</f>
        <v>65.444512000000003</v>
      </c>
      <c r="G13" s="44">
        <v>78</v>
      </c>
      <c r="H13" s="46">
        <v>78</v>
      </c>
      <c r="I13" s="49">
        <f t="shared" si="0"/>
        <v>0</v>
      </c>
      <c r="J13" s="46">
        <v>0.17100000000000001</v>
      </c>
      <c r="K13" s="46" t="str">
        <f>_xlfn.UNICHAR(8593)</f>
        <v>↑</v>
      </c>
      <c r="L13" s="50">
        <f t="shared" si="2"/>
        <v>0</v>
      </c>
      <c r="M13" s="44"/>
      <c r="N13" s="50">
        <f t="shared" si="3"/>
        <v>0</v>
      </c>
      <c r="O13" s="46">
        <v>70</v>
      </c>
      <c r="P13" s="46">
        <v>70</v>
      </c>
      <c r="Q13" s="49">
        <f t="shared" si="4"/>
        <v>0</v>
      </c>
      <c r="R13" s="46"/>
      <c r="S13" s="46"/>
      <c r="T13" s="51">
        <f t="shared" si="5"/>
        <v>0</v>
      </c>
    </row>
    <row r="14" spans="1:20" x14ac:dyDescent="0.3">
      <c r="A14" s="45" t="s">
        <v>357</v>
      </c>
      <c r="B14" s="46">
        <v>1</v>
      </c>
      <c r="C14" s="67" t="s">
        <v>175</v>
      </c>
      <c r="D14" s="46" t="s">
        <v>90</v>
      </c>
      <c r="E14" s="44"/>
      <c r="F14" s="48">
        <f>10.7639*(2.4)</f>
        <v>25.833359999999999</v>
      </c>
      <c r="G14" s="44">
        <v>78</v>
      </c>
      <c r="H14" s="46">
        <v>110</v>
      </c>
      <c r="I14" s="49">
        <f t="shared" si="0"/>
        <v>32</v>
      </c>
      <c r="J14" s="46">
        <v>0.17100000000000001</v>
      </c>
      <c r="K14" s="46" t="str">
        <f>_xlfn.UNICHAR(8593)</f>
        <v>↑</v>
      </c>
      <c r="L14" s="50">
        <f t="shared" si="2"/>
        <v>141.36014592000001</v>
      </c>
      <c r="M14" s="44"/>
      <c r="N14" s="50">
        <f t="shared" si="3"/>
        <v>141.36014592000001</v>
      </c>
      <c r="O14" s="46">
        <v>70</v>
      </c>
      <c r="P14" s="46">
        <v>70</v>
      </c>
      <c r="Q14" s="49">
        <f t="shared" si="4"/>
        <v>0</v>
      </c>
      <c r="R14" s="46"/>
      <c r="S14" s="46"/>
      <c r="T14" s="51">
        <f t="shared" si="5"/>
        <v>0</v>
      </c>
    </row>
    <row r="15" spans="1:20" x14ac:dyDescent="0.3">
      <c r="A15" s="45" t="s">
        <v>340</v>
      </c>
      <c r="B15" s="46">
        <v>1</v>
      </c>
      <c r="C15" s="67" t="s">
        <v>175</v>
      </c>
      <c r="D15" s="46" t="s">
        <v>90</v>
      </c>
      <c r="E15" s="44"/>
      <c r="F15" s="48">
        <f>10.7639*(1.32)</f>
        <v>14.208348000000001</v>
      </c>
      <c r="G15" s="44">
        <v>78</v>
      </c>
      <c r="H15" s="46">
        <v>120</v>
      </c>
      <c r="I15" s="49">
        <f t="shared" si="0"/>
        <v>42</v>
      </c>
      <c r="J15" s="46">
        <v>0.17100000000000001</v>
      </c>
      <c r="K15" s="46" t="str">
        <f>_xlfn.UNICHAR(8593)</f>
        <v>↑</v>
      </c>
      <c r="L15" s="50">
        <f t="shared" si="2"/>
        <v>102.04435533600001</v>
      </c>
      <c r="M15" s="44"/>
      <c r="N15" s="50">
        <f t="shared" si="3"/>
        <v>102.04435533600001</v>
      </c>
      <c r="O15" s="46">
        <v>70</v>
      </c>
      <c r="P15" s="46">
        <v>70</v>
      </c>
      <c r="Q15" s="49">
        <f t="shared" si="4"/>
        <v>0</v>
      </c>
      <c r="R15" s="46"/>
      <c r="S15" s="46"/>
      <c r="T15" s="51">
        <f t="shared" si="5"/>
        <v>0</v>
      </c>
    </row>
    <row r="16" spans="1:20" x14ac:dyDescent="0.3">
      <c r="A16" s="45" t="s">
        <v>237</v>
      </c>
      <c r="B16" s="46">
        <v>2</v>
      </c>
      <c r="C16" s="67" t="s">
        <v>175</v>
      </c>
      <c r="D16" s="46" t="s">
        <v>106</v>
      </c>
      <c r="E16" s="44"/>
      <c r="F16" s="48">
        <f>10.7639*(12.47)</f>
        <v>134.22583299999999</v>
      </c>
      <c r="G16" s="44">
        <v>78</v>
      </c>
      <c r="H16" s="46">
        <v>78</v>
      </c>
      <c r="I16" s="49">
        <f t="shared" si="0"/>
        <v>0</v>
      </c>
      <c r="J16" s="46">
        <v>0.14399999999999999</v>
      </c>
      <c r="K16" s="46" t="str">
        <f>_xlfn.UNICHAR(8595)</f>
        <v>↓</v>
      </c>
      <c r="L16" s="50">
        <f t="shared" si="2"/>
        <v>0</v>
      </c>
      <c r="M16" s="44"/>
      <c r="N16" s="50">
        <f t="shared" si="3"/>
        <v>0</v>
      </c>
      <c r="O16" s="46">
        <v>70</v>
      </c>
      <c r="P16" s="46">
        <v>70</v>
      </c>
      <c r="Q16" s="49">
        <f t="shared" si="4"/>
        <v>0</v>
      </c>
      <c r="R16" s="46"/>
      <c r="S16" s="46"/>
      <c r="T16" s="51">
        <f t="shared" si="5"/>
        <v>0</v>
      </c>
    </row>
    <row r="17" spans="1:20" x14ac:dyDescent="0.3">
      <c r="A17" s="53"/>
      <c r="B17" s="44"/>
      <c r="C17" s="47"/>
      <c r="D17" s="44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4"/>
      <c r="S17" s="44"/>
      <c r="T17" s="51"/>
    </row>
    <row r="18" spans="1:20" x14ac:dyDescent="0.3">
      <c r="C18" s="47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4"/>
      <c r="S18" s="44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2381.7586148370001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298</v>
      </c>
      <c r="B20" s="44"/>
      <c r="C20" s="44"/>
      <c r="D20" s="44"/>
      <c r="E20" s="44"/>
      <c r="F20" s="46">
        <f>(10.7639 * (0.6*0.5))*1</f>
        <v>3.2291699999999999</v>
      </c>
      <c r="G20" s="44"/>
      <c r="H20" s="44"/>
      <c r="I20" s="44"/>
      <c r="J20" s="44"/>
      <c r="K20" s="44"/>
      <c r="L20" s="46">
        <f>F20*160</f>
        <v>516.66719999999998</v>
      </c>
      <c r="M20" s="44"/>
      <c r="N20" s="50">
        <f>L20+M20</f>
        <v>516.66719999999998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(13.52)</f>
        <v>145.527928</v>
      </c>
      <c r="G21" s="44"/>
      <c r="H21" s="44"/>
      <c r="I21" s="44"/>
      <c r="J21" s="44"/>
      <c r="K21" s="44"/>
      <c r="L21" s="46">
        <f>8*F21</f>
        <v>1164.223424</v>
      </c>
      <c r="M21" s="44"/>
      <c r="N21" s="50">
        <f>L21+M21</f>
        <v>1164.223424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6*315</f>
        <v>1890</v>
      </c>
      <c r="M26" s="46">
        <f>6*485</f>
        <v>2910</v>
      </c>
      <c r="N26" s="51">
        <f>L26+M26</f>
        <v>4800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8862.6492388369988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8862.6492388369988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145.527928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1289.1253877087042</v>
      </c>
      <c r="G37" s="44" t="s">
        <v>124</v>
      </c>
    </row>
    <row r="38" spans="1:20" x14ac:dyDescent="0.3">
      <c r="E38" s="44" t="s">
        <v>125</v>
      </c>
      <c r="F38" s="56">
        <f>F37/30</f>
        <v>42.970846256956811</v>
      </c>
      <c r="G38" s="44" t="s">
        <v>126</v>
      </c>
    </row>
    <row r="39" spans="1:20" x14ac:dyDescent="0.3">
      <c r="E39" s="44" t="s">
        <v>127</v>
      </c>
      <c r="F39" s="50">
        <f>SUM($L$5:$L$28)</f>
        <v>5952.6492388369998</v>
      </c>
      <c r="G39" s="44" t="s">
        <v>128</v>
      </c>
    </row>
    <row r="40" spans="1:20" x14ac:dyDescent="0.3">
      <c r="E40" s="44" t="s">
        <v>129</v>
      </c>
      <c r="F40" s="49">
        <f>SUM($M$5:$M$28)</f>
        <v>2910</v>
      </c>
      <c r="G40" s="44" t="s">
        <v>128</v>
      </c>
    </row>
    <row r="41" spans="1:20" x14ac:dyDescent="0.3">
      <c r="E41" s="44" t="s">
        <v>130</v>
      </c>
      <c r="F41" s="50">
        <f>$N$29</f>
        <v>8862.6492388369988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220.46849032729628</v>
      </c>
      <c r="G43" s="44" t="s">
        <v>126</v>
      </c>
    </row>
    <row r="44" spans="1:20" x14ac:dyDescent="0.3">
      <c r="E44" s="44" t="s">
        <v>126</v>
      </c>
      <c r="F44" s="57">
        <f>ROUNDUP(F43,0)</f>
        <v>221</v>
      </c>
      <c r="G44" s="44" t="s">
        <v>126</v>
      </c>
    </row>
    <row r="45" spans="1:20" x14ac:dyDescent="0.3">
      <c r="E45" s="44" t="s">
        <v>133</v>
      </c>
      <c r="F45" s="50">
        <f>F44*0.0002930711</f>
        <v>6.47687131E-2</v>
      </c>
      <c r="G45" s="44" t="s">
        <v>134</v>
      </c>
    </row>
    <row r="46" spans="1:20" x14ac:dyDescent="0.3">
      <c r="E46" s="44" t="s">
        <v>135</v>
      </c>
      <c r="F46" s="50">
        <f>F39/F41</f>
        <v>0.67165574067310552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F0"/>
  </sheetPr>
  <dimension ref="A1:T254"/>
  <sheetViews>
    <sheetView zoomScale="95" zoomScaleNormal="95" workbookViewId="0">
      <selection activeCell="C3" sqref="C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245</v>
      </c>
      <c r="B2" s="11"/>
      <c r="C2" s="11">
        <v>6009</v>
      </c>
      <c r="D2" s="11"/>
      <c r="E2" s="43" t="s">
        <v>311</v>
      </c>
      <c r="F2" s="43" t="s">
        <v>358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190</v>
      </c>
      <c r="B5" s="46">
        <v>6</v>
      </c>
      <c r="C5" s="67" t="s">
        <v>104</v>
      </c>
      <c r="D5" s="46" t="s">
        <v>99</v>
      </c>
      <c r="E5" s="46" t="s">
        <v>359</v>
      </c>
      <c r="F5" s="48">
        <f>10.7639 *(1.1*2.7)</f>
        <v>31.968783000000006</v>
      </c>
      <c r="G5" s="44">
        <v>78</v>
      </c>
      <c r="H5" s="46">
        <v>80</v>
      </c>
      <c r="I5" s="49">
        <f t="shared" ref="I5:I18" si="0">H5-G5</f>
        <v>2</v>
      </c>
      <c r="J5" s="46">
        <v>0.313</v>
      </c>
      <c r="K5" s="46" t="str">
        <f t="shared" ref="K5:K11" si="1">_xlfn.UNICHAR(8596)</f>
        <v>↔</v>
      </c>
      <c r="L5" s="50">
        <f t="shared" ref="L5:L18" si="2">F5*I5*J5</f>
        <v>20.012458158000005</v>
      </c>
      <c r="M5" s="49"/>
      <c r="N5" s="50">
        <f t="shared" ref="N5:N18" si="3">L5+M5</f>
        <v>20.012458158000005</v>
      </c>
      <c r="O5" s="46">
        <v>70</v>
      </c>
      <c r="P5" s="46">
        <v>70</v>
      </c>
      <c r="Q5" s="49">
        <f t="shared" ref="Q5:Q18" si="4">O5-P5</f>
        <v>0</v>
      </c>
      <c r="R5" s="46"/>
      <c r="S5" s="46"/>
      <c r="T5" s="51">
        <f t="shared" ref="T5:T18" si="5">F5*Q5*R5</f>
        <v>0</v>
      </c>
    </row>
    <row r="6" spans="1:20" x14ac:dyDescent="0.3">
      <c r="A6" s="53" t="s">
        <v>305</v>
      </c>
      <c r="B6" s="46">
        <v>6</v>
      </c>
      <c r="C6" s="67" t="s">
        <v>104</v>
      </c>
      <c r="D6" s="46" t="s">
        <v>99</v>
      </c>
      <c r="E6" s="44" t="s">
        <v>319</v>
      </c>
      <c r="F6" s="54">
        <f>10.7639 *(1.5*2.7)</f>
        <v>43.593795000000007</v>
      </c>
      <c r="G6" s="44">
        <v>78</v>
      </c>
      <c r="H6" s="46">
        <v>78</v>
      </c>
      <c r="I6" s="49">
        <f t="shared" si="0"/>
        <v>0</v>
      </c>
      <c r="J6" s="46">
        <v>0.313</v>
      </c>
      <c r="K6" s="46" t="str">
        <f t="shared" si="1"/>
        <v>↔</v>
      </c>
      <c r="L6" s="50">
        <f t="shared" si="2"/>
        <v>0</v>
      </c>
      <c r="M6" s="49"/>
      <c r="N6" s="50">
        <f t="shared" si="3"/>
        <v>0</v>
      </c>
      <c r="O6" s="46">
        <v>70</v>
      </c>
      <c r="P6" s="46">
        <v>70</v>
      </c>
      <c r="Q6" s="49">
        <f t="shared" si="4"/>
        <v>0</v>
      </c>
      <c r="R6" s="46"/>
      <c r="S6" s="46"/>
      <c r="T6" s="50">
        <f t="shared" si="5"/>
        <v>0</v>
      </c>
    </row>
    <row r="7" spans="1:20" x14ac:dyDescent="0.3">
      <c r="A7" s="53" t="s">
        <v>354</v>
      </c>
      <c r="B7" s="46">
        <v>6</v>
      </c>
      <c r="C7" s="67" t="s">
        <v>104</v>
      </c>
      <c r="D7" s="46" t="s">
        <v>99</v>
      </c>
      <c r="E7" s="44" t="s">
        <v>351</v>
      </c>
      <c r="F7" s="54">
        <f>10.7639 *((1.6 + 2.4)*2.7)</f>
        <v>116.25012000000001</v>
      </c>
      <c r="G7" s="44">
        <v>78</v>
      </c>
      <c r="H7" s="46">
        <v>78</v>
      </c>
      <c r="I7" s="49">
        <f t="shared" si="0"/>
        <v>0</v>
      </c>
      <c r="J7" s="46">
        <v>0.313</v>
      </c>
      <c r="K7" s="46" t="str">
        <f t="shared" si="1"/>
        <v>↔</v>
      </c>
      <c r="L7" s="50">
        <f t="shared" si="2"/>
        <v>0</v>
      </c>
      <c r="M7" s="49"/>
      <c r="N7" s="50">
        <f t="shared" si="3"/>
        <v>0</v>
      </c>
      <c r="O7" s="46">
        <v>70</v>
      </c>
      <c r="P7" s="46">
        <v>70</v>
      </c>
      <c r="Q7" s="49">
        <f t="shared" si="4"/>
        <v>0</v>
      </c>
      <c r="R7" s="46"/>
      <c r="S7" s="46"/>
      <c r="T7" s="51">
        <f t="shared" si="5"/>
        <v>0</v>
      </c>
    </row>
    <row r="8" spans="1:20" x14ac:dyDescent="0.3">
      <c r="A8" s="53" t="s">
        <v>244</v>
      </c>
      <c r="B8" s="46">
        <v>6</v>
      </c>
      <c r="C8" s="67" t="s">
        <v>175</v>
      </c>
      <c r="D8" s="46" t="s">
        <v>99</v>
      </c>
      <c r="E8" s="46" t="s">
        <v>360</v>
      </c>
      <c r="F8" s="48">
        <f>10.7639 * (3.9*2.7)</f>
        <v>113.343867</v>
      </c>
      <c r="G8" s="44">
        <v>78</v>
      </c>
      <c r="H8" s="46">
        <v>110</v>
      </c>
      <c r="I8" s="49">
        <f t="shared" si="0"/>
        <v>32</v>
      </c>
      <c r="J8" s="46">
        <v>0.158</v>
      </c>
      <c r="K8" s="46" t="str">
        <f t="shared" si="1"/>
        <v>↔</v>
      </c>
      <c r="L8" s="50">
        <f t="shared" si="2"/>
        <v>573.06659155199998</v>
      </c>
      <c r="M8" s="49"/>
      <c r="N8" s="50">
        <f t="shared" si="3"/>
        <v>573.06659155199998</v>
      </c>
      <c r="O8" s="46">
        <v>70</v>
      </c>
      <c r="P8" s="46">
        <v>70</v>
      </c>
      <c r="Q8" s="49">
        <f t="shared" si="4"/>
        <v>0</v>
      </c>
      <c r="R8" s="46"/>
      <c r="S8" s="46"/>
      <c r="T8" s="51">
        <f t="shared" si="5"/>
        <v>0</v>
      </c>
    </row>
    <row r="9" spans="1:20" x14ac:dyDescent="0.3">
      <c r="A9" s="53" t="s">
        <v>340</v>
      </c>
      <c r="B9" s="46">
        <v>6</v>
      </c>
      <c r="C9" s="67" t="s">
        <v>175</v>
      </c>
      <c r="D9" s="46" t="s">
        <v>99</v>
      </c>
      <c r="E9" s="46" t="s">
        <v>361</v>
      </c>
      <c r="F9" s="48">
        <f>10.7639 * (0.1*2.7)</f>
        <v>2.906253</v>
      </c>
      <c r="G9" s="44">
        <v>78</v>
      </c>
      <c r="H9" s="46">
        <v>120</v>
      </c>
      <c r="I9" s="49">
        <f t="shared" si="0"/>
        <v>42</v>
      </c>
      <c r="J9" s="46">
        <v>0.158</v>
      </c>
      <c r="K9" s="46" t="str">
        <f t="shared" si="1"/>
        <v>↔</v>
      </c>
      <c r="L9" s="50">
        <f t="shared" si="2"/>
        <v>19.285894908</v>
      </c>
      <c r="M9" s="49"/>
      <c r="N9" s="50">
        <f t="shared" si="3"/>
        <v>19.285894908</v>
      </c>
      <c r="O9" s="46">
        <v>70</v>
      </c>
      <c r="P9" s="46">
        <v>70</v>
      </c>
      <c r="Q9" s="49">
        <f t="shared" si="4"/>
        <v>0</v>
      </c>
      <c r="R9" s="46"/>
      <c r="S9" s="46"/>
      <c r="T9" s="51">
        <f t="shared" si="5"/>
        <v>0</v>
      </c>
    </row>
    <row r="10" spans="1:20" x14ac:dyDescent="0.3">
      <c r="A10" s="53" t="s">
        <v>306</v>
      </c>
      <c r="B10" s="46">
        <v>6</v>
      </c>
      <c r="C10" s="67" t="s">
        <v>104</v>
      </c>
      <c r="D10" s="46" t="s">
        <v>99</v>
      </c>
      <c r="E10" s="46" t="s">
        <v>319</v>
      </c>
      <c r="F10" s="48">
        <f>10.7639 * (1.5*2.7)</f>
        <v>43.593795000000007</v>
      </c>
      <c r="G10" s="44">
        <v>78</v>
      </c>
      <c r="H10" s="46">
        <v>85</v>
      </c>
      <c r="I10" s="49">
        <f t="shared" si="0"/>
        <v>7</v>
      </c>
      <c r="J10" s="46">
        <v>0.313</v>
      </c>
      <c r="K10" s="46" t="str">
        <f t="shared" si="1"/>
        <v>↔</v>
      </c>
      <c r="L10" s="50">
        <f t="shared" si="2"/>
        <v>95.514004845000017</v>
      </c>
      <c r="M10" s="44"/>
      <c r="N10" s="50">
        <f t="shared" si="3"/>
        <v>95.514004845000017</v>
      </c>
      <c r="O10" s="46">
        <v>70</v>
      </c>
      <c r="P10" s="46">
        <v>70</v>
      </c>
      <c r="Q10" s="49">
        <f t="shared" si="4"/>
        <v>0</v>
      </c>
      <c r="R10" s="46"/>
      <c r="S10" s="46"/>
      <c r="T10" s="51">
        <f t="shared" si="5"/>
        <v>0</v>
      </c>
    </row>
    <row r="11" spans="1:20" x14ac:dyDescent="0.3">
      <c r="A11" s="53" t="s">
        <v>348</v>
      </c>
      <c r="B11" s="46">
        <v>6</v>
      </c>
      <c r="C11" s="67" t="s">
        <v>175</v>
      </c>
      <c r="D11" s="46" t="s">
        <v>99</v>
      </c>
      <c r="E11" s="46" t="s">
        <v>314</v>
      </c>
      <c r="F11" s="48">
        <f>10.7639 * (1.7*2.7)</f>
        <v>49.406300999999999</v>
      </c>
      <c r="G11" s="44">
        <v>78</v>
      </c>
      <c r="H11" s="46">
        <v>78</v>
      </c>
      <c r="I11" s="49">
        <f t="shared" si="0"/>
        <v>0</v>
      </c>
      <c r="J11" s="46">
        <v>0.158</v>
      </c>
      <c r="K11" s="46" t="str">
        <f t="shared" si="1"/>
        <v>↔</v>
      </c>
      <c r="L11" s="50">
        <f t="shared" si="2"/>
        <v>0</v>
      </c>
      <c r="M11" s="44"/>
      <c r="N11" s="50">
        <f t="shared" si="3"/>
        <v>0</v>
      </c>
      <c r="O11" s="46">
        <v>70</v>
      </c>
      <c r="P11" s="46">
        <v>70</v>
      </c>
      <c r="Q11" s="49">
        <f t="shared" si="4"/>
        <v>0</v>
      </c>
      <c r="R11" s="46"/>
      <c r="S11" s="46"/>
      <c r="T11" s="51">
        <f t="shared" si="5"/>
        <v>0</v>
      </c>
    </row>
    <row r="12" spans="1:20" x14ac:dyDescent="0.3">
      <c r="A12" s="53" t="s">
        <v>362</v>
      </c>
      <c r="B12" s="46">
        <v>1</v>
      </c>
      <c r="C12" s="67" t="s">
        <v>175</v>
      </c>
      <c r="D12" s="46" t="s">
        <v>90</v>
      </c>
      <c r="E12" s="44"/>
      <c r="F12" s="48">
        <f>10.7639 * (4.68)</f>
        <v>50.375051999999997</v>
      </c>
      <c r="G12" s="44">
        <v>78</v>
      </c>
      <c r="H12" s="46">
        <v>78</v>
      </c>
      <c r="I12" s="49">
        <f t="shared" si="0"/>
        <v>0</v>
      </c>
      <c r="J12" s="46">
        <v>0.17100000000000001</v>
      </c>
      <c r="K12" s="46" t="str">
        <f>_xlfn.UNICHAR(8593)</f>
        <v>↑</v>
      </c>
      <c r="L12" s="50">
        <f t="shared" si="2"/>
        <v>0</v>
      </c>
      <c r="M12" s="44"/>
      <c r="N12" s="50">
        <f t="shared" si="3"/>
        <v>0</v>
      </c>
      <c r="O12" s="46">
        <v>70</v>
      </c>
      <c r="P12" s="46">
        <v>70</v>
      </c>
      <c r="Q12" s="49">
        <f t="shared" si="4"/>
        <v>0</v>
      </c>
      <c r="R12" s="46"/>
      <c r="S12" s="46"/>
      <c r="T12" s="51">
        <f t="shared" si="5"/>
        <v>0</v>
      </c>
    </row>
    <row r="13" spans="1:20" x14ac:dyDescent="0.3">
      <c r="A13" s="53" t="s">
        <v>363</v>
      </c>
      <c r="B13" s="46">
        <v>1</v>
      </c>
      <c r="C13" s="67" t="s">
        <v>175</v>
      </c>
      <c r="D13" s="46" t="s">
        <v>90</v>
      </c>
      <c r="E13" s="44"/>
      <c r="F13" s="48">
        <f>10.7639 * (9.87)</f>
        <v>106.23969299999999</v>
      </c>
      <c r="G13" s="44">
        <v>78</v>
      </c>
      <c r="H13" s="46">
        <v>78</v>
      </c>
      <c r="I13" s="49">
        <f t="shared" si="0"/>
        <v>0</v>
      </c>
      <c r="J13" s="46">
        <v>0.17100000000000001</v>
      </c>
      <c r="K13" s="46" t="str">
        <f>_xlfn.UNICHAR(8593)</f>
        <v>↑</v>
      </c>
      <c r="L13" s="50">
        <f t="shared" si="2"/>
        <v>0</v>
      </c>
      <c r="M13" s="44"/>
      <c r="N13" s="50">
        <f t="shared" si="3"/>
        <v>0</v>
      </c>
      <c r="O13" s="46">
        <v>70</v>
      </c>
      <c r="P13" s="46">
        <v>70</v>
      </c>
      <c r="Q13" s="49">
        <f t="shared" si="4"/>
        <v>0</v>
      </c>
      <c r="R13" s="46"/>
      <c r="S13" s="46"/>
      <c r="T13" s="51">
        <f t="shared" si="5"/>
        <v>0</v>
      </c>
    </row>
    <row r="14" spans="1:20" x14ac:dyDescent="0.3">
      <c r="A14" s="53" t="s">
        <v>364</v>
      </c>
      <c r="B14" s="46">
        <v>1</v>
      </c>
      <c r="C14" s="67" t="s">
        <v>175</v>
      </c>
      <c r="D14" s="46" t="s">
        <v>90</v>
      </c>
      <c r="E14" s="44"/>
      <c r="F14" s="48">
        <f>10.7639*(0.48)</f>
        <v>5.1666719999999993</v>
      </c>
      <c r="G14" s="44">
        <v>78</v>
      </c>
      <c r="H14" s="46">
        <v>85</v>
      </c>
      <c r="I14" s="49">
        <f t="shared" si="0"/>
        <v>7</v>
      </c>
      <c r="J14" s="46">
        <v>0.17100000000000001</v>
      </c>
      <c r="K14" s="46" t="str">
        <f>_xlfn.UNICHAR(8593)</f>
        <v>↑</v>
      </c>
      <c r="L14" s="50">
        <f t="shared" si="2"/>
        <v>6.1845063839999996</v>
      </c>
      <c r="M14" s="44"/>
      <c r="N14" s="50">
        <f t="shared" si="3"/>
        <v>6.1845063839999996</v>
      </c>
      <c r="O14" s="46">
        <v>70</v>
      </c>
      <c r="P14" s="46">
        <v>70</v>
      </c>
      <c r="Q14" s="49">
        <f t="shared" si="4"/>
        <v>0</v>
      </c>
      <c r="R14" s="46"/>
      <c r="S14" s="46"/>
      <c r="T14" s="51">
        <f t="shared" si="5"/>
        <v>0</v>
      </c>
    </row>
    <row r="15" spans="1:20" x14ac:dyDescent="0.3">
      <c r="A15" s="53" t="s">
        <v>190</v>
      </c>
      <c r="B15" s="46">
        <v>1</v>
      </c>
      <c r="C15" s="67" t="s">
        <v>175</v>
      </c>
      <c r="D15" s="46" t="s">
        <v>90</v>
      </c>
      <c r="E15" s="44"/>
      <c r="F15" s="48">
        <f>10.7639*(2.16)</f>
        <v>23.250024</v>
      </c>
      <c r="G15" s="44">
        <v>78</v>
      </c>
      <c r="H15" s="46">
        <v>80</v>
      </c>
      <c r="I15" s="49">
        <f t="shared" si="0"/>
        <v>2</v>
      </c>
      <c r="J15" s="46">
        <v>0.17100000000000001</v>
      </c>
      <c r="K15" s="46" t="str">
        <f>_xlfn.UNICHAR(8593)</f>
        <v>↑</v>
      </c>
      <c r="L15" s="50">
        <f t="shared" si="2"/>
        <v>7.9515082080000008</v>
      </c>
      <c r="M15" s="44"/>
      <c r="N15" s="50">
        <f t="shared" si="3"/>
        <v>7.9515082080000008</v>
      </c>
      <c r="O15" s="46">
        <v>70</v>
      </c>
      <c r="P15" s="46">
        <v>70</v>
      </c>
      <c r="Q15" s="49">
        <f t="shared" si="4"/>
        <v>0</v>
      </c>
      <c r="R15" s="46"/>
      <c r="S15" s="46"/>
      <c r="T15" s="51">
        <f t="shared" si="5"/>
        <v>0</v>
      </c>
    </row>
    <row r="16" spans="1:20" x14ac:dyDescent="0.3">
      <c r="A16" s="53" t="s">
        <v>229</v>
      </c>
      <c r="B16" s="46">
        <v>2</v>
      </c>
      <c r="C16" s="67" t="s">
        <v>175</v>
      </c>
      <c r="D16" s="46" t="s">
        <v>106</v>
      </c>
      <c r="E16" s="44"/>
      <c r="F16" s="48">
        <f>10.7639*(15.23)</f>
        <v>163.93419700000001</v>
      </c>
      <c r="G16" s="44">
        <v>78</v>
      </c>
      <c r="H16" s="46">
        <v>78</v>
      </c>
      <c r="I16" s="49">
        <f t="shared" si="0"/>
        <v>0</v>
      </c>
      <c r="J16" s="46">
        <v>0.14399999999999999</v>
      </c>
      <c r="K16" s="46" t="str">
        <f>_xlfn.UNICHAR(8595)</f>
        <v>↓</v>
      </c>
      <c r="L16" s="50">
        <f t="shared" si="2"/>
        <v>0</v>
      </c>
      <c r="M16" s="44"/>
      <c r="N16" s="50">
        <f t="shared" si="3"/>
        <v>0</v>
      </c>
      <c r="O16" s="46">
        <v>70</v>
      </c>
      <c r="P16" s="46">
        <v>70</v>
      </c>
      <c r="Q16" s="49">
        <f t="shared" si="4"/>
        <v>0</v>
      </c>
      <c r="R16" s="46"/>
      <c r="S16" s="46"/>
      <c r="T16" s="51">
        <f t="shared" si="5"/>
        <v>0</v>
      </c>
    </row>
    <row r="17" spans="1:20" x14ac:dyDescent="0.3">
      <c r="A17" s="53" t="s">
        <v>210</v>
      </c>
      <c r="B17" s="46">
        <v>2</v>
      </c>
      <c r="C17" s="67" t="s">
        <v>175</v>
      </c>
      <c r="D17" s="46" t="s">
        <v>106</v>
      </c>
      <c r="E17" s="44"/>
      <c r="F17" s="48">
        <f>10.7639*(1.96)</f>
        <v>21.097244</v>
      </c>
      <c r="G17" s="44">
        <v>78</v>
      </c>
      <c r="H17" s="46">
        <v>80</v>
      </c>
      <c r="I17" s="49">
        <f t="shared" si="0"/>
        <v>2</v>
      </c>
      <c r="J17" s="46">
        <v>0.14399999999999999</v>
      </c>
      <c r="K17" s="46" t="str">
        <f>_xlfn.UNICHAR(8595)</f>
        <v>↓</v>
      </c>
      <c r="L17" s="50">
        <f t="shared" si="2"/>
        <v>6.0760062719999999</v>
      </c>
      <c r="M17" s="44"/>
      <c r="N17" s="50">
        <f t="shared" si="3"/>
        <v>6.0760062719999999</v>
      </c>
      <c r="O17" s="46">
        <v>70</v>
      </c>
      <c r="P17" s="46">
        <v>70</v>
      </c>
      <c r="Q17" s="49">
        <f t="shared" si="4"/>
        <v>0</v>
      </c>
      <c r="R17" s="46"/>
      <c r="S17" s="46"/>
      <c r="T17" s="51">
        <f t="shared" si="5"/>
        <v>0</v>
      </c>
    </row>
    <row r="18" spans="1:20" x14ac:dyDescent="0.3">
      <c r="A18" s="39" t="s">
        <v>108</v>
      </c>
      <c r="B18" s="68">
        <v>3</v>
      </c>
      <c r="C18" s="47" t="s">
        <v>205</v>
      </c>
      <c r="D18" s="68" t="s">
        <v>99</v>
      </c>
      <c r="E18" s="46" t="s">
        <v>365</v>
      </c>
      <c r="F18" s="48">
        <f>10.7639*(3.3*2.7)</f>
        <v>95.906348999999992</v>
      </c>
      <c r="G18" s="44">
        <v>78</v>
      </c>
      <c r="H18" s="46">
        <v>95</v>
      </c>
      <c r="I18" s="49">
        <f t="shared" si="0"/>
        <v>17</v>
      </c>
      <c r="J18" s="46">
        <v>7.2999999999999995E-2</v>
      </c>
      <c r="K18" s="46" t="str">
        <f>_xlfn.UNICHAR(8596)</f>
        <v>↔</v>
      </c>
      <c r="L18" s="50">
        <f t="shared" si="2"/>
        <v>119.01977910899998</v>
      </c>
      <c r="M18" s="44"/>
      <c r="N18" s="50">
        <f t="shared" si="3"/>
        <v>119.01977910899998</v>
      </c>
      <c r="O18" s="46">
        <v>70</v>
      </c>
      <c r="P18" s="46">
        <v>70</v>
      </c>
      <c r="Q18" s="49">
        <f t="shared" si="4"/>
        <v>0</v>
      </c>
      <c r="R18" s="46"/>
      <c r="S18" s="46"/>
      <c r="T18" s="51">
        <f t="shared" si="5"/>
        <v>0</v>
      </c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847.11074943599988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298</v>
      </c>
      <c r="B20" s="44"/>
      <c r="C20" s="44"/>
      <c r="D20" s="44"/>
      <c r="E20" s="44"/>
      <c r="F20" s="46">
        <f>(10.7639 * (0.6*0.5))*1</f>
        <v>3.2291699999999999</v>
      </c>
      <c r="G20" s="44"/>
      <c r="H20" s="44"/>
      <c r="I20" s="44"/>
      <c r="J20" s="44"/>
      <c r="K20" s="44"/>
      <c r="L20" s="46">
        <f>F20*160</f>
        <v>516.66719999999998</v>
      </c>
      <c r="M20" s="44"/>
      <c r="N20" s="50">
        <f>L20+M20</f>
        <v>516.66719999999998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(17.19)</f>
        <v>185.031441</v>
      </c>
      <c r="G21" s="44"/>
      <c r="H21" s="44"/>
      <c r="I21" s="44"/>
      <c r="J21" s="44"/>
      <c r="K21" s="44"/>
      <c r="L21" s="46">
        <f>8*F21</f>
        <v>1480.251528</v>
      </c>
      <c r="M21" s="44"/>
      <c r="N21" s="50">
        <f>L21+M21</f>
        <v>1480.251528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3644.029477436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3644.029477436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185.031441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1639.0580928041882</v>
      </c>
      <c r="G37" s="44" t="s">
        <v>124</v>
      </c>
    </row>
    <row r="38" spans="1:20" x14ac:dyDescent="0.3">
      <c r="E38" s="44" t="s">
        <v>125</v>
      </c>
      <c r="F38" s="56">
        <f>F37/30</f>
        <v>54.635269760139607</v>
      </c>
      <c r="G38" s="44" t="s">
        <v>126</v>
      </c>
    </row>
    <row r="39" spans="1:20" x14ac:dyDescent="0.3">
      <c r="E39" s="44" t="s">
        <v>127</v>
      </c>
      <c r="F39" s="50">
        <f>SUM($L$5:$L$28)</f>
        <v>3159.029477436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3644.029477436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117.00109175688888</v>
      </c>
      <c r="G43" s="44" t="s">
        <v>126</v>
      </c>
    </row>
    <row r="44" spans="1:20" x14ac:dyDescent="0.3">
      <c r="E44" s="44" t="s">
        <v>126</v>
      </c>
      <c r="F44" s="57">
        <f>ROUNDUP(F43,0)</f>
        <v>118</v>
      </c>
      <c r="G44" s="44" t="s">
        <v>126</v>
      </c>
    </row>
    <row r="45" spans="1:20" x14ac:dyDescent="0.3">
      <c r="E45" s="44" t="s">
        <v>133</v>
      </c>
      <c r="F45" s="50">
        <f>F44*0.0002930711</f>
        <v>3.4582389799999995E-2</v>
      </c>
      <c r="G45" s="44" t="s">
        <v>134</v>
      </c>
    </row>
    <row r="46" spans="1:20" x14ac:dyDescent="0.3">
      <c r="E46" s="44" t="s">
        <v>135</v>
      </c>
      <c r="F46" s="50">
        <f>F39/F41</f>
        <v>0.86690557719054073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</sheetPr>
  <dimension ref="A1:T254"/>
  <sheetViews>
    <sheetView zoomScale="95" zoomScaleNormal="95" workbookViewId="0">
      <selection activeCell="C3" sqref="C3:C4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354</v>
      </c>
      <c r="B2" s="11"/>
      <c r="C2" s="11">
        <v>6010</v>
      </c>
      <c r="D2" s="11"/>
      <c r="E2" s="43" t="s">
        <v>311</v>
      </c>
      <c r="F2" s="43" t="s">
        <v>358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245</v>
      </c>
      <c r="B5" s="46">
        <v>6</v>
      </c>
      <c r="C5" s="67" t="s">
        <v>104</v>
      </c>
      <c r="D5" s="46" t="s">
        <v>99</v>
      </c>
      <c r="E5" s="46"/>
      <c r="F5" s="48"/>
      <c r="G5" s="44">
        <v>78</v>
      </c>
      <c r="H5" s="46">
        <v>78</v>
      </c>
      <c r="I5" s="49">
        <f t="shared" ref="I5:I11" si="0">H5-G5</f>
        <v>0</v>
      </c>
      <c r="J5" s="46">
        <v>0.313</v>
      </c>
      <c r="K5" s="46" t="str">
        <f>_xlfn.UNICHAR(8596)</f>
        <v>↔</v>
      </c>
      <c r="L5" s="50">
        <f t="shared" ref="L5:L11" si="1">F5*I5*J5</f>
        <v>0</v>
      </c>
      <c r="M5" s="49"/>
      <c r="N5" s="50">
        <f t="shared" ref="N5:N11" si="2">L5+M5</f>
        <v>0</v>
      </c>
      <c r="O5" s="46">
        <v>70</v>
      </c>
      <c r="P5" s="46">
        <v>70</v>
      </c>
      <c r="Q5" s="49">
        <f t="shared" ref="Q5:Q11" si="3">O5-P5</f>
        <v>0</v>
      </c>
      <c r="R5" s="46"/>
      <c r="S5" s="46"/>
      <c r="T5" s="51">
        <f t="shared" ref="T5:T11" si="4">F5*Q5*R5</f>
        <v>0</v>
      </c>
    </row>
    <row r="6" spans="1:20" x14ac:dyDescent="0.3">
      <c r="A6" s="53" t="s">
        <v>366</v>
      </c>
      <c r="B6" s="46">
        <v>6</v>
      </c>
      <c r="C6" s="67" t="s">
        <v>175</v>
      </c>
      <c r="D6" s="46" t="s">
        <v>99</v>
      </c>
      <c r="E6" s="44"/>
      <c r="F6" s="54"/>
      <c r="G6" s="44">
        <v>78</v>
      </c>
      <c r="H6" s="46">
        <v>78</v>
      </c>
      <c r="I6" s="49">
        <f t="shared" si="0"/>
        <v>0</v>
      </c>
      <c r="J6" s="46">
        <v>0.158</v>
      </c>
      <c r="K6" s="46" t="str">
        <f>_xlfn.UNICHAR(8596)</f>
        <v>↔</v>
      </c>
      <c r="L6" s="50">
        <f t="shared" si="1"/>
        <v>0</v>
      </c>
      <c r="M6" s="49"/>
      <c r="N6" s="50">
        <f t="shared" si="2"/>
        <v>0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244</v>
      </c>
      <c r="B7" s="46">
        <v>6</v>
      </c>
      <c r="C7" s="67" t="s">
        <v>175</v>
      </c>
      <c r="D7" s="46" t="s">
        <v>99</v>
      </c>
      <c r="E7" s="44" t="s">
        <v>303</v>
      </c>
      <c r="F7" s="54">
        <f>10.7639 *(2.4*2.7)</f>
        <v>69.750072000000003</v>
      </c>
      <c r="G7" s="44">
        <v>78</v>
      </c>
      <c r="H7" s="46">
        <v>110</v>
      </c>
      <c r="I7" s="49">
        <f t="shared" si="0"/>
        <v>32</v>
      </c>
      <c r="J7" s="46">
        <v>0.158</v>
      </c>
      <c r="K7" s="46" t="str">
        <f>_xlfn.UNICHAR(8596)</f>
        <v>↔</v>
      </c>
      <c r="L7" s="50">
        <f t="shared" si="1"/>
        <v>352.656364032</v>
      </c>
      <c r="M7" s="49"/>
      <c r="N7" s="50">
        <f t="shared" si="2"/>
        <v>352.656364032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363</v>
      </c>
      <c r="B8" s="46">
        <v>1</v>
      </c>
      <c r="C8" s="67" t="s">
        <v>175</v>
      </c>
      <c r="D8" s="46" t="s">
        <v>90</v>
      </c>
      <c r="E8" s="46"/>
      <c r="F8" s="48"/>
      <c r="G8" s="44">
        <v>78</v>
      </c>
      <c r="H8" s="46">
        <v>78</v>
      </c>
      <c r="I8" s="49">
        <f t="shared" si="0"/>
        <v>0</v>
      </c>
      <c r="J8" s="46">
        <v>0.17100000000000001</v>
      </c>
      <c r="K8" s="46" t="str">
        <f>_xlfn.UNICHAR(8593)</f>
        <v>↑</v>
      </c>
      <c r="L8" s="50">
        <f t="shared" si="1"/>
        <v>0</v>
      </c>
      <c r="M8" s="49"/>
      <c r="N8" s="50">
        <f t="shared" si="2"/>
        <v>0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362</v>
      </c>
      <c r="B9" s="46">
        <v>1</v>
      </c>
      <c r="C9" s="67" t="s">
        <v>175</v>
      </c>
      <c r="D9" s="46" t="s">
        <v>90</v>
      </c>
      <c r="E9" s="46" t="s">
        <v>361</v>
      </c>
      <c r="F9" s="48"/>
      <c r="G9" s="44">
        <v>78</v>
      </c>
      <c r="H9" s="46">
        <v>78</v>
      </c>
      <c r="I9" s="49">
        <f t="shared" si="0"/>
        <v>0</v>
      </c>
      <c r="J9" s="46">
        <v>0.17100000000000001</v>
      </c>
      <c r="K9" s="46" t="str">
        <f>_xlfn.UNICHAR(8593)</f>
        <v>↑</v>
      </c>
      <c r="L9" s="50">
        <f t="shared" si="1"/>
        <v>0</v>
      </c>
      <c r="M9" s="49"/>
      <c r="N9" s="50">
        <f t="shared" si="2"/>
        <v>0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367</v>
      </c>
      <c r="B10" s="46">
        <v>1</v>
      </c>
      <c r="C10" s="67" t="s">
        <v>175</v>
      </c>
      <c r="D10" s="46" t="s">
        <v>90</v>
      </c>
      <c r="E10" s="46"/>
      <c r="F10" s="48">
        <f>10.7639 * (1.7)</f>
        <v>18.298629999999999</v>
      </c>
      <c r="G10" s="44">
        <v>78</v>
      </c>
      <c r="H10" s="46">
        <v>80</v>
      </c>
      <c r="I10" s="49">
        <f t="shared" si="0"/>
        <v>2</v>
      </c>
      <c r="J10" s="46">
        <v>0.17100000000000001</v>
      </c>
      <c r="K10" s="46" t="str">
        <f>_xlfn.UNICHAR(8593)</f>
        <v>↑</v>
      </c>
      <c r="L10" s="50">
        <f t="shared" si="1"/>
        <v>6.2581314600000004</v>
      </c>
      <c r="M10" s="44"/>
      <c r="N10" s="50">
        <f t="shared" si="2"/>
        <v>6.2581314600000004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229</v>
      </c>
      <c r="B11" s="46">
        <v>2</v>
      </c>
      <c r="C11" s="67" t="s">
        <v>175</v>
      </c>
      <c r="D11" s="46" t="s">
        <v>106</v>
      </c>
      <c r="E11" s="46"/>
      <c r="F11" s="48"/>
      <c r="G11" s="44">
        <v>78</v>
      </c>
      <c r="H11" s="46">
        <v>78</v>
      </c>
      <c r="I11" s="49">
        <f t="shared" si="0"/>
        <v>0</v>
      </c>
      <c r="J11" s="46">
        <v>0.14399999999999999</v>
      </c>
      <c r="K11" s="46" t="str">
        <f>_xlfn.UNICHAR(8595)</f>
        <v>↓</v>
      </c>
      <c r="L11" s="50">
        <f t="shared" si="1"/>
        <v>0</v>
      </c>
      <c r="M11" s="44"/>
      <c r="N11" s="50">
        <f t="shared" si="2"/>
        <v>0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/>
      <c r="B12" s="46"/>
      <c r="C12" s="67"/>
      <c r="D12" s="46"/>
      <c r="E12" s="44"/>
      <c r="F12" s="48"/>
      <c r="G12" s="44"/>
      <c r="H12" s="46"/>
      <c r="I12" s="49"/>
      <c r="J12" s="46"/>
      <c r="K12" s="46"/>
      <c r="L12" s="50"/>
      <c r="M12" s="44"/>
      <c r="N12" s="50"/>
      <c r="O12" s="46"/>
      <c r="P12" s="46"/>
      <c r="Q12" s="49"/>
      <c r="R12" s="46"/>
      <c r="S12" s="46"/>
      <c r="T12" s="51"/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358.91449549200001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298</v>
      </c>
      <c r="B20" s="44"/>
      <c r="C20" s="44"/>
      <c r="D20" s="44"/>
      <c r="E20" s="44"/>
      <c r="F20" s="46">
        <f>(10.7639 * (0.6*0.5))*1</f>
        <v>3.2291699999999999</v>
      </c>
      <c r="G20" s="44"/>
      <c r="H20" s="44"/>
      <c r="I20" s="44"/>
      <c r="J20" s="44"/>
      <c r="K20" s="44"/>
      <c r="L20" s="46">
        <f>F20*160</f>
        <v>516.66719999999998</v>
      </c>
      <c r="M20" s="44"/>
      <c r="N20" s="50">
        <f>L20+M20</f>
        <v>516.66719999999998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(3.6)</f>
        <v>38.750039999999998</v>
      </c>
      <c r="G21" s="44"/>
      <c r="H21" s="44"/>
      <c r="I21" s="44"/>
      <c r="J21" s="44"/>
      <c r="K21" s="44"/>
      <c r="L21" s="46">
        <f>8*F21</f>
        <v>310.00031999999999</v>
      </c>
      <c r="M21" s="44"/>
      <c r="N21" s="50">
        <f>L21+M21</f>
        <v>310.00031999999999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1985.582015492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1985.582015492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38.750039999999998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343.25823933072002</v>
      </c>
      <c r="G37" s="44" t="s">
        <v>124</v>
      </c>
    </row>
    <row r="38" spans="1:20" x14ac:dyDescent="0.3">
      <c r="E38" s="44" t="s">
        <v>125</v>
      </c>
      <c r="F38" s="56">
        <f>F37/30</f>
        <v>11.441941311024001</v>
      </c>
      <c r="G38" s="44" t="s">
        <v>126</v>
      </c>
    </row>
    <row r="39" spans="1:20" x14ac:dyDescent="0.3">
      <c r="E39" s="44" t="s">
        <v>127</v>
      </c>
      <c r="F39" s="50">
        <f>SUM($L$5:$L$28)</f>
        <v>1500.582015492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1985.582015492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55.577111684888891</v>
      </c>
      <c r="G43" s="44" t="s">
        <v>126</v>
      </c>
    </row>
    <row r="44" spans="1:20" x14ac:dyDescent="0.3">
      <c r="E44" s="44" t="s">
        <v>126</v>
      </c>
      <c r="F44" s="57">
        <f>ROUNDUP(F43,0)</f>
        <v>56</v>
      </c>
      <c r="G44" s="44" t="s">
        <v>126</v>
      </c>
    </row>
    <row r="45" spans="1:20" x14ac:dyDescent="0.3">
      <c r="E45" s="44" t="s">
        <v>133</v>
      </c>
      <c r="F45" s="50">
        <f>F44*0.0002930711</f>
        <v>1.64119816E-2</v>
      </c>
      <c r="G45" s="44" t="s">
        <v>134</v>
      </c>
    </row>
    <row r="46" spans="1:20" x14ac:dyDescent="0.3">
      <c r="E46" s="44" t="s">
        <v>135</v>
      </c>
      <c r="F46" s="50">
        <f>F39/F41</f>
        <v>0.75573912524594278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</sheetPr>
  <dimension ref="A1:T254"/>
  <sheetViews>
    <sheetView zoomScale="95" zoomScaleNormal="95" workbookViewId="0">
      <selection activeCell="C16" sqref="C16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368</v>
      </c>
      <c r="B2" s="11"/>
      <c r="C2" s="11">
        <v>7001</v>
      </c>
      <c r="D2" s="11"/>
      <c r="E2" s="43" t="s">
        <v>369</v>
      </c>
      <c r="F2" s="43" t="s">
        <v>358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108</v>
      </c>
      <c r="B5" s="46">
        <v>3</v>
      </c>
      <c r="C5" s="67" t="s">
        <v>175</v>
      </c>
      <c r="D5" s="46" t="s">
        <v>99</v>
      </c>
      <c r="E5" s="46" t="s">
        <v>303</v>
      </c>
      <c r="F5" s="48">
        <f>10.7639 *(2.4*2.7)</f>
        <v>69.750072000000003</v>
      </c>
      <c r="G5" s="44">
        <v>78</v>
      </c>
      <c r="H5" s="46">
        <v>95</v>
      </c>
      <c r="I5" s="49">
        <f t="shared" ref="I5:I11" si="0">H5-G5</f>
        <v>17</v>
      </c>
      <c r="J5" s="46">
        <v>0.158</v>
      </c>
      <c r="K5" s="46" t="str">
        <f>_xlfn.UNICHAR(8596)</f>
        <v>↔</v>
      </c>
      <c r="L5" s="50">
        <f t="shared" ref="L5:L11" si="1">F5*I5*J5</f>
        <v>187.34869339200003</v>
      </c>
      <c r="M5" s="49"/>
      <c r="N5" s="50">
        <f t="shared" ref="N5:N11" si="2">L5+M5</f>
        <v>187.34869339200003</v>
      </c>
      <c r="O5" s="46">
        <v>70</v>
      </c>
      <c r="P5" s="46">
        <v>70</v>
      </c>
      <c r="Q5" s="49">
        <f t="shared" ref="Q5:Q11" si="3">O5-P5</f>
        <v>0</v>
      </c>
      <c r="R5" s="46"/>
      <c r="S5" s="46"/>
      <c r="T5" s="51">
        <f t="shared" ref="T5:T11" si="4">F5*Q5*R5</f>
        <v>0</v>
      </c>
    </row>
    <row r="6" spans="1:20" x14ac:dyDescent="0.3">
      <c r="A6" s="53" t="s">
        <v>108</v>
      </c>
      <c r="B6" s="46">
        <v>3</v>
      </c>
      <c r="C6" s="67" t="s">
        <v>175</v>
      </c>
      <c r="D6" s="46" t="s">
        <v>99</v>
      </c>
      <c r="E6" s="46" t="s">
        <v>303</v>
      </c>
      <c r="F6" s="48">
        <f>10.7639 *(2.4*2.7)</f>
        <v>69.750072000000003</v>
      </c>
      <c r="G6" s="44">
        <v>78</v>
      </c>
      <c r="H6" s="46">
        <v>95</v>
      </c>
      <c r="I6" s="49">
        <f t="shared" si="0"/>
        <v>17</v>
      </c>
      <c r="J6" s="46">
        <v>0.158</v>
      </c>
      <c r="K6" s="46" t="str">
        <f>_xlfn.UNICHAR(8596)</f>
        <v>↔</v>
      </c>
      <c r="L6" s="50">
        <f t="shared" si="1"/>
        <v>187.34869339200003</v>
      </c>
      <c r="M6" s="49"/>
      <c r="N6" s="50">
        <f t="shared" si="2"/>
        <v>187.34869339200003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108</v>
      </c>
      <c r="B7" s="46">
        <v>3</v>
      </c>
      <c r="C7" s="67" t="s">
        <v>175</v>
      </c>
      <c r="D7" s="46" t="s">
        <v>99</v>
      </c>
      <c r="E7" s="46" t="s">
        <v>303</v>
      </c>
      <c r="F7" s="48">
        <f>10.7639 *(2.4*2.7)</f>
        <v>69.750072000000003</v>
      </c>
      <c r="G7" s="44">
        <v>78</v>
      </c>
      <c r="H7" s="46">
        <v>95</v>
      </c>
      <c r="I7" s="49">
        <f t="shared" si="0"/>
        <v>17</v>
      </c>
      <c r="J7" s="46">
        <v>0.158</v>
      </c>
      <c r="K7" s="46" t="str">
        <f>_xlfn.UNICHAR(8596)</f>
        <v>↔</v>
      </c>
      <c r="L7" s="50">
        <f t="shared" si="1"/>
        <v>187.34869339200003</v>
      </c>
      <c r="M7" s="49"/>
      <c r="N7" s="50">
        <f t="shared" si="2"/>
        <v>187.34869339200003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357</v>
      </c>
      <c r="B8" s="46">
        <v>6</v>
      </c>
      <c r="C8" s="67" t="s">
        <v>175</v>
      </c>
      <c r="D8" s="46" t="s">
        <v>99</v>
      </c>
      <c r="E8" s="46" t="s">
        <v>370</v>
      </c>
      <c r="F8" s="48">
        <f>10.7639 *(2.8*2.7)</f>
        <v>81.375083999999987</v>
      </c>
      <c r="G8" s="44">
        <v>78</v>
      </c>
      <c r="H8" s="46">
        <v>110</v>
      </c>
      <c r="I8" s="49">
        <f t="shared" si="0"/>
        <v>32</v>
      </c>
      <c r="J8" s="46">
        <v>0.158</v>
      </c>
      <c r="K8" s="46" t="str">
        <f>_xlfn.UNICHAR(8596)</f>
        <v>↔</v>
      </c>
      <c r="L8" s="50">
        <f t="shared" si="1"/>
        <v>411.43242470399991</v>
      </c>
      <c r="M8" s="49"/>
      <c r="N8" s="50">
        <f t="shared" si="2"/>
        <v>411.43242470399991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340</v>
      </c>
      <c r="B9" s="46">
        <v>6</v>
      </c>
      <c r="C9" s="67" t="s">
        <v>175</v>
      </c>
      <c r="D9" s="46" t="s">
        <v>99</v>
      </c>
      <c r="E9" s="46" t="s">
        <v>371</v>
      </c>
      <c r="F9" s="48">
        <f>10.7639 *(0.4*2.7)</f>
        <v>11.625012</v>
      </c>
      <c r="G9" s="44">
        <v>78</v>
      </c>
      <c r="H9" s="46">
        <v>120</v>
      </c>
      <c r="I9" s="49">
        <f t="shared" si="0"/>
        <v>42</v>
      </c>
      <c r="J9" s="46">
        <v>0.158</v>
      </c>
      <c r="K9" s="46" t="str">
        <f>_xlfn.UNICHAR(8596)</f>
        <v>↔</v>
      </c>
      <c r="L9" s="50">
        <f t="shared" si="1"/>
        <v>77.143579631999998</v>
      </c>
      <c r="M9" s="49"/>
      <c r="N9" s="50">
        <f t="shared" si="2"/>
        <v>77.143579631999998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108</v>
      </c>
      <c r="B10" s="46">
        <v>1</v>
      </c>
      <c r="C10" s="67" t="s">
        <v>175</v>
      </c>
      <c r="D10" s="46" t="s">
        <v>90</v>
      </c>
      <c r="E10" s="46" t="s">
        <v>372</v>
      </c>
      <c r="F10" s="48">
        <f>10.7639 * (2.4*3.2)</f>
        <v>82.666751999999988</v>
      </c>
      <c r="G10" s="44">
        <v>78</v>
      </c>
      <c r="H10" s="46">
        <v>95</v>
      </c>
      <c r="I10" s="49">
        <f t="shared" si="0"/>
        <v>17</v>
      </c>
      <c r="J10" s="46">
        <v>0.17100000000000001</v>
      </c>
      <c r="K10" s="46" t="str">
        <f>_xlfn.UNICHAR(8593)</f>
        <v>↑</v>
      </c>
      <c r="L10" s="50">
        <f t="shared" si="1"/>
        <v>240.31224806399999</v>
      </c>
      <c r="M10" s="44"/>
      <c r="N10" s="50">
        <f t="shared" si="2"/>
        <v>240.31224806399999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373</v>
      </c>
      <c r="B11" s="46">
        <v>2</v>
      </c>
      <c r="C11" s="67" t="s">
        <v>175</v>
      </c>
      <c r="D11" s="46" t="s">
        <v>106</v>
      </c>
      <c r="E11" s="46" t="s">
        <v>372</v>
      </c>
      <c r="F11" s="48">
        <f>10.7639 *(2.4*3.2)</f>
        <v>82.666751999999988</v>
      </c>
      <c r="G11" s="44">
        <v>78</v>
      </c>
      <c r="H11" s="46">
        <v>95</v>
      </c>
      <c r="I11" s="49">
        <f t="shared" si="0"/>
        <v>17</v>
      </c>
      <c r="J11" s="46">
        <v>0.14399999999999999</v>
      </c>
      <c r="K11" s="46" t="str">
        <f>_xlfn.UNICHAR(8595)</f>
        <v>↓</v>
      </c>
      <c r="L11" s="50">
        <f t="shared" si="1"/>
        <v>202.36820889599997</v>
      </c>
      <c r="M11" s="44"/>
      <c r="N11" s="50">
        <f t="shared" si="2"/>
        <v>202.36820889599997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/>
      <c r="B12" s="44"/>
      <c r="C12" s="47"/>
      <c r="D12" s="44"/>
      <c r="E12" s="44"/>
      <c r="F12" s="54"/>
      <c r="G12" s="44"/>
      <c r="H12" s="44"/>
      <c r="I12" s="44"/>
      <c r="J12" s="44"/>
      <c r="K12" s="44"/>
      <c r="L12" s="54"/>
      <c r="M12" s="44"/>
      <c r="N12" s="54"/>
      <c r="O12" s="44"/>
      <c r="P12" s="44"/>
      <c r="Q12" s="44"/>
      <c r="R12" s="44"/>
      <c r="S12" s="44"/>
      <c r="T12" s="69"/>
    </row>
    <row r="13" spans="1:20" x14ac:dyDescent="0.3">
      <c r="A13" s="53"/>
      <c r="B13" s="44"/>
      <c r="C13" s="47"/>
      <c r="D13" s="44"/>
      <c r="E13" s="44"/>
      <c r="F13" s="54"/>
      <c r="G13" s="44"/>
      <c r="H13" s="44"/>
      <c r="I13" s="44"/>
      <c r="J13" s="44"/>
      <c r="K13" s="44"/>
      <c r="L13" s="54"/>
      <c r="M13" s="44"/>
      <c r="N13" s="54"/>
      <c r="O13" s="44"/>
      <c r="P13" s="44"/>
      <c r="Q13" s="44"/>
      <c r="R13" s="44"/>
      <c r="S13" s="44"/>
      <c r="T13" s="69"/>
    </row>
    <row r="14" spans="1:20" x14ac:dyDescent="0.3">
      <c r="A14" s="53"/>
      <c r="B14" s="44"/>
      <c r="C14" s="47"/>
      <c r="D14" s="44"/>
      <c r="E14" s="44"/>
      <c r="F14" s="54"/>
      <c r="G14" s="44"/>
      <c r="H14" s="44"/>
      <c r="I14" s="44"/>
      <c r="J14" s="44"/>
      <c r="K14" s="44"/>
      <c r="L14" s="54"/>
      <c r="M14" s="44"/>
      <c r="N14" s="54"/>
      <c r="O14" s="44"/>
      <c r="P14" s="44"/>
      <c r="Q14" s="44"/>
      <c r="R14" s="44"/>
      <c r="S14" s="44"/>
      <c r="T14" s="69"/>
    </row>
    <row r="15" spans="1:20" x14ac:dyDescent="0.3">
      <c r="A15" s="53"/>
      <c r="B15" s="44"/>
      <c r="C15" s="47"/>
      <c r="D15" s="44"/>
      <c r="E15" s="44"/>
      <c r="F15" s="54"/>
      <c r="G15" s="44"/>
      <c r="H15" s="44"/>
      <c r="I15" s="44"/>
      <c r="J15" s="44"/>
      <c r="K15" s="44"/>
      <c r="L15" s="54"/>
      <c r="M15" s="44"/>
      <c r="N15" s="54"/>
      <c r="O15" s="44"/>
      <c r="P15" s="44"/>
      <c r="Q15" s="44"/>
      <c r="R15" s="44"/>
      <c r="S15" s="44"/>
      <c r="T15" s="69"/>
    </row>
    <row r="16" spans="1:20" x14ac:dyDescent="0.3">
      <c r="A16" s="53"/>
      <c r="B16" s="44"/>
      <c r="C16" s="47"/>
      <c r="D16" s="44"/>
      <c r="E16" s="44"/>
      <c r="F16" s="54"/>
      <c r="G16" s="44"/>
      <c r="H16" s="44"/>
      <c r="I16" s="44"/>
      <c r="J16" s="44"/>
      <c r="K16" s="44"/>
      <c r="L16" s="54"/>
      <c r="M16" s="44"/>
      <c r="N16" s="54"/>
      <c r="O16" s="44"/>
      <c r="P16" s="44"/>
      <c r="Q16" s="44"/>
      <c r="R16" s="44"/>
      <c r="S16" s="44"/>
      <c r="T16" s="69"/>
    </row>
    <row r="17" spans="1:20" x14ac:dyDescent="0.3">
      <c r="A17" s="53"/>
      <c r="B17" s="44"/>
      <c r="C17" s="47"/>
      <c r="D17" s="44"/>
      <c r="E17" s="44"/>
      <c r="F17" s="54"/>
      <c r="G17" s="44"/>
      <c r="H17" s="44"/>
      <c r="I17" s="44"/>
      <c r="J17" s="44"/>
      <c r="K17" s="44"/>
      <c r="L17" s="54"/>
      <c r="M17" s="44"/>
      <c r="N17" s="54"/>
      <c r="O17" s="44"/>
      <c r="P17" s="44"/>
      <c r="Q17" s="44"/>
      <c r="R17" s="44"/>
      <c r="S17" s="44"/>
      <c r="T17" s="69"/>
    </row>
    <row r="18" spans="1:20" x14ac:dyDescent="0.3">
      <c r="C18" s="47"/>
      <c r="E18" s="44"/>
      <c r="F18" s="54"/>
      <c r="G18" s="44"/>
      <c r="H18" s="44"/>
      <c r="I18" s="44"/>
      <c r="J18" s="44"/>
      <c r="K18" s="44"/>
      <c r="L18" s="54"/>
      <c r="M18" s="44"/>
      <c r="N18" s="54"/>
      <c r="O18" s="44"/>
      <c r="P18" s="44"/>
      <c r="Q18" s="44"/>
      <c r="R18" s="44"/>
      <c r="S18" s="44"/>
      <c r="T18" s="69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1493.3025414719998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(0.6*0.5))*1</f>
        <v>3.2291699999999999</v>
      </c>
      <c r="G20" s="44"/>
      <c r="H20" s="44"/>
      <c r="I20" s="44"/>
      <c r="J20" s="44"/>
      <c r="K20" s="44"/>
      <c r="L20" s="46">
        <f>F20*160</f>
        <v>516.66719999999998</v>
      </c>
      <c r="M20" s="44"/>
      <c r="N20" s="50">
        <f>L20+M20</f>
        <v>516.66719999999998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(F11)</f>
        <v>889.81665185279985</v>
      </c>
      <c r="G21" s="44"/>
      <c r="H21" s="44"/>
      <c r="I21" s="44"/>
      <c r="J21" s="44"/>
      <c r="K21" s="44"/>
      <c r="L21" s="46">
        <f>4*F21</f>
        <v>3559.2666074111994</v>
      </c>
      <c r="M21" s="44"/>
      <c r="N21" s="50">
        <f>L21+M21</f>
        <v>3559.2666074111994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3*315</f>
        <v>945</v>
      </c>
      <c r="M26" s="46">
        <f>3*485</f>
        <v>1455</v>
      </c>
      <c r="N26" s="51">
        <f>L26+M26</f>
        <v>2400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7969.2363488831998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7969.2363488831998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889.81665185279985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7882.2343729747981</v>
      </c>
      <c r="G37" s="44" t="s">
        <v>124</v>
      </c>
    </row>
    <row r="38" spans="1:20" x14ac:dyDescent="0.3">
      <c r="E38" s="44" t="s">
        <v>125</v>
      </c>
      <c r="F38" s="56">
        <f>F37/30</f>
        <v>262.74114576582662</v>
      </c>
      <c r="G38" s="44" t="s">
        <v>126</v>
      </c>
    </row>
    <row r="39" spans="1:20" x14ac:dyDescent="0.3">
      <c r="E39" s="44" t="s">
        <v>127</v>
      </c>
      <c r="F39" s="50">
        <f>SUM($L$5:$L$28)</f>
        <v>6514.2363488831998</v>
      </c>
      <c r="G39" s="44" t="s">
        <v>128</v>
      </c>
    </row>
    <row r="40" spans="1:20" x14ac:dyDescent="0.3">
      <c r="E40" s="44" t="s">
        <v>129</v>
      </c>
      <c r="F40" s="49">
        <f>SUM($M$5:$M$28)</f>
        <v>1455</v>
      </c>
      <c r="G40" s="44" t="s">
        <v>128</v>
      </c>
    </row>
    <row r="41" spans="1:20" x14ac:dyDescent="0.3">
      <c r="E41" s="44" t="s">
        <v>130</v>
      </c>
      <c r="F41" s="50">
        <f>$N$29</f>
        <v>7969.2363488831998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241.26801292159999</v>
      </c>
      <c r="G43" s="44" t="s">
        <v>126</v>
      </c>
    </row>
    <row r="44" spans="1:20" x14ac:dyDescent="0.3">
      <c r="E44" s="44" t="s">
        <v>126</v>
      </c>
      <c r="F44" s="57">
        <f>ROUNDUP(F43,0)</f>
        <v>242</v>
      </c>
      <c r="G44" s="44" t="s">
        <v>126</v>
      </c>
    </row>
    <row r="45" spans="1:20" x14ac:dyDescent="0.3">
      <c r="E45" s="44" t="s">
        <v>133</v>
      </c>
      <c r="F45" s="50">
        <f>F44*0.0002930711</f>
        <v>7.0923206199999991E-2</v>
      </c>
      <c r="G45" s="44" t="s">
        <v>134</v>
      </c>
    </row>
    <row r="46" spans="1:20" x14ac:dyDescent="0.3">
      <c r="E46" s="44" t="s">
        <v>135</v>
      </c>
      <c r="F46" s="50">
        <f>F39/F41</f>
        <v>0.81742290775402815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5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</sheetPr>
  <dimension ref="A1:T254"/>
  <sheetViews>
    <sheetView zoomScale="95" zoomScaleNormal="95" workbookViewId="0"/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362</v>
      </c>
      <c r="B2" s="11"/>
      <c r="C2" s="11">
        <v>7002</v>
      </c>
      <c r="D2" s="11"/>
      <c r="E2" s="43" t="s">
        <v>369</v>
      </c>
      <c r="F2" s="43" t="s">
        <v>358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190</v>
      </c>
      <c r="B5" s="46">
        <v>6</v>
      </c>
      <c r="C5" s="67" t="s">
        <v>104</v>
      </c>
      <c r="D5" s="46" t="s">
        <v>99</v>
      </c>
      <c r="E5" s="46" t="s">
        <v>374</v>
      </c>
      <c r="F5" s="48">
        <f>10.7639 *(1.9*2.7)</f>
        <v>55.218806999999998</v>
      </c>
      <c r="G5" s="44">
        <v>78</v>
      </c>
      <c r="H5" s="46">
        <v>80</v>
      </c>
      <c r="I5" s="49">
        <f t="shared" ref="I5:I16" si="0">H5-G5</f>
        <v>2</v>
      </c>
      <c r="J5" s="46">
        <v>0.313</v>
      </c>
      <c r="K5" s="46" t="str">
        <f>_xlfn.UNICHAR(8596)</f>
        <v>↔</v>
      </c>
      <c r="L5" s="50">
        <f t="shared" ref="L5:L16" si="1">F5*I5*J5</f>
        <v>34.566973181999998</v>
      </c>
      <c r="M5" s="49"/>
      <c r="N5" s="50">
        <f t="shared" ref="N5:N16" si="2">L5+M5</f>
        <v>34.566973181999998</v>
      </c>
      <c r="O5" s="46">
        <v>70</v>
      </c>
      <c r="P5" s="46">
        <v>70</v>
      </c>
      <c r="Q5" s="49">
        <f t="shared" ref="Q5:Q16" si="3">O5-P5</f>
        <v>0</v>
      </c>
      <c r="R5" s="46"/>
      <c r="S5" s="46"/>
      <c r="T5" s="51">
        <f t="shared" ref="T5:T16" si="4">F5*Q5*R5</f>
        <v>0</v>
      </c>
    </row>
    <row r="6" spans="1:20" x14ac:dyDescent="0.3">
      <c r="A6" s="53" t="s">
        <v>108</v>
      </c>
      <c r="B6" s="46">
        <v>3</v>
      </c>
      <c r="C6" s="47" t="s">
        <v>205</v>
      </c>
      <c r="D6" s="46" t="s">
        <v>99</v>
      </c>
      <c r="E6" s="46" t="s">
        <v>375</v>
      </c>
      <c r="F6" s="48">
        <f>10.7639 *(3.6*2.7)</f>
        <v>104.625108</v>
      </c>
      <c r="G6" s="44">
        <v>78</v>
      </c>
      <c r="H6" s="46">
        <v>95</v>
      </c>
      <c r="I6" s="49">
        <f t="shared" si="0"/>
        <v>17</v>
      </c>
      <c r="J6" s="46">
        <v>0.158</v>
      </c>
      <c r="K6" s="46" t="str">
        <f>_xlfn.UNICHAR(8596)</f>
        <v>↔</v>
      </c>
      <c r="L6" s="50">
        <f t="shared" si="1"/>
        <v>281.02304008800002</v>
      </c>
      <c r="M6" s="49"/>
      <c r="N6" s="50">
        <f t="shared" si="2"/>
        <v>281.02304008800002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363</v>
      </c>
      <c r="B7" s="46">
        <v>6</v>
      </c>
      <c r="C7" s="67" t="s">
        <v>104</v>
      </c>
      <c r="D7" s="46" t="s">
        <v>99</v>
      </c>
      <c r="E7" s="46" t="s">
        <v>376</v>
      </c>
      <c r="F7" s="48">
        <f>10.7639 *(5.1*2.7)</f>
        <v>148.21890299999998</v>
      </c>
      <c r="G7" s="44">
        <v>78</v>
      </c>
      <c r="H7" s="46">
        <v>78</v>
      </c>
      <c r="I7" s="49">
        <f t="shared" si="0"/>
        <v>0</v>
      </c>
      <c r="J7" s="46">
        <v>0.313</v>
      </c>
      <c r="K7" s="46" t="str">
        <f>_xlfn.UNICHAR(8596)</f>
        <v>↔</v>
      </c>
      <c r="L7" s="50">
        <f t="shared" si="1"/>
        <v>0</v>
      </c>
      <c r="M7" s="49"/>
      <c r="N7" s="50">
        <f t="shared" si="2"/>
        <v>0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108</v>
      </c>
      <c r="B8" s="46">
        <v>3</v>
      </c>
      <c r="C8" s="47" t="s">
        <v>205</v>
      </c>
      <c r="D8" s="46" t="s">
        <v>99</v>
      </c>
      <c r="E8" s="46" t="s">
        <v>334</v>
      </c>
      <c r="F8" s="48">
        <f>10.7639 *(3.5*2.7)</f>
        <v>101.718855</v>
      </c>
      <c r="G8" s="44">
        <v>78</v>
      </c>
      <c r="H8" s="46">
        <v>95</v>
      </c>
      <c r="I8" s="49">
        <f t="shared" si="0"/>
        <v>17</v>
      </c>
      <c r="J8" s="46">
        <v>0.17100000000000001</v>
      </c>
      <c r="K8" s="46" t="str">
        <f>_xlfn.UNICHAR(8596)</f>
        <v>↔</v>
      </c>
      <c r="L8" s="50">
        <f t="shared" si="1"/>
        <v>295.69671148500004</v>
      </c>
      <c r="M8" s="49"/>
      <c r="N8" s="50">
        <f t="shared" si="2"/>
        <v>295.69671148500004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377</v>
      </c>
      <c r="B9" s="46">
        <v>3</v>
      </c>
      <c r="C9" s="67" t="s">
        <v>104</v>
      </c>
      <c r="D9" s="46" t="s">
        <v>99</v>
      </c>
      <c r="E9" s="46" t="s">
        <v>317</v>
      </c>
      <c r="F9" s="48">
        <f>10.7639 *((1.6+1.7)*2.7)</f>
        <v>95.906348999999992</v>
      </c>
      <c r="G9" s="44">
        <v>78</v>
      </c>
      <c r="H9" s="46">
        <v>85</v>
      </c>
      <c r="I9" s="49">
        <f t="shared" si="0"/>
        <v>7</v>
      </c>
      <c r="J9" s="46">
        <v>0.313</v>
      </c>
      <c r="K9" s="46" t="str">
        <f>_xlfn.UNICHAR(8596)</f>
        <v>↔</v>
      </c>
      <c r="L9" s="50">
        <f t="shared" si="1"/>
        <v>210.13081065899999</v>
      </c>
      <c r="M9" s="49"/>
      <c r="N9" s="50">
        <f t="shared" si="2"/>
        <v>210.13081065899999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378</v>
      </c>
      <c r="B10" s="46">
        <v>1</v>
      </c>
      <c r="C10" s="67" t="s">
        <v>175</v>
      </c>
      <c r="D10" s="46" t="s">
        <v>90</v>
      </c>
      <c r="E10" s="46"/>
      <c r="F10" s="48">
        <f>10.7639 * (12.95)</f>
        <v>139.392505</v>
      </c>
      <c r="G10" s="44">
        <v>78</v>
      </c>
      <c r="H10" s="46">
        <v>78</v>
      </c>
      <c r="I10" s="49">
        <f t="shared" si="0"/>
        <v>0</v>
      </c>
      <c r="J10" s="46">
        <v>0.17100000000000001</v>
      </c>
      <c r="K10" s="46" t="str">
        <f>_xlfn.UNICHAR(8593)</f>
        <v>↑</v>
      </c>
      <c r="L10" s="50">
        <f t="shared" si="1"/>
        <v>0</v>
      </c>
      <c r="M10" s="44"/>
      <c r="N10" s="50">
        <f t="shared" si="2"/>
        <v>0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379</v>
      </c>
      <c r="B11" s="46">
        <v>1</v>
      </c>
      <c r="C11" s="67" t="s">
        <v>175</v>
      </c>
      <c r="D11" s="46" t="s">
        <v>90</v>
      </c>
      <c r="E11" s="46"/>
      <c r="F11" s="48">
        <f>10.7639 *(0.65)</f>
        <v>6.9965349999999997</v>
      </c>
      <c r="G11" s="44">
        <v>78</v>
      </c>
      <c r="H11" s="46">
        <v>85</v>
      </c>
      <c r="I11" s="49">
        <f t="shared" si="0"/>
        <v>7</v>
      </c>
      <c r="J11" s="46">
        <v>0.14399999999999999</v>
      </c>
      <c r="K11" s="46" t="str">
        <f>_xlfn.UNICHAR(8593)</f>
        <v>↑</v>
      </c>
      <c r="L11" s="50">
        <f t="shared" si="1"/>
        <v>7.0525072799999986</v>
      </c>
      <c r="M11" s="44"/>
      <c r="N11" s="50">
        <f t="shared" si="2"/>
        <v>7.0525072799999986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 t="s">
        <v>380</v>
      </c>
      <c r="B12" s="46">
        <v>1</v>
      </c>
      <c r="C12" s="67" t="s">
        <v>175</v>
      </c>
      <c r="D12" s="46" t="s">
        <v>90</v>
      </c>
      <c r="E12" s="44"/>
      <c r="F12" s="54"/>
      <c r="G12" s="44">
        <v>78</v>
      </c>
      <c r="H12" s="46">
        <v>78</v>
      </c>
      <c r="I12" s="49">
        <f t="shared" si="0"/>
        <v>0</v>
      </c>
      <c r="J12" s="46">
        <v>0.14399999999999999</v>
      </c>
      <c r="K12" s="46" t="str">
        <f>_xlfn.UNICHAR(8593)</f>
        <v>↑</v>
      </c>
      <c r="L12" s="50">
        <f t="shared" si="1"/>
        <v>0</v>
      </c>
      <c r="M12" s="44"/>
      <c r="N12" s="50">
        <f t="shared" si="2"/>
        <v>0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53" t="s">
        <v>381</v>
      </c>
      <c r="B13" s="46">
        <v>1</v>
      </c>
      <c r="C13" s="67" t="s">
        <v>175</v>
      </c>
      <c r="D13" s="46" t="s">
        <v>90</v>
      </c>
      <c r="E13" s="44"/>
      <c r="F13" s="48">
        <f>10.7639 *(0.52)</f>
        <v>5.5972280000000003</v>
      </c>
      <c r="G13" s="44">
        <v>78</v>
      </c>
      <c r="H13" s="46">
        <v>85</v>
      </c>
      <c r="I13" s="49">
        <f t="shared" si="0"/>
        <v>7</v>
      </c>
      <c r="J13" s="46">
        <v>0.14399999999999999</v>
      </c>
      <c r="K13" s="46" t="str">
        <f>_xlfn.UNICHAR(8593)</f>
        <v>↑</v>
      </c>
      <c r="L13" s="50">
        <f t="shared" si="1"/>
        <v>5.6420058239999999</v>
      </c>
      <c r="M13" s="44"/>
      <c r="N13" s="50">
        <f t="shared" si="2"/>
        <v>5.6420058239999999</v>
      </c>
      <c r="O13" s="46">
        <v>70</v>
      </c>
      <c r="P13" s="46">
        <v>70</v>
      </c>
      <c r="Q13" s="49">
        <f t="shared" si="3"/>
        <v>0</v>
      </c>
      <c r="R13" s="46"/>
      <c r="S13" s="46"/>
      <c r="T13" s="51">
        <f t="shared" si="4"/>
        <v>0</v>
      </c>
    </row>
    <row r="14" spans="1:20" x14ac:dyDescent="0.3">
      <c r="A14" s="53" t="s">
        <v>245</v>
      </c>
      <c r="B14" s="46">
        <v>2</v>
      </c>
      <c r="C14" s="67" t="s">
        <v>175</v>
      </c>
      <c r="D14" s="46" t="s">
        <v>106</v>
      </c>
      <c r="E14" s="44"/>
      <c r="F14" s="54"/>
      <c r="G14" s="44">
        <v>78</v>
      </c>
      <c r="H14" s="46">
        <v>78</v>
      </c>
      <c r="I14" s="49">
        <f t="shared" si="0"/>
        <v>0</v>
      </c>
      <c r="J14" s="46">
        <v>0.14399999999999999</v>
      </c>
      <c r="K14" s="46" t="str">
        <f>_xlfn.UNICHAR(8595)</f>
        <v>↓</v>
      </c>
      <c r="L14" s="50">
        <f t="shared" si="1"/>
        <v>0</v>
      </c>
      <c r="M14" s="44"/>
      <c r="N14" s="50">
        <f t="shared" si="2"/>
        <v>0</v>
      </c>
      <c r="O14" s="46">
        <v>70</v>
      </c>
      <c r="P14" s="46">
        <v>70</v>
      </c>
      <c r="Q14" s="49">
        <f t="shared" si="3"/>
        <v>0</v>
      </c>
      <c r="R14" s="46"/>
      <c r="S14" s="46"/>
      <c r="T14" s="51">
        <f t="shared" si="4"/>
        <v>0</v>
      </c>
    </row>
    <row r="15" spans="1:20" x14ac:dyDescent="0.3">
      <c r="A15" s="53" t="s">
        <v>354</v>
      </c>
      <c r="B15" s="46">
        <v>2</v>
      </c>
      <c r="C15" s="67" t="s">
        <v>175</v>
      </c>
      <c r="D15" s="46" t="s">
        <v>106</v>
      </c>
      <c r="E15" s="44"/>
      <c r="F15" s="54"/>
      <c r="G15" s="44">
        <v>78</v>
      </c>
      <c r="H15" s="46">
        <v>78</v>
      </c>
      <c r="I15" s="49">
        <f t="shared" si="0"/>
        <v>0</v>
      </c>
      <c r="J15" s="46">
        <v>0.14399999999999999</v>
      </c>
      <c r="K15" s="46" t="str">
        <f>_xlfn.UNICHAR(8595)</f>
        <v>↓</v>
      </c>
      <c r="L15" s="50">
        <f t="shared" si="1"/>
        <v>0</v>
      </c>
      <c r="M15" s="44"/>
      <c r="N15" s="50">
        <f t="shared" si="2"/>
        <v>0</v>
      </c>
      <c r="O15" s="46">
        <v>70</v>
      </c>
      <c r="P15" s="46">
        <v>70</v>
      </c>
      <c r="Q15" s="49">
        <f t="shared" si="3"/>
        <v>0</v>
      </c>
      <c r="R15" s="46"/>
      <c r="S15" s="46"/>
      <c r="T15" s="51">
        <f t="shared" si="4"/>
        <v>0</v>
      </c>
    </row>
    <row r="16" spans="1:20" x14ac:dyDescent="0.3">
      <c r="A16" s="53" t="s">
        <v>244</v>
      </c>
      <c r="B16" s="46">
        <v>2</v>
      </c>
      <c r="C16" s="67" t="s">
        <v>175</v>
      </c>
      <c r="D16" s="46" t="s">
        <v>106</v>
      </c>
      <c r="E16" s="44"/>
      <c r="F16" s="48">
        <f>10.7639 *(9.52)</f>
        <v>102.47232799999999</v>
      </c>
      <c r="G16" s="44">
        <v>78</v>
      </c>
      <c r="H16" s="46">
        <v>110</v>
      </c>
      <c r="I16" s="49">
        <f t="shared" si="0"/>
        <v>32</v>
      </c>
      <c r="J16" s="46">
        <v>0.14399999999999999</v>
      </c>
      <c r="K16" s="46" t="str">
        <f>_xlfn.UNICHAR(8595)</f>
        <v>↓</v>
      </c>
      <c r="L16" s="50">
        <f t="shared" si="1"/>
        <v>472.19248742399992</v>
      </c>
      <c r="M16" s="44"/>
      <c r="N16" s="50">
        <f t="shared" si="2"/>
        <v>472.19248742399992</v>
      </c>
      <c r="O16" s="46">
        <v>70</v>
      </c>
      <c r="P16" s="46">
        <v>70</v>
      </c>
      <c r="Q16" s="49">
        <f t="shared" si="3"/>
        <v>0</v>
      </c>
      <c r="R16" s="46"/>
      <c r="S16" s="46"/>
      <c r="T16" s="51">
        <f t="shared" si="4"/>
        <v>0</v>
      </c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1306.3045359419998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(0.6*0.5))*1</f>
        <v>3.2291699999999999</v>
      </c>
      <c r="G20" s="44"/>
      <c r="H20" s="44"/>
      <c r="I20" s="44"/>
      <c r="J20" s="44"/>
      <c r="K20" s="44"/>
      <c r="L20" s="46">
        <f>F20*160</f>
        <v>516.66719999999998</v>
      </c>
      <c r="M20" s="44"/>
      <c r="N20" s="50">
        <f>L20+M20</f>
        <v>516.66719999999998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(15.64)</f>
        <v>168.347396</v>
      </c>
      <c r="G21" s="44"/>
      <c r="H21" s="44"/>
      <c r="I21" s="44"/>
      <c r="J21" s="44"/>
      <c r="K21" s="44"/>
      <c r="L21" s="46">
        <f>8*F21</f>
        <v>1346.779168</v>
      </c>
      <c r="M21" s="44"/>
      <c r="N21" s="50">
        <f>L21+M21</f>
        <v>1346.779168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3969.7509039419997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3969.7509039419997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168.347396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1491.2663508701282</v>
      </c>
      <c r="G37" s="44" t="s">
        <v>124</v>
      </c>
    </row>
    <row r="38" spans="1:20" x14ac:dyDescent="0.3">
      <c r="E38" s="44" t="s">
        <v>125</v>
      </c>
      <c r="F38" s="56">
        <f>F37/30</f>
        <v>49.708878362337607</v>
      </c>
      <c r="G38" s="44" t="s">
        <v>126</v>
      </c>
    </row>
    <row r="39" spans="1:20" x14ac:dyDescent="0.3">
      <c r="E39" s="44" t="s">
        <v>127</v>
      </c>
      <c r="F39" s="50">
        <f>SUM($L$5:$L$28)</f>
        <v>3484.7509039419997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3969.7509039419997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129.06484829414813</v>
      </c>
      <c r="G43" s="44" t="s">
        <v>126</v>
      </c>
    </row>
    <row r="44" spans="1:20" x14ac:dyDescent="0.3">
      <c r="E44" s="44" t="s">
        <v>126</v>
      </c>
      <c r="F44" s="57">
        <f>ROUNDUP(F43,0)</f>
        <v>130</v>
      </c>
      <c r="G44" s="44" t="s">
        <v>126</v>
      </c>
    </row>
    <row r="45" spans="1:20" x14ac:dyDescent="0.3">
      <c r="E45" s="44" t="s">
        <v>133</v>
      </c>
      <c r="F45" s="50">
        <f>F44*0.0002930711</f>
        <v>3.8099242999999998E-2</v>
      </c>
      <c r="G45" s="44" t="s">
        <v>134</v>
      </c>
    </row>
    <row r="46" spans="1:20" x14ac:dyDescent="0.3">
      <c r="E46" s="44" t="s">
        <v>135</v>
      </c>
      <c r="F46" s="50">
        <f>F39/F41</f>
        <v>0.87782608739546086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F0"/>
  </sheetPr>
  <dimension ref="A1:T254"/>
  <sheetViews>
    <sheetView tabSelected="1" topLeftCell="A34" zoomScale="95" zoomScaleNormal="95" workbookViewId="0">
      <selection activeCell="L39" sqref="L39"/>
    </sheetView>
  </sheetViews>
  <sheetFormatPr defaultColWidth="8.88671875" defaultRowHeight="13.8" x14ac:dyDescent="0.3"/>
  <cols>
    <col min="1" max="1" width="28" style="39" bestFit="1" customWidth="1"/>
    <col min="2" max="2" width="11.44140625" style="40" customWidth="1"/>
    <col min="3" max="3" width="25.6640625" style="40" customWidth="1"/>
    <col min="4" max="4" width="12.6640625" style="40" customWidth="1"/>
    <col min="5" max="5" width="25.88671875" style="40" bestFit="1" customWidth="1"/>
    <col min="6" max="6" width="18.77734375" style="40" customWidth="1"/>
    <col min="7" max="7" width="6.109375" style="40" customWidth="1"/>
    <col min="8" max="8" width="3.21875" style="40" bestFit="1" customWidth="1"/>
    <col min="9" max="9" width="3.5546875" style="40" customWidth="1"/>
    <col min="10" max="10" width="7.21875" style="40" bestFit="1" customWidth="1"/>
    <col min="11" max="11" width="4.44140625" style="40" customWidth="1"/>
    <col min="12" max="12" width="10.5546875" style="40" bestFit="1" customWidth="1"/>
    <col min="13" max="13" width="4.21875" style="40" bestFit="1" customWidth="1"/>
    <col min="14" max="14" width="8.88671875" style="40" bestFit="1" customWidth="1"/>
    <col min="15" max="15" width="3.109375" style="40" bestFit="1" customWidth="1"/>
    <col min="16" max="16" width="3.21875" style="40" customWidth="1"/>
    <col min="17" max="17" width="3.5546875" style="40" customWidth="1"/>
    <col min="18" max="18" width="7.21875" style="40" bestFit="1" customWidth="1"/>
    <col min="19" max="19" width="4.44140625" style="40" customWidth="1"/>
    <col min="20" max="20" width="5.77734375" style="40" bestFit="1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363</v>
      </c>
      <c r="B2" s="11"/>
      <c r="C2" s="11">
        <v>7003</v>
      </c>
      <c r="D2" s="11"/>
      <c r="E2" s="43" t="s">
        <v>369</v>
      </c>
      <c r="F2" s="43" t="s">
        <v>358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214</v>
      </c>
      <c r="B5" s="46">
        <v>6</v>
      </c>
      <c r="C5" s="67" t="s">
        <v>104</v>
      </c>
      <c r="D5" s="46" t="s">
        <v>99</v>
      </c>
      <c r="E5" s="44" t="s">
        <v>382</v>
      </c>
      <c r="F5" s="54">
        <f>10.7639 *(1.8*2.7)</f>
        <v>52.312553999999999</v>
      </c>
      <c r="G5" s="44">
        <v>78</v>
      </c>
      <c r="H5" s="46">
        <v>80</v>
      </c>
      <c r="I5" s="49">
        <f>H5-G5</f>
        <v>2</v>
      </c>
      <c r="J5" s="46">
        <v>0.313</v>
      </c>
      <c r="K5" s="46" t="str">
        <f>_xlfn.UNICHAR(8596)</f>
        <v>↔</v>
      </c>
      <c r="L5" s="50">
        <f>F5*I5*J5</f>
        <v>32.747658803999997</v>
      </c>
      <c r="M5" s="49"/>
      <c r="N5" s="50">
        <f>L5+M5</f>
        <v>32.747658803999997</v>
      </c>
      <c r="O5" s="46">
        <v>70</v>
      </c>
      <c r="P5" s="46">
        <v>70</v>
      </c>
      <c r="Q5" s="49">
        <f>O5-P5</f>
        <v>0</v>
      </c>
      <c r="R5" s="46"/>
      <c r="S5" s="46"/>
      <c r="T5" s="51">
        <f>F5*Q5*R5</f>
        <v>0</v>
      </c>
    </row>
    <row r="6" spans="1:20" x14ac:dyDescent="0.3">
      <c r="A6" s="53" t="s">
        <v>108</v>
      </c>
      <c r="B6" s="46">
        <v>3</v>
      </c>
      <c r="C6" s="47" t="s">
        <v>205</v>
      </c>
      <c r="D6" s="46" t="s">
        <v>99</v>
      </c>
      <c r="E6" s="44" t="s">
        <v>375</v>
      </c>
      <c r="F6" s="54">
        <f>10.7639 *(3.6*2.7)</f>
        <v>104.625108</v>
      </c>
      <c r="G6" s="44">
        <v>78</v>
      </c>
      <c r="H6" s="46">
        <v>95</v>
      </c>
      <c r="I6" s="49">
        <f>H6-G6</f>
        <v>17</v>
      </c>
      <c r="J6" s="46">
        <v>6.3E-2</v>
      </c>
      <c r="K6" s="46" t="str">
        <f>_xlfn.UNICHAR(8596)</f>
        <v>↔</v>
      </c>
      <c r="L6" s="50">
        <f>F6*I6*J6</f>
        <v>112.05349066799999</v>
      </c>
      <c r="M6" s="49"/>
      <c r="N6" s="50">
        <f>L6+M6</f>
        <v>112.05349066799999</v>
      </c>
      <c r="O6" s="46">
        <v>70</v>
      </c>
      <c r="P6" s="46">
        <v>70</v>
      </c>
      <c r="Q6" s="49">
        <f>O6-P6</f>
        <v>0</v>
      </c>
      <c r="R6" s="46"/>
      <c r="S6" s="46"/>
      <c r="T6" s="50">
        <f>F6*Q6*R6</f>
        <v>0</v>
      </c>
    </row>
    <row r="7" spans="1:20" x14ac:dyDescent="0.3">
      <c r="A7" s="53" t="s">
        <v>364</v>
      </c>
      <c r="B7" s="46">
        <v>6</v>
      </c>
      <c r="C7" s="67" t="s">
        <v>104</v>
      </c>
      <c r="D7" s="46" t="s">
        <v>99</v>
      </c>
      <c r="E7" s="46" t="s">
        <v>317</v>
      </c>
      <c r="F7" s="54">
        <f>10.7639 *((1.6+1.7)*2.7)</f>
        <v>95.906348999999992</v>
      </c>
      <c r="G7" s="44">
        <v>78</v>
      </c>
      <c r="H7" s="46">
        <v>85</v>
      </c>
      <c r="I7" s="49">
        <f>H7-G7</f>
        <v>7</v>
      </c>
      <c r="J7" s="46">
        <v>0.313</v>
      </c>
      <c r="K7" s="46" t="str">
        <f>_xlfn.UNICHAR(8596)</f>
        <v>↔</v>
      </c>
      <c r="L7" s="50">
        <f>F7*I7*J7</f>
        <v>210.13081065899999</v>
      </c>
      <c r="M7" s="49"/>
      <c r="N7" s="50">
        <f>L7+M7</f>
        <v>210.13081065899999</v>
      </c>
      <c r="O7" s="46">
        <v>70</v>
      </c>
      <c r="P7" s="46">
        <v>70</v>
      </c>
      <c r="Q7" s="49">
        <f>O7-P7</f>
        <v>0</v>
      </c>
      <c r="R7" s="46"/>
      <c r="S7" s="46"/>
      <c r="T7" s="51">
        <f>F7*Q7*R7</f>
        <v>0</v>
      </c>
    </row>
    <row r="8" spans="1:20" x14ac:dyDescent="0.3">
      <c r="A8" s="53" t="s">
        <v>381</v>
      </c>
      <c r="B8" s="46">
        <v>1</v>
      </c>
      <c r="C8" s="67" t="s">
        <v>175</v>
      </c>
      <c r="D8" s="46" t="s">
        <v>90</v>
      </c>
      <c r="E8" s="46"/>
      <c r="F8" s="54">
        <f>10.7639 *(2.34)</f>
        <v>25.187525999999998</v>
      </c>
      <c r="G8" s="44">
        <v>78</v>
      </c>
      <c r="H8" s="46">
        <v>85</v>
      </c>
      <c r="I8" s="49">
        <f>H8-G8</f>
        <v>7</v>
      </c>
      <c r="J8" s="46">
        <v>0.17100000000000001</v>
      </c>
      <c r="K8" s="46" t="str">
        <f>_xlfn.UNICHAR(8593)</f>
        <v>↑</v>
      </c>
      <c r="L8" s="50">
        <f>F8*I8*J8</f>
        <v>30.149468622000001</v>
      </c>
      <c r="M8" s="49"/>
      <c r="N8" s="50">
        <f>L8+M8</f>
        <v>30.149468622000001</v>
      </c>
      <c r="O8" s="46">
        <v>70</v>
      </c>
      <c r="P8" s="46">
        <v>70</v>
      </c>
      <c r="Q8" s="49">
        <f>O8-P8</f>
        <v>0</v>
      </c>
      <c r="R8" s="46"/>
      <c r="S8" s="46"/>
      <c r="T8" s="51">
        <f>F8*Q8*R8</f>
        <v>0</v>
      </c>
    </row>
    <row r="9" spans="1:20" x14ac:dyDescent="0.3">
      <c r="A9" s="53" t="s">
        <v>354</v>
      </c>
      <c r="B9" s="46">
        <v>2</v>
      </c>
      <c r="C9" s="67" t="s">
        <v>175</v>
      </c>
      <c r="D9" s="46" t="s">
        <v>106</v>
      </c>
      <c r="E9" s="46"/>
      <c r="F9" s="54">
        <f>10.7639 *(0.36)</f>
        <v>3.8750039999999997</v>
      </c>
      <c r="G9" s="44">
        <v>78</v>
      </c>
      <c r="H9" s="46">
        <v>85</v>
      </c>
      <c r="I9" s="49">
        <f>H9-G9</f>
        <v>7</v>
      </c>
      <c r="J9" s="46">
        <v>0.14399999999999999</v>
      </c>
      <c r="K9" s="46" t="str">
        <f>_xlfn.UNICHAR(8595)</f>
        <v>↓</v>
      </c>
      <c r="L9" s="50">
        <f>F9*I9*J9</f>
        <v>3.9060040319999993</v>
      </c>
      <c r="M9" s="49"/>
      <c r="N9" s="50">
        <f>L9+M9</f>
        <v>3.9060040319999993</v>
      </c>
      <c r="O9" s="46">
        <v>70</v>
      </c>
      <c r="P9" s="46">
        <v>70</v>
      </c>
      <c r="Q9" s="49">
        <f>O9-P9</f>
        <v>0</v>
      </c>
      <c r="R9" s="46"/>
      <c r="S9" s="46"/>
      <c r="T9" s="51">
        <f>F9*Q9*R9</f>
        <v>0</v>
      </c>
    </row>
    <row r="10" spans="1:20" x14ac:dyDescent="0.3">
      <c r="A10" s="53"/>
      <c r="B10" s="46"/>
      <c r="C10" s="67"/>
      <c r="D10" s="46"/>
      <c r="E10" s="46"/>
      <c r="F10" s="48"/>
      <c r="G10" s="44"/>
      <c r="H10" s="46"/>
      <c r="I10" s="49"/>
      <c r="J10" s="46"/>
      <c r="K10" s="46"/>
      <c r="L10" s="50"/>
      <c r="M10" s="44"/>
      <c r="N10" s="50"/>
      <c r="O10" s="46"/>
      <c r="P10" s="46"/>
      <c r="Q10" s="49"/>
      <c r="R10" s="46"/>
      <c r="S10" s="46"/>
      <c r="T10" s="51"/>
    </row>
    <row r="11" spans="1:20" x14ac:dyDescent="0.3">
      <c r="A11" s="53"/>
      <c r="B11" s="46"/>
      <c r="C11" s="67"/>
      <c r="D11" s="46"/>
      <c r="E11" s="46"/>
      <c r="F11" s="48"/>
      <c r="G11" s="44"/>
      <c r="H11" s="46"/>
      <c r="I11" s="49"/>
      <c r="J11" s="46"/>
      <c r="K11" s="46"/>
      <c r="L11" s="50"/>
      <c r="M11" s="44"/>
      <c r="N11" s="50"/>
      <c r="O11" s="46"/>
      <c r="P11" s="46"/>
      <c r="Q11" s="49"/>
      <c r="R11" s="46"/>
      <c r="S11" s="46"/>
      <c r="T11" s="51"/>
    </row>
    <row r="12" spans="1:20" x14ac:dyDescent="0.3">
      <c r="A12" s="53"/>
      <c r="B12" s="46"/>
      <c r="C12" s="67"/>
      <c r="D12" s="46"/>
      <c r="E12" s="44"/>
      <c r="F12" s="48"/>
      <c r="G12" s="44"/>
      <c r="H12" s="46"/>
      <c r="I12" s="49"/>
      <c r="J12" s="46"/>
      <c r="K12" s="46"/>
      <c r="L12" s="50"/>
      <c r="M12" s="44"/>
      <c r="N12" s="50"/>
      <c r="O12" s="46"/>
      <c r="P12" s="46"/>
      <c r="Q12" s="49"/>
      <c r="R12" s="46"/>
      <c r="S12" s="46"/>
      <c r="T12" s="51"/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388.98743278499995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(0.6*0.5))*2</f>
        <v>6.4583399999999997</v>
      </c>
      <c r="G20" s="44"/>
      <c r="H20" s="44"/>
      <c r="I20" s="44"/>
      <c r="J20" s="44"/>
      <c r="K20" s="44"/>
      <c r="L20" s="46">
        <f>F20*160</f>
        <v>1033.3344</v>
      </c>
      <c r="M20" s="44"/>
      <c r="N20" s="50">
        <f>L20+M20</f>
        <v>1033.3344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(3.6)</f>
        <v>38.750039999999998</v>
      </c>
      <c r="G21" s="44"/>
      <c r="H21" s="44"/>
      <c r="I21" s="44"/>
      <c r="J21" s="44"/>
      <c r="K21" s="44"/>
      <c r="L21" s="46">
        <f>8*F21</f>
        <v>310.00031999999999</v>
      </c>
      <c r="M21" s="44"/>
      <c r="N21" s="50">
        <f>L21+M21</f>
        <v>310.00031999999999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2532.3221527850001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2532.3221527850001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3">
      <c r="T31" s="198"/>
    </row>
    <row r="32" spans="1:20" x14ac:dyDescent="0.3">
      <c r="T32" s="73"/>
    </row>
    <row r="33" spans="1:20" ht="14.4" x14ac:dyDescent="0.3">
      <c r="E33" s="44" t="s">
        <v>116</v>
      </c>
      <c r="F33" s="44">
        <v>25</v>
      </c>
      <c r="G33" s="26" t="s">
        <v>117</v>
      </c>
      <c r="T33" s="73"/>
    </row>
    <row r="34" spans="1:20" x14ac:dyDescent="0.3">
      <c r="E34" s="44" t="s">
        <v>118</v>
      </c>
      <c r="F34" s="44">
        <f>15*1</f>
        <v>15</v>
      </c>
      <c r="G34" s="44"/>
      <c r="T34" s="73"/>
    </row>
    <row r="35" spans="1:20" x14ac:dyDescent="0.3">
      <c r="E35" s="44" t="s">
        <v>119</v>
      </c>
      <c r="F35" s="48">
        <f>$F$21</f>
        <v>38.750039999999998</v>
      </c>
      <c r="G35" s="44" t="s">
        <v>120</v>
      </c>
      <c r="T35" s="73"/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  <c r="T36" s="73"/>
    </row>
    <row r="37" spans="1:20" x14ac:dyDescent="0.3">
      <c r="E37" s="44" t="s">
        <v>123</v>
      </c>
      <c r="F37" s="49">
        <f>F35*F36</f>
        <v>343.25823933072002</v>
      </c>
      <c r="G37" s="44" t="s">
        <v>124</v>
      </c>
      <c r="T37" s="73"/>
    </row>
    <row r="38" spans="1:20" x14ac:dyDescent="0.3">
      <c r="E38" s="44" t="s">
        <v>125</v>
      </c>
      <c r="F38" s="56">
        <f>F37/30</f>
        <v>11.441941311024001</v>
      </c>
      <c r="G38" s="44" t="s">
        <v>126</v>
      </c>
      <c r="T38" s="73"/>
    </row>
    <row r="39" spans="1:20" x14ac:dyDescent="0.3">
      <c r="E39" s="44" t="s">
        <v>127</v>
      </c>
      <c r="F39" s="50">
        <f>SUM($L$5:$L$28)</f>
        <v>2047.3221527850001</v>
      </c>
      <c r="G39" s="44" t="s">
        <v>128</v>
      </c>
      <c r="T39" s="73"/>
    </row>
    <row r="40" spans="1:20" x14ac:dyDescent="0.3">
      <c r="E40" s="44" t="s">
        <v>129</v>
      </c>
      <c r="F40" s="49">
        <f>SUM($M$5:$M$28)</f>
        <v>485</v>
      </c>
      <c r="G40" s="44" t="s">
        <v>128</v>
      </c>
      <c r="T40" s="73"/>
    </row>
    <row r="41" spans="1:20" x14ac:dyDescent="0.3">
      <c r="E41" s="44" t="s">
        <v>130</v>
      </c>
      <c r="F41" s="50">
        <f>$N$29</f>
        <v>2532.3221527850001</v>
      </c>
      <c r="G41" s="44" t="s">
        <v>128</v>
      </c>
      <c r="T41" s="73"/>
    </row>
    <row r="42" spans="1:20" x14ac:dyDescent="0.3">
      <c r="E42" s="44" t="s">
        <v>131</v>
      </c>
      <c r="F42" s="50">
        <f>$T$29</f>
        <v>0</v>
      </c>
      <c r="G42" s="44" t="s">
        <v>128</v>
      </c>
      <c r="T42" s="73"/>
    </row>
    <row r="43" spans="1:20" x14ac:dyDescent="0.3">
      <c r="E43" s="44" t="s">
        <v>132</v>
      </c>
      <c r="F43" s="56">
        <f>F39/(1.08*F33)</f>
        <v>75.826746399444446</v>
      </c>
      <c r="G43" s="44" t="s">
        <v>126</v>
      </c>
      <c r="T43" s="73"/>
    </row>
    <row r="44" spans="1:20" x14ac:dyDescent="0.3">
      <c r="E44" s="44" t="s">
        <v>126</v>
      </c>
      <c r="F44" s="57">
        <f>ROUNDUP(F43,0)</f>
        <v>76</v>
      </c>
      <c r="G44" s="44" t="s">
        <v>126</v>
      </c>
      <c r="T44" s="73"/>
    </row>
    <row r="45" spans="1:20" x14ac:dyDescent="0.3">
      <c r="E45" s="44" t="s">
        <v>133</v>
      </c>
      <c r="F45" s="50">
        <f>F44*0.0002930711</f>
        <v>2.2273403599999998E-2</v>
      </c>
      <c r="G45" s="44" t="s">
        <v>134</v>
      </c>
      <c r="T45" s="73"/>
    </row>
    <row r="46" spans="1:20" x14ac:dyDescent="0.3">
      <c r="E46" s="44" t="s">
        <v>135</v>
      </c>
      <c r="F46" s="50">
        <f>F39/F41</f>
        <v>0.80847618480665817</v>
      </c>
      <c r="G46" s="44"/>
      <c r="T46" s="197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186" t="s">
        <v>138</v>
      </c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189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1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189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1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189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1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189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1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189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1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189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1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192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4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7"/>
      <c r="B56" s="7"/>
      <c r="C56" s="7"/>
      <c r="D56" s="7"/>
      <c r="E56" s="7"/>
      <c r="F56" s="7"/>
      <c r="G56" s="6" t="s">
        <v>168</v>
      </c>
      <c r="H56" s="6"/>
      <c r="I56" s="6"/>
      <c r="J56" s="6"/>
      <c r="K56" s="6" t="s">
        <v>169</v>
      </c>
      <c r="L56" s="6"/>
      <c r="M56" s="6"/>
      <c r="N56" s="6"/>
      <c r="O56" s="6"/>
      <c r="P56" s="6"/>
      <c r="Q56" s="6"/>
      <c r="R56" s="53" t="s">
        <v>170</v>
      </c>
      <c r="S56" s="6"/>
      <c r="T56" s="6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4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</sheetPr>
  <dimension ref="A1:T254"/>
  <sheetViews>
    <sheetView topLeftCell="A34" zoomScale="95" zoomScaleNormal="95" workbookViewId="0">
      <selection activeCell="E12" sqref="E12"/>
    </sheetView>
  </sheetViews>
  <sheetFormatPr defaultColWidth="8.88671875" defaultRowHeight="13.8" x14ac:dyDescent="0.3"/>
  <cols>
    <col min="1" max="1" width="28.109375" style="39" bestFit="1" customWidth="1"/>
    <col min="2" max="2" width="11.44140625" style="40" customWidth="1"/>
    <col min="3" max="3" width="25.6640625" style="40" customWidth="1"/>
    <col min="4" max="4" width="12.6640625" style="40" customWidth="1"/>
    <col min="5" max="5" width="25.88671875" style="40" bestFit="1" customWidth="1"/>
    <col min="6" max="6" width="18.77734375" style="40" customWidth="1"/>
    <col min="7" max="7" width="6.109375" style="40" customWidth="1"/>
    <col min="8" max="8" width="4.21875" style="40" bestFit="1" customWidth="1"/>
    <col min="9" max="9" width="3.5546875" style="40" customWidth="1"/>
    <col min="10" max="10" width="7.21875" style="40" bestFit="1" customWidth="1"/>
    <col min="11" max="11" width="4.44140625" style="40" customWidth="1"/>
    <col min="12" max="12" width="11.5546875" style="40" bestFit="1" customWidth="1"/>
    <col min="13" max="13" width="4.21875" style="40" bestFit="1" customWidth="1"/>
    <col min="14" max="14" width="8.88671875" style="40" bestFit="1" customWidth="1"/>
    <col min="15" max="15" width="3.109375" style="40" bestFit="1" customWidth="1"/>
    <col min="16" max="16" width="3.21875" style="40" customWidth="1"/>
    <col min="17" max="17" width="3.5546875" style="40" customWidth="1"/>
    <col min="18" max="18" width="7.21875" style="40" bestFit="1" customWidth="1"/>
    <col min="19" max="19" width="4.44140625" style="40" customWidth="1"/>
    <col min="20" max="20" width="5.77734375" style="40" bestFit="1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328</v>
      </c>
      <c r="B2" s="11"/>
      <c r="C2" s="11">
        <v>7004</v>
      </c>
      <c r="D2" s="11"/>
      <c r="E2" s="43" t="s">
        <v>369</v>
      </c>
      <c r="F2" s="43" t="s">
        <v>383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190</v>
      </c>
      <c r="B5" s="46">
        <v>6</v>
      </c>
      <c r="C5" s="67" t="s">
        <v>104</v>
      </c>
      <c r="D5" s="46" t="s">
        <v>99</v>
      </c>
      <c r="E5" s="44" t="s">
        <v>382</v>
      </c>
      <c r="F5" s="54">
        <f>10.7639 *(1.8*2.7)</f>
        <v>52.312553999999999</v>
      </c>
      <c r="G5" s="44">
        <v>78</v>
      </c>
      <c r="H5" s="46">
        <v>80</v>
      </c>
      <c r="I5" s="49">
        <f t="shared" ref="I5:I14" si="0">H5-G5</f>
        <v>2</v>
      </c>
      <c r="J5" s="46">
        <v>0.313</v>
      </c>
      <c r="K5" s="46" t="str">
        <f>_xlfn.UNICHAR(8596)</f>
        <v>↔</v>
      </c>
      <c r="L5" s="50">
        <f t="shared" ref="L5:L14" si="1">F5*I5*J5</f>
        <v>32.747658803999997</v>
      </c>
      <c r="M5" s="49"/>
      <c r="N5" s="50">
        <f t="shared" ref="N5:N14" si="2">L5+M5</f>
        <v>32.747658803999997</v>
      </c>
      <c r="O5" s="46">
        <v>70</v>
      </c>
      <c r="P5" s="46">
        <v>70</v>
      </c>
      <c r="Q5" s="49">
        <f t="shared" ref="Q5:Q14" si="3">O5-P5</f>
        <v>0</v>
      </c>
      <c r="R5" s="46"/>
      <c r="S5" s="46"/>
      <c r="T5" s="51">
        <f t="shared" ref="T5:T14" si="4">F5*Q5*R5</f>
        <v>0</v>
      </c>
    </row>
    <row r="6" spans="1:20" x14ac:dyDescent="0.3">
      <c r="A6" s="53" t="s">
        <v>108</v>
      </c>
      <c r="B6" s="46">
        <v>3</v>
      </c>
      <c r="C6" s="47" t="s">
        <v>205</v>
      </c>
      <c r="D6" s="46" t="s">
        <v>99</v>
      </c>
      <c r="E6" s="44" t="s">
        <v>334</v>
      </c>
      <c r="F6" s="54">
        <f>10.7639 *(3.5*2.7)</f>
        <v>101.718855</v>
      </c>
      <c r="G6" s="44">
        <v>78</v>
      </c>
      <c r="H6" s="46">
        <v>95</v>
      </c>
      <c r="I6" s="49">
        <f t="shared" si="0"/>
        <v>17</v>
      </c>
      <c r="J6" s="46">
        <v>7.2999999999999995E-2</v>
      </c>
      <c r="K6" s="46" t="str">
        <f>_xlfn.UNICHAR(8596)</f>
        <v>↔</v>
      </c>
      <c r="L6" s="50">
        <f t="shared" si="1"/>
        <v>126.233099055</v>
      </c>
      <c r="M6" s="49"/>
      <c r="N6" s="50">
        <f t="shared" si="2"/>
        <v>126.233099055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330</v>
      </c>
      <c r="B7" s="46">
        <v>6</v>
      </c>
      <c r="C7" s="67" t="s">
        <v>104</v>
      </c>
      <c r="D7" s="46" t="s">
        <v>99</v>
      </c>
      <c r="E7" s="44" t="s">
        <v>384</v>
      </c>
      <c r="F7" s="54">
        <f>10.7639 *((1.7+1.6)*2.7)</f>
        <v>95.906348999999992</v>
      </c>
      <c r="G7" s="44">
        <v>78</v>
      </c>
      <c r="H7" s="46">
        <v>85</v>
      </c>
      <c r="I7" s="49">
        <f t="shared" si="0"/>
        <v>7</v>
      </c>
      <c r="J7" s="46">
        <v>0.313</v>
      </c>
      <c r="K7" s="46" t="str">
        <f>_xlfn.UNICHAR(8596)</f>
        <v>↔</v>
      </c>
      <c r="L7" s="50">
        <f t="shared" si="1"/>
        <v>210.13081065899999</v>
      </c>
      <c r="M7" s="49"/>
      <c r="N7" s="50">
        <f t="shared" si="2"/>
        <v>210.13081065899999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385</v>
      </c>
      <c r="B8" s="46">
        <v>1</v>
      </c>
      <c r="C8" s="67" t="s">
        <v>175</v>
      </c>
      <c r="D8" s="46" t="s">
        <v>90</v>
      </c>
      <c r="E8" s="46"/>
      <c r="F8" s="48">
        <f>10.7639 * (1.825)</f>
        <v>19.6441175</v>
      </c>
      <c r="G8" s="44">
        <v>78</v>
      </c>
      <c r="H8" s="46">
        <v>85</v>
      </c>
      <c r="I8" s="49">
        <f t="shared" si="0"/>
        <v>7</v>
      </c>
      <c r="J8" s="46">
        <v>0.17100000000000001</v>
      </c>
      <c r="K8" s="46" t="str">
        <f>_xlfn.UNICHAR(8593)</f>
        <v>↑</v>
      </c>
      <c r="L8" s="50">
        <f t="shared" si="1"/>
        <v>23.514008647500003</v>
      </c>
      <c r="M8" s="49"/>
      <c r="N8" s="50">
        <f t="shared" si="2"/>
        <v>23.514008647500003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386</v>
      </c>
      <c r="B9" s="46">
        <v>1</v>
      </c>
      <c r="C9" s="67" t="s">
        <v>175</v>
      </c>
      <c r="D9" s="46" t="s">
        <v>90</v>
      </c>
      <c r="E9" s="46"/>
      <c r="F9" s="48">
        <f>10.7639 * (0.125)</f>
        <v>1.3454874999999999</v>
      </c>
      <c r="G9" s="44">
        <v>78</v>
      </c>
      <c r="H9" s="46">
        <v>120</v>
      </c>
      <c r="I9" s="49">
        <f t="shared" si="0"/>
        <v>42</v>
      </c>
      <c r="J9" s="46">
        <v>0.17100000000000001</v>
      </c>
      <c r="K9" s="46" t="str">
        <f>_xlfn.UNICHAR(8593)</f>
        <v>↑</v>
      </c>
      <c r="L9" s="50">
        <f t="shared" si="1"/>
        <v>9.663291225</v>
      </c>
      <c r="M9" s="49"/>
      <c r="N9" s="50">
        <f t="shared" si="2"/>
        <v>9.663291225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190</v>
      </c>
      <c r="B10" s="46">
        <v>2</v>
      </c>
      <c r="C10" s="67" t="s">
        <v>175</v>
      </c>
      <c r="D10" s="46" t="s">
        <v>106</v>
      </c>
      <c r="E10" s="44" t="s">
        <v>387</v>
      </c>
      <c r="F10" s="48">
        <f>10.7639 * (1.2 * 5.1)</f>
        <v>65.875067999999985</v>
      </c>
      <c r="G10" s="44">
        <v>78</v>
      </c>
      <c r="H10" s="46">
        <v>80</v>
      </c>
      <c r="I10" s="49">
        <f t="shared" si="0"/>
        <v>2</v>
      </c>
      <c r="J10" s="46">
        <v>0.14399999999999999</v>
      </c>
      <c r="K10" s="46" t="str">
        <f>_xlfn.UNICHAR(8595)</f>
        <v>↓</v>
      </c>
      <c r="L10" s="50">
        <f t="shared" si="1"/>
        <v>18.972019583999995</v>
      </c>
      <c r="M10" s="44"/>
      <c r="N10" s="50">
        <f t="shared" si="2"/>
        <v>18.972019583999995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294</v>
      </c>
      <c r="B11" s="46">
        <v>2</v>
      </c>
      <c r="C11" s="67" t="s">
        <v>175</v>
      </c>
      <c r="D11" s="46" t="s">
        <v>106</v>
      </c>
      <c r="E11" s="46"/>
      <c r="F11" s="48">
        <f>10.7639 * (0.305)</f>
        <v>3.2829894999999998</v>
      </c>
      <c r="G11" s="44">
        <v>78</v>
      </c>
      <c r="H11" s="46">
        <v>85</v>
      </c>
      <c r="I11" s="49">
        <f t="shared" si="0"/>
        <v>7</v>
      </c>
      <c r="J11" s="46">
        <v>0.14399999999999999</v>
      </c>
      <c r="K11" s="46" t="str">
        <f>_xlfn.UNICHAR(8595)</f>
        <v>↓</v>
      </c>
      <c r="L11" s="50">
        <f t="shared" si="1"/>
        <v>3.3092534159999998</v>
      </c>
      <c r="M11" s="44"/>
      <c r="N11" s="50">
        <f t="shared" si="2"/>
        <v>3.3092534159999998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 t="s">
        <v>297</v>
      </c>
      <c r="B12" s="46">
        <v>2</v>
      </c>
      <c r="C12" s="67" t="s">
        <v>175</v>
      </c>
      <c r="D12" s="46" t="s">
        <v>106</v>
      </c>
      <c r="E12" s="44"/>
      <c r="F12" s="48">
        <f>10.7639 * (0.175)</f>
        <v>1.8836824999999997</v>
      </c>
      <c r="G12" s="44">
        <v>78</v>
      </c>
      <c r="H12" s="46">
        <v>120</v>
      </c>
      <c r="I12" s="49">
        <f t="shared" si="0"/>
        <v>42</v>
      </c>
      <c r="J12" s="46">
        <v>0.14399999999999999</v>
      </c>
      <c r="K12" s="46" t="str">
        <f>_xlfn.UNICHAR(8595)</f>
        <v>↓</v>
      </c>
      <c r="L12" s="50">
        <f t="shared" si="1"/>
        <v>11.392511759999998</v>
      </c>
      <c r="M12" s="44"/>
      <c r="N12" s="50">
        <f t="shared" si="2"/>
        <v>11.392511759999998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53" t="s">
        <v>279</v>
      </c>
      <c r="B13" s="46">
        <v>2</v>
      </c>
      <c r="C13" s="67" t="s">
        <v>175</v>
      </c>
      <c r="D13" s="46" t="s">
        <v>106</v>
      </c>
      <c r="E13" s="44"/>
      <c r="F13" s="48">
        <f>F11</f>
        <v>3.2829894999999998</v>
      </c>
      <c r="G13" s="44">
        <v>78</v>
      </c>
      <c r="H13" s="46">
        <v>85</v>
      </c>
      <c r="I13" s="49">
        <f t="shared" si="0"/>
        <v>7</v>
      </c>
      <c r="J13" s="46">
        <v>0.14399999999999999</v>
      </c>
      <c r="K13" s="46" t="str">
        <f>_xlfn.UNICHAR(8595)</f>
        <v>↓</v>
      </c>
      <c r="L13" s="50">
        <f t="shared" si="1"/>
        <v>3.3092534159999998</v>
      </c>
      <c r="M13" s="44"/>
      <c r="N13" s="50">
        <f t="shared" si="2"/>
        <v>3.3092534159999998</v>
      </c>
      <c r="O13" s="46">
        <v>70</v>
      </c>
      <c r="P13" s="46">
        <v>70</v>
      </c>
      <c r="Q13" s="49">
        <f t="shared" si="3"/>
        <v>0</v>
      </c>
      <c r="R13" s="46"/>
      <c r="S13" s="46"/>
      <c r="T13" s="51">
        <f t="shared" si="4"/>
        <v>0</v>
      </c>
    </row>
    <row r="14" spans="1:20" x14ac:dyDescent="0.3">
      <c r="A14" s="53" t="s">
        <v>388</v>
      </c>
      <c r="B14" s="46">
        <v>2</v>
      </c>
      <c r="C14" s="67" t="s">
        <v>175</v>
      </c>
      <c r="D14" s="46" t="s">
        <v>106</v>
      </c>
      <c r="E14" s="44"/>
      <c r="F14" s="48">
        <f>F12</f>
        <v>1.8836824999999997</v>
      </c>
      <c r="G14" s="44">
        <v>78</v>
      </c>
      <c r="H14" s="46">
        <v>120</v>
      </c>
      <c r="I14" s="49">
        <f t="shared" si="0"/>
        <v>42</v>
      </c>
      <c r="J14" s="46">
        <v>0.14399999999999999</v>
      </c>
      <c r="K14" s="46" t="str">
        <f>_xlfn.UNICHAR(8595)</f>
        <v>↓</v>
      </c>
      <c r="L14" s="50">
        <f t="shared" si="1"/>
        <v>11.392511759999998</v>
      </c>
      <c r="M14" s="44"/>
      <c r="N14" s="50">
        <f t="shared" si="2"/>
        <v>11.392511759999998</v>
      </c>
      <c r="O14" s="46">
        <v>70</v>
      </c>
      <c r="P14" s="46">
        <v>70</v>
      </c>
      <c r="Q14" s="49">
        <f t="shared" si="3"/>
        <v>0</v>
      </c>
      <c r="R14" s="46"/>
      <c r="S14" s="46"/>
      <c r="T14" s="51">
        <f t="shared" si="4"/>
        <v>0</v>
      </c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450.66441832650003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(0.6*0.5))*2</f>
        <v>6.4583399999999997</v>
      </c>
      <c r="G20" s="44"/>
      <c r="H20" s="44"/>
      <c r="I20" s="44"/>
      <c r="J20" s="44"/>
      <c r="K20" s="44"/>
      <c r="L20" s="46">
        <f>F20*160</f>
        <v>1033.3344</v>
      </c>
      <c r="M20" s="44"/>
      <c r="N20" s="50">
        <f>L20+M20</f>
        <v>1033.3344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15.13</f>
        <v>162.85780700000001</v>
      </c>
      <c r="G21" s="44"/>
      <c r="H21" s="44"/>
      <c r="I21" s="44"/>
      <c r="J21" s="44"/>
      <c r="K21" s="44"/>
      <c r="L21" s="46">
        <f>4*F21</f>
        <v>651.43122800000003</v>
      </c>
      <c r="M21" s="44"/>
      <c r="N21" s="50">
        <f>L21+M21</f>
        <v>651.43122800000003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2935.4300463264999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2935.4300463264999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3"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73"/>
    </row>
    <row r="32" spans="1:20" x14ac:dyDescent="0.3"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73"/>
    </row>
    <row r="33" spans="1:20" ht="14.4" x14ac:dyDescent="0.3">
      <c r="E33" s="44" t="s">
        <v>116</v>
      </c>
      <c r="F33" s="44">
        <v>25</v>
      </c>
      <c r="G33" s="26" t="s">
        <v>117</v>
      </c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73"/>
    </row>
    <row r="34" spans="1:20" x14ac:dyDescent="0.3">
      <c r="E34" s="44" t="s">
        <v>118</v>
      </c>
      <c r="F34" s="44">
        <f>15*1</f>
        <v>15</v>
      </c>
      <c r="G34" s="44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73"/>
    </row>
    <row r="35" spans="1:20" x14ac:dyDescent="0.3">
      <c r="E35" s="44" t="s">
        <v>119</v>
      </c>
      <c r="F35" s="48">
        <f>$F$21</f>
        <v>162.85780700000001</v>
      </c>
      <c r="G35" s="44" t="s">
        <v>120</v>
      </c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73"/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73"/>
    </row>
    <row r="37" spans="1:20" x14ac:dyDescent="0.3">
      <c r="E37" s="44" t="s">
        <v>123</v>
      </c>
      <c r="F37" s="49">
        <f>F35*F36</f>
        <v>1442.6381002982762</v>
      </c>
      <c r="G37" s="44" t="s">
        <v>124</v>
      </c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73"/>
    </row>
    <row r="38" spans="1:20" x14ac:dyDescent="0.3">
      <c r="E38" s="44" t="s">
        <v>125</v>
      </c>
      <c r="F38" s="56">
        <f>F37/30</f>
        <v>48.087936676609203</v>
      </c>
      <c r="G38" s="44" t="s">
        <v>126</v>
      </c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73"/>
    </row>
    <row r="39" spans="1:20" x14ac:dyDescent="0.3">
      <c r="E39" s="44" t="s">
        <v>127</v>
      </c>
      <c r="F39" s="50">
        <f>SUM($L$5:$L$28)</f>
        <v>2450.4300463264999</v>
      </c>
      <c r="G39" s="44" t="s">
        <v>128</v>
      </c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73"/>
    </row>
    <row r="40" spans="1:20" x14ac:dyDescent="0.3">
      <c r="E40" s="44" t="s">
        <v>129</v>
      </c>
      <c r="F40" s="49">
        <f>SUM($M$5:$M$28)</f>
        <v>485</v>
      </c>
      <c r="G40" s="44" t="s">
        <v>128</v>
      </c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73"/>
    </row>
    <row r="41" spans="1:20" x14ac:dyDescent="0.3">
      <c r="E41" s="44" t="s">
        <v>130</v>
      </c>
      <c r="F41" s="50">
        <f>$N$29</f>
        <v>2935.4300463264999</v>
      </c>
      <c r="G41" s="44" t="s">
        <v>128</v>
      </c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73"/>
    </row>
    <row r="42" spans="1:20" x14ac:dyDescent="0.3">
      <c r="E42" s="44" t="s">
        <v>131</v>
      </c>
      <c r="F42" s="50">
        <f>$T$29</f>
        <v>0</v>
      </c>
      <c r="G42" s="44" t="s">
        <v>128</v>
      </c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73"/>
    </row>
    <row r="43" spans="1:20" x14ac:dyDescent="0.3">
      <c r="E43" s="44" t="s">
        <v>132</v>
      </c>
      <c r="F43" s="56">
        <f>F39/(1.08*F33)</f>
        <v>90.756668382462962</v>
      </c>
      <c r="G43" s="44" t="s">
        <v>126</v>
      </c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73"/>
    </row>
    <row r="44" spans="1:20" x14ac:dyDescent="0.3">
      <c r="E44" s="44" t="s">
        <v>126</v>
      </c>
      <c r="F44" s="57">
        <f>ROUNDUP(F43,0)</f>
        <v>91</v>
      </c>
      <c r="G44" s="44" t="s">
        <v>126</v>
      </c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73"/>
    </row>
    <row r="45" spans="1:20" x14ac:dyDescent="0.3">
      <c r="E45" s="44" t="s">
        <v>133</v>
      </c>
      <c r="F45" s="50">
        <f>F44*0.0002930711</f>
        <v>2.6669470099999999E-2</v>
      </c>
      <c r="G45" s="44" t="s">
        <v>134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73"/>
    </row>
    <row r="46" spans="1:20" x14ac:dyDescent="0.3">
      <c r="E46" s="44" t="s">
        <v>135</v>
      </c>
      <c r="F46" s="50">
        <f>F39/F41</f>
        <v>0.83477719027678887</v>
      </c>
      <c r="G46" s="44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7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186" t="s">
        <v>138</v>
      </c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189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1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189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1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189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1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189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1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189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1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189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1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192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4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7"/>
      <c r="B56" s="7"/>
      <c r="C56" s="7"/>
      <c r="D56" s="7"/>
      <c r="E56" s="7"/>
      <c r="F56" s="7"/>
      <c r="G56" s="6" t="s">
        <v>168</v>
      </c>
      <c r="H56" s="6"/>
      <c r="I56" s="6"/>
      <c r="J56" s="6"/>
      <c r="K56" s="6" t="s">
        <v>169</v>
      </c>
      <c r="L56" s="6"/>
      <c r="M56" s="6"/>
      <c r="N56" s="6"/>
      <c r="O56" s="6"/>
      <c r="P56" s="6"/>
      <c r="Q56" s="6"/>
      <c r="R56" s="53" t="s">
        <v>170</v>
      </c>
      <c r="S56" s="6"/>
      <c r="T56" s="6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4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F0"/>
  </sheetPr>
  <dimension ref="A1:T254"/>
  <sheetViews>
    <sheetView zoomScale="95" zoomScaleNormal="95" workbookViewId="0"/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14.664062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62" t="s">
        <v>72</v>
      </c>
      <c r="B1" s="162"/>
      <c r="C1" s="162" t="s">
        <v>73</v>
      </c>
      <c r="D1" s="162"/>
      <c r="E1" s="52" t="s">
        <v>74</v>
      </c>
      <c r="F1" s="5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63" t="s">
        <v>389</v>
      </c>
      <c r="B2" s="163"/>
      <c r="C2" s="163">
        <v>7005</v>
      </c>
      <c r="D2" s="163"/>
      <c r="E2" s="45" t="s">
        <v>369</v>
      </c>
      <c r="F2" s="45" t="s">
        <v>358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74" t="s">
        <v>320</v>
      </c>
      <c r="B5" s="46">
        <v>6</v>
      </c>
      <c r="C5" s="67" t="s">
        <v>104</v>
      </c>
      <c r="D5" s="46" t="s">
        <v>99</v>
      </c>
      <c r="E5" s="46" t="s">
        <v>390</v>
      </c>
      <c r="F5" s="48">
        <f>10.7639 *((1.5+2.1)*2.7)</f>
        <v>104.625108</v>
      </c>
      <c r="G5" s="44">
        <v>78</v>
      </c>
      <c r="H5" s="46">
        <v>85</v>
      </c>
      <c r="I5" s="49">
        <f t="shared" ref="I5:I12" si="0">H5-G5</f>
        <v>7</v>
      </c>
      <c r="J5" s="46">
        <v>0.313</v>
      </c>
      <c r="K5" s="46" t="str">
        <f>_xlfn.UNICHAR(8596)</f>
        <v>↔</v>
      </c>
      <c r="L5" s="50">
        <f t="shared" ref="L5:L12" si="1">F5*I5*J5</f>
        <v>229.23361162800001</v>
      </c>
      <c r="M5" s="49"/>
      <c r="N5" s="50">
        <f t="shared" ref="N5:N12" si="2">L5+M5</f>
        <v>229.23361162800001</v>
      </c>
      <c r="O5" s="46">
        <v>70</v>
      </c>
      <c r="P5" s="46">
        <v>70</v>
      </c>
      <c r="Q5" s="49">
        <f t="shared" ref="Q5:Q12" si="3">O5-P5</f>
        <v>0</v>
      </c>
      <c r="R5" s="46"/>
      <c r="S5" s="46"/>
      <c r="T5" s="51">
        <f t="shared" ref="T5:T12" si="4">F5*Q5*R5</f>
        <v>0</v>
      </c>
    </row>
    <row r="6" spans="1:20" x14ac:dyDescent="0.3">
      <c r="A6" s="53" t="s">
        <v>294</v>
      </c>
      <c r="B6" s="46">
        <v>2</v>
      </c>
      <c r="C6" s="67" t="s">
        <v>175</v>
      </c>
      <c r="D6" s="46" t="s">
        <v>106</v>
      </c>
      <c r="E6" s="44"/>
      <c r="F6" s="48">
        <f>10.7639 *(2.115)</f>
        <v>22.765648500000001</v>
      </c>
      <c r="G6" s="44">
        <v>78</v>
      </c>
      <c r="H6" s="46">
        <v>85</v>
      </c>
      <c r="I6" s="49">
        <f t="shared" si="0"/>
        <v>7</v>
      </c>
      <c r="J6" s="46">
        <v>0.14399999999999999</v>
      </c>
      <c r="K6" s="46" t="str">
        <f>_xlfn.UNICHAR(8595)</f>
        <v>↓</v>
      </c>
      <c r="L6" s="50">
        <f t="shared" si="1"/>
        <v>22.947773688000002</v>
      </c>
      <c r="M6" s="49"/>
      <c r="N6" s="50">
        <f t="shared" si="2"/>
        <v>22.947773688000002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297</v>
      </c>
      <c r="B7" s="46">
        <v>2</v>
      </c>
      <c r="C7" s="67" t="s">
        <v>175</v>
      </c>
      <c r="D7" s="46" t="s">
        <v>106</v>
      </c>
      <c r="E7" s="44"/>
      <c r="F7" s="48">
        <f>10.7639 *(0.125)</f>
        <v>1.3454874999999999</v>
      </c>
      <c r="G7" s="44">
        <v>78</v>
      </c>
      <c r="H7" s="46">
        <v>120</v>
      </c>
      <c r="I7" s="49">
        <f t="shared" si="0"/>
        <v>42</v>
      </c>
      <c r="J7" s="46">
        <v>0.14399999999999999</v>
      </c>
      <c r="K7" s="46" t="str">
        <f>_xlfn.UNICHAR(8595)</f>
        <v>↓</v>
      </c>
      <c r="L7" s="50">
        <f t="shared" si="1"/>
        <v>8.1375083999999998</v>
      </c>
      <c r="M7" s="49"/>
      <c r="N7" s="50">
        <f t="shared" si="2"/>
        <v>8.1375083999999998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279</v>
      </c>
      <c r="B8" s="46">
        <v>2</v>
      </c>
      <c r="C8" s="67" t="s">
        <v>175</v>
      </c>
      <c r="D8" s="46" t="s">
        <v>106</v>
      </c>
      <c r="E8" s="44"/>
      <c r="F8" s="48">
        <f>10.7639 *(2.115)</f>
        <v>22.765648500000001</v>
      </c>
      <c r="G8" s="44">
        <v>78</v>
      </c>
      <c r="H8" s="46">
        <v>85</v>
      </c>
      <c r="I8" s="49">
        <f t="shared" si="0"/>
        <v>7</v>
      </c>
      <c r="J8" s="46">
        <v>0.14399999999999999</v>
      </c>
      <c r="K8" s="46" t="str">
        <f>_xlfn.UNICHAR(8595)</f>
        <v>↓</v>
      </c>
      <c r="L8" s="50">
        <f t="shared" si="1"/>
        <v>22.947773688000002</v>
      </c>
      <c r="M8" s="49"/>
      <c r="N8" s="50">
        <f t="shared" si="2"/>
        <v>22.947773688000002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388</v>
      </c>
      <c r="B9" s="46">
        <v>2</v>
      </c>
      <c r="C9" s="67" t="s">
        <v>175</v>
      </c>
      <c r="D9" s="46" t="s">
        <v>106</v>
      </c>
      <c r="E9" s="44"/>
      <c r="F9" s="48">
        <f>10.7639 *(0.125)</f>
        <v>1.3454874999999999</v>
      </c>
      <c r="G9" s="44">
        <v>78</v>
      </c>
      <c r="H9" s="46">
        <v>120</v>
      </c>
      <c r="I9" s="49">
        <f t="shared" si="0"/>
        <v>42</v>
      </c>
      <c r="J9" s="46">
        <v>0.14399999999999999</v>
      </c>
      <c r="K9" s="46" t="str">
        <f>_xlfn.UNICHAR(8595)</f>
        <v>↓</v>
      </c>
      <c r="L9" s="50">
        <f t="shared" si="1"/>
        <v>8.1375083999999998</v>
      </c>
      <c r="M9" s="49"/>
      <c r="N9" s="50">
        <f t="shared" si="2"/>
        <v>8.1375083999999998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282</v>
      </c>
      <c r="B10" s="46">
        <v>2</v>
      </c>
      <c r="C10" s="67" t="s">
        <v>175</v>
      </c>
      <c r="D10" s="46" t="s">
        <v>106</v>
      </c>
      <c r="E10" s="46" t="s">
        <v>391</v>
      </c>
      <c r="F10" s="48">
        <f>10.7639 *(0.2*1.1)</f>
        <v>2.368058</v>
      </c>
      <c r="G10" s="44">
        <v>78</v>
      </c>
      <c r="H10" s="46">
        <v>85</v>
      </c>
      <c r="I10" s="49">
        <f t="shared" si="0"/>
        <v>7</v>
      </c>
      <c r="J10" s="46">
        <v>0.14399999999999999</v>
      </c>
      <c r="K10" s="46" t="str">
        <f>_xlfn.UNICHAR(8595)</f>
        <v>↓</v>
      </c>
      <c r="L10" s="50">
        <f t="shared" si="1"/>
        <v>2.3870024639999996</v>
      </c>
      <c r="M10" s="44"/>
      <c r="N10" s="50">
        <f t="shared" si="2"/>
        <v>2.3870024639999996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108</v>
      </c>
      <c r="B11" s="46">
        <v>3</v>
      </c>
      <c r="C11" s="47" t="s">
        <v>205</v>
      </c>
      <c r="D11" s="46" t="s">
        <v>99</v>
      </c>
      <c r="E11" s="46" t="s">
        <v>392</v>
      </c>
      <c r="F11" s="48">
        <f>10.7639 *((3.8+4.6)*2.7)</f>
        <v>244.12525199999996</v>
      </c>
      <c r="G11" s="44">
        <v>78</v>
      </c>
      <c r="H11" s="46">
        <v>95</v>
      </c>
      <c r="I11" s="49">
        <f t="shared" si="0"/>
        <v>17</v>
      </c>
      <c r="J11" s="46">
        <v>6.3E-2</v>
      </c>
      <c r="K11" s="46" t="str">
        <f>_xlfn.UNICHAR(8596)</f>
        <v>↔</v>
      </c>
      <c r="L11" s="50">
        <f t="shared" si="1"/>
        <v>261.45814489200001</v>
      </c>
      <c r="M11" s="44"/>
      <c r="N11" s="50">
        <f t="shared" si="2"/>
        <v>261.45814489200001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 t="s">
        <v>190</v>
      </c>
      <c r="B12" s="46">
        <v>6</v>
      </c>
      <c r="C12" s="67" t="s">
        <v>104</v>
      </c>
      <c r="D12" s="46" t="s">
        <v>99</v>
      </c>
      <c r="E12" s="46" t="s">
        <v>393</v>
      </c>
      <c r="F12" s="48">
        <f>10.7639 *(1.4*2.7)</f>
        <v>40.687541999999993</v>
      </c>
      <c r="G12" s="44">
        <v>78</v>
      </c>
      <c r="H12" s="46">
        <v>80</v>
      </c>
      <c r="I12" s="49">
        <f t="shared" si="0"/>
        <v>2</v>
      </c>
      <c r="J12" s="46">
        <v>0.313</v>
      </c>
      <c r="K12" s="46" t="str">
        <f>_xlfn.UNICHAR(8596)</f>
        <v>↔</v>
      </c>
      <c r="L12" s="50">
        <f t="shared" si="1"/>
        <v>25.470401291999995</v>
      </c>
      <c r="M12" s="44"/>
      <c r="N12" s="50">
        <f t="shared" si="2"/>
        <v>25.470401291999995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A18" s="53"/>
      <c r="B18" s="46"/>
      <c r="C18" s="67"/>
      <c r="D18" s="46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580.71972445199992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(0.6*0.5))*3</f>
        <v>9.6875099999999996</v>
      </c>
      <c r="G20" s="44"/>
      <c r="H20" s="44"/>
      <c r="I20" s="44"/>
      <c r="J20" s="44"/>
      <c r="K20" s="44"/>
      <c r="L20" s="46">
        <f>F20*160</f>
        <v>1550.0016000000001</v>
      </c>
      <c r="M20" s="44"/>
      <c r="N20" s="50">
        <f>L20+M20</f>
        <v>1550.0016000000001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22.55</f>
        <v>242.725945</v>
      </c>
      <c r="G21" s="44"/>
      <c r="H21" s="44"/>
      <c r="I21" s="44"/>
      <c r="J21" s="44"/>
      <c r="K21" s="44"/>
      <c r="L21" s="46">
        <f>5*F21</f>
        <v>1213.629725</v>
      </c>
      <c r="M21" s="44"/>
      <c r="N21" s="50">
        <f>L21+M21</f>
        <v>1213.629725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4144.3510494519996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4144.3510494519996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3">
      <c r="A31" s="5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</row>
    <row r="32" spans="1:20" x14ac:dyDescent="0.3">
      <c r="A32" s="5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</row>
    <row r="33" spans="1:20" ht="14.4" x14ac:dyDescent="0.3">
      <c r="A33" s="53"/>
      <c r="B33" s="44"/>
      <c r="C33" s="44"/>
      <c r="D33" s="44"/>
      <c r="E33" s="44" t="s">
        <v>116</v>
      </c>
      <c r="F33" s="44">
        <v>25</v>
      </c>
      <c r="G33" s="26" t="s">
        <v>117</v>
      </c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</row>
    <row r="34" spans="1:20" x14ac:dyDescent="0.3">
      <c r="A34" s="53"/>
      <c r="B34" s="44"/>
      <c r="C34" s="44"/>
      <c r="D34" s="44"/>
      <c r="E34" s="44" t="s">
        <v>118</v>
      </c>
      <c r="F34" s="44">
        <f>15*1</f>
        <v>15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</row>
    <row r="35" spans="1:20" x14ac:dyDescent="0.3">
      <c r="A35" s="53"/>
      <c r="B35" s="44"/>
      <c r="C35" s="44"/>
      <c r="D35" s="44"/>
      <c r="E35" s="44" t="s">
        <v>119</v>
      </c>
      <c r="F35" s="48">
        <f>$F$21</f>
        <v>242.725945</v>
      </c>
      <c r="G35" s="44" t="s">
        <v>120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</row>
    <row r="36" spans="1:20" x14ac:dyDescent="0.3">
      <c r="A36" s="53"/>
      <c r="B36" s="44"/>
      <c r="C36" s="44"/>
      <c r="D36" s="44"/>
      <c r="E36" s="44" t="s">
        <v>121</v>
      </c>
      <c r="F36" s="48">
        <f>3.28084 * 2.7</f>
        <v>8.8582680000000007</v>
      </c>
      <c r="G36" s="44" t="s">
        <v>122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</row>
    <row r="37" spans="1:20" x14ac:dyDescent="0.3">
      <c r="A37" s="53"/>
      <c r="B37" s="44"/>
      <c r="C37" s="44"/>
      <c r="D37" s="44"/>
      <c r="E37" s="44" t="s">
        <v>123</v>
      </c>
      <c r="F37" s="75">
        <f>F35*F36</f>
        <v>2150.1314713632601</v>
      </c>
      <c r="G37" s="44" t="s">
        <v>124</v>
      </c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</row>
    <row r="38" spans="1:20" x14ac:dyDescent="0.3">
      <c r="A38" s="53"/>
      <c r="B38" s="44"/>
      <c r="C38" s="44"/>
      <c r="D38" s="44"/>
      <c r="E38" s="44" t="s">
        <v>125</v>
      </c>
      <c r="F38" s="56">
        <f>F37/30</f>
        <v>71.671049045442004</v>
      </c>
      <c r="G38" s="44" t="s">
        <v>126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</row>
    <row r="39" spans="1:20" x14ac:dyDescent="0.3">
      <c r="A39" s="53"/>
      <c r="B39" s="44"/>
      <c r="C39" s="44"/>
      <c r="D39" s="44"/>
      <c r="E39" s="44" t="s">
        <v>127</v>
      </c>
      <c r="F39" s="50">
        <f>SUM($L$5:$L$28)</f>
        <v>3659.3510494519996</v>
      </c>
      <c r="G39" s="44" t="s">
        <v>128</v>
      </c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</row>
    <row r="40" spans="1:20" x14ac:dyDescent="0.3">
      <c r="A40" s="53"/>
      <c r="B40" s="44"/>
      <c r="C40" s="44"/>
      <c r="D40" s="44"/>
      <c r="E40" s="44" t="s">
        <v>129</v>
      </c>
      <c r="F40" s="49">
        <f>SUM($M$5:$M$28)</f>
        <v>485</v>
      </c>
      <c r="G40" s="44" t="s">
        <v>128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</row>
    <row r="41" spans="1:20" x14ac:dyDescent="0.3">
      <c r="A41" s="53"/>
      <c r="B41" s="44"/>
      <c r="C41" s="44"/>
      <c r="D41" s="44"/>
      <c r="E41" s="44" t="s">
        <v>130</v>
      </c>
      <c r="F41" s="50">
        <f>$N$29</f>
        <v>4144.3510494519996</v>
      </c>
      <c r="G41" s="44" t="s">
        <v>128</v>
      </c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</row>
    <row r="42" spans="1:20" x14ac:dyDescent="0.3">
      <c r="A42" s="53"/>
      <c r="B42" s="44"/>
      <c r="C42" s="44"/>
      <c r="D42" s="44"/>
      <c r="E42" s="44" t="s">
        <v>131</v>
      </c>
      <c r="F42" s="50">
        <f>$T$29</f>
        <v>0</v>
      </c>
      <c r="G42" s="44" t="s">
        <v>128</v>
      </c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</row>
    <row r="43" spans="1:20" x14ac:dyDescent="0.3">
      <c r="A43" s="53"/>
      <c r="B43" s="44"/>
      <c r="C43" s="44"/>
      <c r="D43" s="44"/>
      <c r="E43" s="44" t="s">
        <v>132</v>
      </c>
      <c r="F43" s="56">
        <f>F39/(1.08*F33)</f>
        <v>135.53152035007406</v>
      </c>
      <c r="G43" s="44" t="s">
        <v>126</v>
      </c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</row>
    <row r="44" spans="1:20" x14ac:dyDescent="0.3">
      <c r="A44" s="53"/>
      <c r="B44" s="44"/>
      <c r="C44" s="44"/>
      <c r="D44" s="44"/>
      <c r="E44" s="44" t="s">
        <v>126</v>
      </c>
      <c r="F44" s="57">
        <f>ROUNDUP(F43,0)</f>
        <v>136</v>
      </c>
      <c r="G44" s="44" t="s">
        <v>126</v>
      </c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</row>
    <row r="45" spans="1:20" x14ac:dyDescent="0.3">
      <c r="A45" s="53"/>
      <c r="B45" s="44"/>
      <c r="C45" s="44"/>
      <c r="D45" s="44"/>
      <c r="E45" s="44" t="s">
        <v>133</v>
      </c>
      <c r="F45" s="50">
        <f>F44*0.0002930711</f>
        <v>3.9857669599999999E-2</v>
      </c>
      <c r="G45" s="44" t="s">
        <v>134</v>
      </c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</row>
    <row r="46" spans="1:20" x14ac:dyDescent="0.3">
      <c r="A46" s="53"/>
      <c r="B46" s="44"/>
      <c r="C46" s="44"/>
      <c r="D46" s="44"/>
      <c r="E46" s="44" t="s">
        <v>135</v>
      </c>
      <c r="F46" s="50">
        <f>F39/F41</f>
        <v>0.88297323411728579</v>
      </c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7" t="s">
        <v>165</v>
      </c>
      <c r="B55" s="7"/>
      <c r="C55" s="7"/>
      <c r="D55" s="7" t="s">
        <v>166</v>
      </c>
      <c r="E55" s="7"/>
      <c r="F55" s="7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7"/>
      <c r="B56" s="7"/>
      <c r="C56" s="7"/>
      <c r="D56" s="7"/>
      <c r="E56" s="7"/>
      <c r="F56" s="7"/>
      <c r="G56" s="6" t="s">
        <v>168</v>
      </c>
      <c r="H56" s="6"/>
      <c r="I56" s="6"/>
      <c r="J56" s="6"/>
      <c r="K56" s="6" t="s">
        <v>169</v>
      </c>
      <c r="L56" s="6"/>
      <c r="M56" s="6"/>
      <c r="N56" s="6"/>
      <c r="O56" s="6"/>
      <c r="P56" s="6"/>
      <c r="Q56" s="6"/>
      <c r="R56" s="53" t="s">
        <v>170</v>
      </c>
      <c r="S56" s="6"/>
      <c r="T56" s="6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F0"/>
  </sheetPr>
  <dimension ref="A1:T254"/>
  <sheetViews>
    <sheetView topLeftCell="A33" zoomScale="95" zoomScaleNormal="95" workbookViewId="0">
      <selection activeCell="A33" sqref="A3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14.664062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62" t="s">
        <v>72</v>
      </c>
      <c r="B1" s="162"/>
      <c r="C1" s="162" t="s">
        <v>73</v>
      </c>
      <c r="D1" s="162"/>
      <c r="E1" s="52" t="s">
        <v>74</v>
      </c>
      <c r="F1" s="5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63" t="s">
        <v>345</v>
      </c>
      <c r="B2" s="163"/>
      <c r="C2" s="163">
        <v>7009</v>
      </c>
      <c r="D2" s="163"/>
      <c r="E2" s="45" t="s">
        <v>369</v>
      </c>
      <c r="F2" s="45" t="s">
        <v>358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74" t="s">
        <v>190</v>
      </c>
      <c r="B5" s="46">
        <v>6</v>
      </c>
      <c r="C5" s="67" t="s">
        <v>104</v>
      </c>
      <c r="D5" s="46" t="s">
        <v>99</v>
      </c>
      <c r="E5" s="46" t="s">
        <v>394</v>
      </c>
      <c r="F5" s="48">
        <f>10.7639 *(3*2.7)</f>
        <v>87.187590000000014</v>
      </c>
      <c r="G5" s="44">
        <v>78</v>
      </c>
      <c r="H5" s="46">
        <v>80</v>
      </c>
      <c r="I5" s="49">
        <f t="shared" ref="I5:I14" si="0">H5-G5</f>
        <v>2</v>
      </c>
      <c r="J5" s="46">
        <v>0.313</v>
      </c>
      <c r="K5" s="46" t="str">
        <f t="shared" ref="K5:K11" si="1">_xlfn.UNICHAR(8596)</f>
        <v>↔</v>
      </c>
      <c r="L5" s="50">
        <f t="shared" ref="L5:L14" si="2">F5*I5*J5</f>
        <v>54.579431340000006</v>
      </c>
      <c r="M5" s="49"/>
      <c r="N5" s="50">
        <f t="shared" ref="N5:N14" si="3">L5+M5</f>
        <v>54.579431340000006</v>
      </c>
      <c r="O5" s="46">
        <v>70</v>
      </c>
      <c r="P5" s="46">
        <v>70</v>
      </c>
      <c r="Q5" s="49">
        <f t="shared" ref="Q5:Q14" si="4">O5-P5</f>
        <v>0</v>
      </c>
      <c r="R5" s="46"/>
      <c r="S5" s="46"/>
      <c r="T5" s="51">
        <f t="shared" ref="T5:T14" si="5">F5*Q5*R5</f>
        <v>0</v>
      </c>
    </row>
    <row r="6" spans="1:20" x14ac:dyDescent="0.3">
      <c r="A6" s="53" t="s">
        <v>108</v>
      </c>
      <c r="B6" s="46">
        <v>3</v>
      </c>
      <c r="C6" s="47" t="s">
        <v>205</v>
      </c>
      <c r="D6" s="46" t="s">
        <v>99</v>
      </c>
      <c r="E6" s="46" t="s">
        <v>395</v>
      </c>
      <c r="F6" s="48">
        <f>10.7639 *(5.4*2.7)</f>
        <v>156.93766200000002</v>
      </c>
      <c r="G6" s="44">
        <v>78</v>
      </c>
      <c r="H6" s="46">
        <v>95</v>
      </c>
      <c r="I6" s="49">
        <f t="shared" si="0"/>
        <v>17</v>
      </c>
      <c r="J6" s="46">
        <v>6.3E-2</v>
      </c>
      <c r="K6" s="46" t="str">
        <f t="shared" si="1"/>
        <v>↔</v>
      </c>
      <c r="L6" s="50">
        <f t="shared" si="2"/>
        <v>168.08023600200002</v>
      </c>
      <c r="M6" s="49"/>
      <c r="N6" s="50">
        <f t="shared" si="3"/>
        <v>168.08023600200002</v>
      </c>
      <c r="O6" s="46">
        <v>70</v>
      </c>
      <c r="P6" s="46">
        <v>70</v>
      </c>
      <c r="Q6" s="49">
        <f t="shared" si="4"/>
        <v>0</v>
      </c>
      <c r="R6" s="46"/>
      <c r="S6" s="46"/>
      <c r="T6" s="50">
        <f t="shared" si="5"/>
        <v>0</v>
      </c>
    </row>
    <row r="7" spans="1:20" x14ac:dyDescent="0.3">
      <c r="A7" s="53" t="s">
        <v>396</v>
      </c>
      <c r="B7" s="46">
        <v>6</v>
      </c>
      <c r="C7" s="67" t="s">
        <v>104</v>
      </c>
      <c r="D7" s="46" t="s">
        <v>99</v>
      </c>
      <c r="E7" s="46" t="s">
        <v>397</v>
      </c>
      <c r="F7" s="48">
        <f>10.7639 *((0.9+1.5+2.1)*2.7)</f>
        <v>130.781385</v>
      </c>
      <c r="G7" s="44">
        <v>78</v>
      </c>
      <c r="H7" s="46">
        <v>85</v>
      </c>
      <c r="I7" s="49">
        <f t="shared" si="0"/>
        <v>7</v>
      </c>
      <c r="J7" s="46">
        <v>0.313</v>
      </c>
      <c r="K7" s="46" t="str">
        <f t="shared" si="1"/>
        <v>↔</v>
      </c>
      <c r="L7" s="50">
        <f t="shared" si="2"/>
        <v>286.54201453500002</v>
      </c>
      <c r="M7" s="49"/>
      <c r="N7" s="50">
        <f t="shared" si="3"/>
        <v>286.54201453500002</v>
      </c>
      <c r="O7" s="46">
        <v>70</v>
      </c>
      <c r="P7" s="46">
        <v>70</v>
      </c>
      <c r="Q7" s="49">
        <f t="shared" si="4"/>
        <v>0</v>
      </c>
      <c r="R7" s="46"/>
      <c r="S7" s="46"/>
      <c r="T7" s="51">
        <f t="shared" si="5"/>
        <v>0</v>
      </c>
    </row>
    <row r="8" spans="1:20" x14ac:dyDescent="0.3">
      <c r="A8" s="53" t="s">
        <v>344</v>
      </c>
      <c r="B8" s="46">
        <v>6</v>
      </c>
      <c r="C8" s="67" t="s">
        <v>104</v>
      </c>
      <c r="D8" s="46" t="s">
        <v>99</v>
      </c>
      <c r="E8" s="46" t="s">
        <v>359</v>
      </c>
      <c r="F8" s="48">
        <f>10.7639 *(1.1*2.7)</f>
        <v>31.968783000000006</v>
      </c>
      <c r="G8" s="44">
        <v>78</v>
      </c>
      <c r="H8" s="46">
        <v>85</v>
      </c>
      <c r="I8" s="49">
        <f t="shared" si="0"/>
        <v>7</v>
      </c>
      <c r="J8" s="46">
        <v>0.313</v>
      </c>
      <c r="K8" s="46" t="str">
        <f t="shared" si="1"/>
        <v>↔</v>
      </c>
      <c r="L8" s="50">
        <f t="shared" si="2"/>
        <v>70.043603553000011</v>
      </c>
      <c r="M8" s="49"/>
      <c r="N8" s="50">
        <f t="shared" si="3"/>
        <v>70.043603553000011</v>
      </c>
      <c r="O8" s="46">
        <v>70</v>
      </c>
      <c r="P8" s="46">
        <v>70</v>
      </c>
      <c r="Q8" s="49">
        <f t="shared" si="4"/>
        <v>0</v>
      </c>
      <c r="R8" s="46"/>
      <c r="S8" s="46"/>
      <c r="T8" s="51">
        <f t="shared" si="5"/>
        <v>0</v>
      </c>
    </row>
    <row r="9" spans="1:20" x14ac:dyDescent="0.3">
      <c r="A9" s="53" t="s">
        <v>398</v>
      </c>
      <c r="B9" s="46">
        <v>6</v>
      </c>
      <c r="C9" s="67" t="s">
        <v>104</v>
      </c>
      <c r="D9" s="46" t="s">
        <v>99</v>
      </c>
      <c r="E9" s="46" t="s">
        <v>240</v>
      </c>
      <c r="F9" s="48">
        <f>10.7639 *(0.8*2.7)</f>
        <v>23.250024</v>
      </c>
      <c r="G9" s="44">
        <v>78</v>
      </c>
      <c r="H9" s="46">
        <v>120</v>
      </c>
      <c r="I9" s="49">
        <f t="shared" si="0"/>
        <v>42</v>
      </c>
      <c r="J9" s="46">
        <v>0.313</v>
      </c>
      <c r="K9" s="46" t="str">
        <f t="shared" si="1"/>
        <v>↔</v>
      </c>
      <c r="L9" s="50">
        <f t="shared" si="2"/>
        <v>305.64481550400001</v>
      </c>
      <c r="M9" s="49"/>
      <c r="N9" s="50">
        <f t="shared" si="3"/>
        <v>305.64481550400001</v>
      </c>
      <c r="O9" s="46">
        <v>70</v>
      </c>
      <c r="P9" s="46">
        <v>70</v>
      </c>
      <c r="Q9" s="49">
        <f t="shared" si="4"/>
        <v>0</v>
      </c>
      <c r="R9" s="46"/>
      <c r="S9" s="46"/>
      <c r="T9" s="51">
        <f t="shared" si="5"/>
        <v>0</v>
      </c>
    </row>
    <row r="10" spans="1:20" x14ac:dyDescent="0.3">
      <c r="A10" s="53" t="s">
        <v>320</v>
      </c>
      <c r="B10" s="46">
        <v>6</v>
      </c>
      <c r="C10" s="67" t="s">
        <v>104</v>
      </c>
      <c r="D10" s="46" t="s">
        <v>99</v>
      </c>
      <c r="E10" s="46" t="s">
        <v>399</v>
      </c>
      <c r="F10" s="48">
        <f>10.7639 *(1.3*2.7)</f>
        <v>37.781289000000001</v>
      </c>
      <c r="G10" s="44">
        <v>78</v>
      </c>
      <c r="H10" s="46">
        <v>85</v>
      </c>
      <c r="I10" s="49">
        <f t="shared" si="0"/>
        <v>7</v>
      </c>
      <c r="J10" s="46">
        <v>0.313</v>
      </c>
      <c r="K10" s="46" t="str">
        <f t="shared" si="1"/>
        <v>↔</v>
      </c>
      <c r="L10" s="50">
        <f t="shared" si="2"/>
        <v>82.778804198999993</v>
      </c>
      <c r="M10" s="44"/>
      <c r="N10" s="50">
        <f t="shared" si="3"/>
        <v>82.778804198999993</v>
      </c>
      <c r="O10" s="46">
        <v>70</v>
      </c>
      <c r="P10" s="46">
        <v>70</v>
      </c>
      <c r="Q10" s="49">
        <f t="shared" si="4"/>
        <v>0</v>
      </c>
      <c r="R10" s="46"/>
      <c r="S10" s="46"/>
      <c r="T10" s="51">
        <f t="shared" si="5"/>
        <v>0</v>
      </c>
    </row>
    <row r="11" spans="1:20" x14ac:dyDescent="0.3">
      <c r="A11" s="53" t="s">
        <v>400</v>
      </c>
      <c r="B11" s="46">
        <v>6</v>
      </c>
      <c r="C11" s="67" t="s">
        <v>104</v>
      </c>
      <c r="D11" s="46" t="s">
        <v>99</v>
      </c>
      <c r="E11" s="46" t="s">
        <v>240</v>
      </c>
      <c r="F11" s="48">
        <f>10.7639 *(0.8*2.7)</f>
        <v>23.250024</v>
      </c>
      <c r="G11" s="44">
        <v>78</v>
      </c>
      <c r="H11" s="46">
        <v>120</v>
      </c>
      <c r="I11" s="49">
        <f t="shared" si="0"/>
        <v>42</v>
      </c>
      <c r="J11" s="46">
        <v>0.313</v>
      </c>
      <c r="K11" s="46" t="str">
        <f t="shared" si="1"/>
        <v>↔</v>
      </c>
      <c r="L11" s="50">
        <f t="shared" si="2"/>
        <v>305.64481550400001</v>
      </c>
      <c r="M11" s="44"/>
      <c r="N11" s="50">
        <f t="shared" si="3"/>
        <v>305.64481550400001</v>
      </c>
      <c r="O11" s="46">
        <v>70</v>
      </c>
      <c r="P11" s="46">
        <v>70</v>
      </c>
      <c r="Q11" s="49">
        <f t="shared" si="4"/>
        <v>0</v>
      </c>
      <c r="R11" s="46"/>
      <c r="S11" s="46"/>
      <c r="T11" s="51">
        <f t="shared" si="5"/>
        <v>0</v>
      </c>
    </row>
    <row r="12" spans="1:20" x14ac:dyDescent="0.3">
      <c r="A12" s="53" t="s">
        <v>190</v>
      </c>
      <c r="B12" s="46">
        <v>1</v>
      </c>
      <c r="C12" s="67" t="s">
        <v>175</v>
      </c>
      <c r="D12" s="46" t="s">
        <v>90</v>
      </c>
      <c r="E12" s="46"/>
      <c r="F12" s="48">
        <f>10.7639 *(0.77)</f>
        <v>8.2882029999999993</v>
      </c>
      <c r="G12" s="44">
        <v>78</v>
      </c>
      <c r="H12" s="46">
        <v>80</v>
      </c>
      <c r="I12" s="49">
        <f t="shared" si="0"/>
        <v>2</v>
      </c>
      <c r="J12" s="46">
        <v>0.17100000000000001</v>
      </c>
      <c r="K12" s="46" t="str">
        <f>_xlfn.UNICHAR(8593)</f>
        <v>↑</v>
      </c>
      <c r="L12" s="50">
        <f t="shared" si="2"/>
        <v>2.8345654260000002</v>
      </c>
      <c r="M12" s="44"/>
      <c r="N12" s="50">
        <f t="shared" si="3"/>
        <v>2.8345654260000002</v>
      </c>
      <c r="O12" s="46">
        <v>70</v>
      </c>
      <c r="P12" s="46">
        <v>70</v>
      </c>
      <c r="Q12" s="49">
        <f t="shared" si="4"/>
        <v>0</v>
      </c>
      <c r="R12" s="46"/>
      <c r="S12" s="46"/>
      <c r="T12" s="51">
        <f t="shared" si="5"/>
        <v>0</v>
      </c>
    </row>
    <row r="13" spans="1:20" x14ac:dyDescent="0.3">
      <c r="A13" s="53" t="s">
        <v>282</v>
      </c>
      <c r="B13" s="46">
        <v>2</v>
      </c>
      <c r="C13" s="67" t="s">
        <v>175</v>
      </c>
      <c r="D13" s="46" t="s">
        <v>106</v>
      </c>
      <c r="E13" s="44"/>
      <c r="F13" s="48">
        <f>10.7639 *(1.895)</f>
        <v>20.3975905</v>
      </c>
      <c r="G13" s="44">
        <v>78</v>
      </c>
      <c r="H13" s="46">
        <v>85</v>
      </c>
      <c r="I13" s="49">
        <f t="shared" si="0"/>
        <v>7</v>
      </c>
      <c r="J13" s="46">
        <v>0.14399999999999999</v>
      </c>
      <c r="K13" s="46" t="str">
        <f>_xlfn.UNICHAR(8595)</f>
        <v>↓</v>
      </c>
      <c r="L13" s="50">
        <f t="shared" si="2"/>
        <v>20.560771223999996</v>
      </c>
      <c r="M13" s="44"/>
      <c r="N13" s="50">
        <f t="shared" si="3"/>
        <v>20.560771223999996</v>
      </c>
      <c r="O13" s="46">
        <v>70</v>
      </c>
      <c r="P13" s="46">
        <v>70</v>
      </c>
      <c r="Q13" s="49">
        <f t="shared" si="4"/>
        <v>0</v>
      </c>
      <c r="R13" s="46"/>
      <c r="S13" s="46"/>
      <c r="T13" s="51">
        <f t="shared" si="5"/>
        <v>0</v>
      </c>
    </row>
    <row r="14" spans="1:20" x14ac:dyDescent="0.3">
      <c r="A14" s="53" t="s">
        <v>401</v>
      </c>
      <c r="B14" s="46">
        <v>2</v>
      </c>
      <c r="C14" s="67" t="s">
        <v>175</v>
      </c>
      <c r="D14" s="46" t="s">
        <v>106</v>
      </c>
      <c r="E14" s="44"/>
      <c r="F14" s="48">
        <f>10.7639 *(0.125)</f>
        <v>1.3454874999999999</v>
      </c>
      <c r="G14" s="44">
        <v>78</v>
      </c>
      <c r="H14" s="46">
        <v>120</v>
      </c>
      <c r="I14" s="49">
        <f t="shared" si="0"/>
        <v>42</v>
      </c>
      <c r="J14" s="46">
        <v>0.14399999999999999</v>
      </c>
      <c r="K14" s="46" t="str">
        <f>_xlfn.UNICHAR(8595)</f>
        <v>↓</v>
      </c>
      <c r="L14" s="50">
        <f t="shared" si="2"/>
        <v>8.1375083999999998</v>
      </c>
      <c r="M14" s="44"/>
      <c r="N14" s="50">
        <f t="shared" si="3"/>
        <v>8.1375083999999998</v>
      </c>
      <c r="O14" s="46">
        <v>70</v>
      </c>
      <c r="P14" s="46">
        <v>70</v>
      </c>
      <c r="Q14" s="49">
        <f t="shared" si="4"/>
        <v>0</v>
      </c>
      <c r="R14" s="46"/>
      <c r="S14" s="46"/>
      <c r="T14" s="51">
        <f t="shared" si="5"/>
        <v>0</v>
      </c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A18" s="53"/>
      <c r="B18" s="46"/>
      <c r="C18" s="67"/>
      <c r="D18" s="46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1304.8465656870001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(0.6*0.5))*4</f>
        <v>12.916679999999999</v>
      </c>
      <c r="G20" s="44"/>
      <c r="H20" s="44"/>
      <c r="I20" s="44"/>
      <c r="J20" s="44"/>
      <c r="K20" s="44"/>
      <c r="L20" s="46">
        <f>F20*160</f>
        <v>2066.6687999999999</v>
      </c>
      <c r="M20" s="44"/>
      <c r="N20" s="50">
        <f>L20+M20</f>
        <v>2066.6687999999999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18.93</f>
        <v>203.760627</v>
      </c>
      <c r="G21" s="44"/>
      <c r="H21" s="44"/>
      <c r="I21" s="44"/>
      <c r="J21" s="44"/>
      <c r="K21" s="44"/>
      <c r="L21" s="46">
        <f>4*F21</f>
        <v>815.042508</v>
      </c>
      <c r="M21" s="44"/>
      <c r="N21" s="50">
        <f>L21+M21</f>
        <v>815.042508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4986.5578736869993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4986.5578736869993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3">
      <c r="A31" s="5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</row>
    <row r="32" spans="1:20" x14ac:dyDescent="0.3">
      <c r="A32" s="5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</row>
    <row r="33" spans="1:20" ht="14.4" x14ac:dyDescent="0.3">
      <c r="A33" s="53"/>
      <c r="B33" s="44"/>
      <c r="C33" s="44"/>
      <c r="D33" s="44"/>
      <c r="E33" s="44" t="s">
        <v>116</v>
      </c>
      <c r="F33" s="44">
        <v>25</v>
      </c>
      <c r="G33" s="26" t="s">
        <v>117</v>
      </c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</row>
    <row r="34" spans="1:20" x14ac:dyDescent="0.3">
      <c r="A34" s="53"/>
      <c r="B34" s="44"/>
      <c r="C34" s="44"/>
      <c r="D34" s="44"/>
      <c r="E34" s="44" t="s">
        <v>118</v>
      </c>
      <c r="F34" s="44">
        <f>15*1</f>
        <v>15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</row>
    <row r="35" spans="1:20" x14ac:dyDescent="0.3">
      <c r="A35" s="53"/>
      <c r="B35" s="44"/>
      <c r="C35" s="44"/>
      <c r="D35" s="44"/>
      <c r="E35" s="44" t="s">
        <v>119</v>
      </c>
      <c r="F35" s="48">
        <f>$F$21</f>
        <v>203.760627</v>
      </c>
      <c r="G35" s="44" t="s">
        <v>120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</row>
    <row r="36" spans="1:20" x14ac:dyDescent="0.3">
      <c r="A36" s="53"/>
      <c r="B36" s="44"/>
      <c r="C36" s="44"/>
      <c r="D36" s="44"/>
      <c r="E36" s="44" t="s">
        <v>121</v>
      </c>
      <c r="F36" s="48">
        <f>3.28084 * 2.7</f>
        <v>8.8582680000000007</v>
      </c>
      <c r="G36" s="44" t="s">
        <v>122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</row>
    <row r="37" spans="1:20" x14ac:dyDescent="0.3">
      <c r="A37" s="53"/>
      <c r="B37" s="44"/>
      <c r="C37" s="44"/>
      <c r="D37" s="44"/>
      <c r="E37" s="44" t="s">
        <v>123</v>
      </c>
      <c r="F37" s="75">
        <f>F35*F36</f>
        <v>1804.966241814036</v>
      </c>
      <c r="G37" s="44" t="s">
        <v>124</v>
      </c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</row>
    <row r="38" spans="1:20" x14ac:dyDescent="0.3">
      <c r="A38" s="53"/>
      <c r="B38" s="44"/>
      <c r="C38" s="44"/>
      <c r="D38" s="44"/>
      <c r="E38" s="44" t="s">
        <v>125</v>
      </c>
      <c r="F38" s="56">
        <f>F37/30</f>
        <v>60.165541393801199</v>
      </c>
      <c r="G38" s="44" t="s">
        <v>126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</row>
    <row r="39" spans="1:20" x14ac:dyDescent="0.3">
      <c r="A39" s="53"/>
      <c r="B39" s="44"/>
      <c r="C39" s="44"/>
      <c r="D39" s="44"/>
      <c r="E39" s="44" t="s">
        <v>127</v>
      </c>
      <c r="F39" s="50">
        <f>SUM($L$5:$L$28)</f>
        <v>4501.5578736869993</v>
      </c>
      <c r="G39" s="44" t="s">
        <v>128</v>
      </c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</row>
    <row r="40" spans="1:20" x14ac:dyDescent="0.3">
      <c r="A40" s="53"/>
      <c r="B40" s="44"/>
      <c r="C40" s="44"/>
      <c r="D40" s="44"/>
      <c r="E40" s="44" t="s">
        <v>129</v>
      </c>
      <c r="F40" s="49">
        <f>SUM($M$5:$M$28)</f>
        <v>485</v>
      </c>
      <c r="G40" s="44" t="s">
        <v>128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</row>
    <row r="41" spans="1:20" x14ac:dyDescent="0.3">
      <c r="A41" s="53"/>
      <c r="B41" s="44"/>
      <c r="C41" s="44"/>
      <c r="D41" s="44"/>
      <c r="E41" s="44" t="s">
        <v>130</v>
      </c>
      <c r="F41" s="50">
        <f>$N$29</f>
        <v>4986.5578736869993</v>
      </c>
      <c r="G41" s="44" t="s">
        <v>128</v>
      </c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</row>
    <row r="42" spans="1:20" x14ac:dyDescent="0.3">
      <c r="A42" s="53"/>
      <c r="B42" s="44"/>
      <c r="C42" s="44"/>
      <c r="D42" s="44"/>
      <c r="E42" s="44" t="s">
        <v>131</v>
      </c>
      <c r="F42" s="50">
        <f>$T$29</f>
        <v>0</v>
      </c>
      <c r="G42" s="44" t="s">
        <v>128</v>
      </c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</row>
    <row r="43" spans="1:20" x14ac:dyDescent="0.3">
      <c r="A43" s="53"/>
      <c r="B43" s="44"/>
      <c r="C43" s="44"/>
      <c r="D43" s="44"/>
      <c r="E43" s="44" t="s">
        <v>132</v>
      </c>
      <c r="F43" s="56">
        <f>F39/(1.08*F33)</f>
        <v>166.72436569211109</v>
      </c>
      <c r="G43" s="44" t="s">
        <v>126</v>
      </c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</row>
    <row r="44" spans="1:20" x14ac:dyDescent="0.3">
      <c r="A44" s="53"/>
      <c r="B44" s="44"/>
      <c r="C44" s="44"/>
      <c r="D44" s="44"/>
      <c r="E44" s="44" t="s">
        <v>126</v>
      </c>
      <c r="F44" s="57">
        <f>ROUNDUP(F43,0)</f>
        <v>167</v>
      </c>
      <c r="G44" s="44" t="s">
        <v>126</v>
      </c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</row>
    <row r="45" spans="1:20" x14ac:dyDescent="0.3">
      <c r="A45" s="53"/>
      <c r="B45" s="44"/>
      <c r="C45" s="44"/>
      <c r="D45" s="44"/>
      <c r="E45" s="44" t="s">
        <v>133</v>
      </c>
      <c r="F45" s="50">
        <f>F44*0.0002930711</f>
        <v>4.8942873699999993E-2</v>
      </c>
      <c r="G45" s="44" t="s">
        <v>134</v>
      </c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</row>
    <row r="46" spans="1:20" x14ac:dyDescent="0.3">
      <c r="A46" s="53"/>
      <c r="B46" s="44"/>
      <c r="C46" s="44"/>
      <c r="D46" s="44"/>
      <c r="E46" s="44" t="s">
        <v>135</v>
      </c>
      <c r="F46" s="50">
        <f>F39/F41</f>
        <v>0.90273851977949726</v>
      </c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7" t="s">
        <v>165</v>
      </c>
      <c r="B55" s="7"/>
      <c r="C55" s="7"/>
      <c r="D55" s="7" t="s">
        <v>166</v>
      </c>
      <c r="E55" s="7"/>
      <c r="F55" s="7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7"/>
      <c r="B56" s="7"/>
      <c r="C56" s="7"/>
      <c r="D56" s="7"/>
      <c r="E56" s="7"/>
      <c r="F56" s="7"/>
      <c r="G56" s="6" t="s">
        <v>168</v>
      </c>
      <c r="H56" s="6"/>
      <c r="I56" s="6"/>
      <c r="J56" s="6"/>
      <c r="K56" s="6" t="s">
        <v>169</v>
      </c>
      <c r="L56" s="6"/>
      <c r="M56" s="6"/>
      <c r="N56" s="6"/>
      <c r="O56" s="6"/>
      <c r="P56" s="6"/>
      <c r="Q56" s="6"/>
      <c r="R56" s="53" t="s">
        <v>170</v>
      </c>
      <c r="S56" s="6"/>
      <c r="T56" s="6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254"/>
  <sheetViews>
    <sheetView topLeftCell="A33" zoomScale="95" zoomScaleNormal="95" workbookViewId="0">
      <selection activeCell="A33" sqref="A3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356</v>
      </c>
      <c r="B2" s="11"/>
      <c r="C2" s="11">
        <v>7006</v>
      </c>
      <c r="D2" s="11"/>
      <c r="E2" s="43" t="s">
        <v>369</v>
      </c>
      <c r="F2" s="43" t="s">
        <v>402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340</v>
      </c>
      <c r="B5" s="46">
        <v>6</v>
      </c>
      <c r="C5" s="67" t="s">
        <v>104</v>
      </c>
      <c r="D5" s="46" t="s">
        <v>99</v>
      </c>
      <c r="E5" s="46" t="s">
        <v>303</v>
      </c>
      <c r="F5" s="48">
        <f>10.7639 *(2.4*2.7)</f>
        <v>69.750072000000003</v>
      </c>
      <c r="G5" s="44">
        <v>78</v>
      </c>
      <c r="H5" s="46">
        <v>120</v>
      </c>
      <c r="I5" s="49">
        <f>H5-G5</f>
        <v>42</v>
      </c>
      <c r="J5" s="46">
        <v>0.313</v>
      </c>
      <c r="K5" s="46" t="str">
        <f>_xlfn.UNICHAR(8596)</f>
        <v>↔</v>
      </c>
      <c r="L5" s="50">
        <f>F5*I5*J5</f>
        <v>916.93444651200002</v>
      </c>
      <c r="M5" s="49"/>
      <c r="N5" s="50">
        <f>L5+M5</f>
        <v>916.93444651200002</v>
      </c>
      <c r="O5" s="46">
        <v>70</v>
      </c>
      <c r="P5" s="46">
        <v>70</v>
      </c>
      <c r="Q5" s="49">
        <f>O5-P5</f>
        <v>0</v>
      </c>
      <c r="R5" s="46">
        <f t="shared" ref="R5:S9" si="0">J5</f>
        <v>0.313</v>
      </c>
      <c r="S5" s="46" t="str">
        <f t="shared" si="0"/>
        <v>↔</v>
      </c>
      <c r="T5" s="51">
        <f>F5*Q5*R5</f>
        <v>0</v>
      </c>
    </row>
    <row r="6" spans="1:20" x14ac:dyDescent="0.3">
      <c r="A6" s="53" t="s">
        <v>357</v>
      </c>
      <c r="B6" s="46">
        <v>6</v>
      </c>
      <c r="C6" s="67" t="s">
        <v>98</v>
      </c>
      <c r="D6" s="46" t="s">
        <v>99</v>
      </c>
      <c r="E6" s="46" t="s">
        <v>370</v>
      </c>
      <c r="F6" s="48">
        <f>10.7639 *(2.8*2.7)</f>
        <v>81.375083999999987</v>
      </c>
      <c r="G6" s="44">
        <v>78</v>
      </c>
      <c r="H6" s="46">
        <v>110</v>
      </c>
      <c r="I6" s="49">
        <f>H6-G6</f>
        <v>32</v>
      </c>
      <c r="J6" s="46">
        <v>0.93</v>
      </c>
      <c r="K6" s="46" t="str">
        <f>_xlfn.UNICHAR(8596)</f>
        <v>↔</v>
      </c>
      <c r="L6" s="50">
        <f>F6*I6*J6</f>
        <v>2421.7224998399997</v>
      </c>
      <c r="M6" s="49"/>
      <c r="N6" s="50">
        <f>L6+M6</f>
        <v>2421.7224998399997</v>
      </c>
      <c r="O6" s="46">
        <v>70</v>
      </c>
      <c r="P6" s="46">
        <v>70</v>
      </c>
      <c r="Q6" s="49">
        <f>O6-P6</f>
        <v>0</v>
      </c>
      <c r="R6" s="46">
        <f t="shared" si="0"/>
        <v>0.93</v>
      </c>
      <c r="S6" s="46" t="str">
        <f t="shared" si="0"/>
        <v>↔</v>
      </c>
      <c r="T6" s="50">
        <f>F6*Q6*R6</f>
        <v>0</v>
      </c>
    </row>
    <row r="7" spans="1:20" x14ac:dyDescent="0.3">
      <c r="A7" s="53" t="s">
        <v>190</v>
      </c>
      <c r="B7" s="46">
        <v>6</v>
      </c>
      <c r="C7" s="67" t="s">
        <v>175</v>
      </c>
      <c r="D7" s="46" t="s">
        <v>99</v>
      </c>
      <c r="E7" s="46" t="s">
        <v>303</v>
      </c>
      <c r="F7" s="48">
        <f>10.7639 *(2.4*2.7)</f>
        <v>69.750072000000003</v>
      </c>
      <c r="G7" s="44">
        <v>78</v>
      </c>
      <c r="H7" s="46">
        <v>80</v>
      </c>
      <c r="I7" s="49">
        <f>H7-G7</f>
        <v>2</v>
      </c>
      <c r="J7" s="46">
        <v>0.158</v>
      </c>
      <c r="K7" s="46" t="str">
        <f>_xlfn.UNICHAR(8596)</f>
        <v>↔</v>
      </c>
      <c r="L7" s="50">
        <f>F7*I7*J7</f>
        <v>22.041022752</v>
      </c>
      <c r="M7" s="49"/>
      <c r="N7" s="50">
        <f>L7+M7</f>
        <v>22.041022752</v>
      </c>
      <c r="O7" s="46">
        <v>70</v>
      </c>
      <c r="P7" s="46">
        <v>70</v>
      </c>
      <c r="Q7" s="49">
        <f>O7-P7</f>
        <v>0</v>
      </c>
      <c r="R7" s="46">
        <f t="shared" si="0"/>
        <v>0.158</v>
      </c>
      <c r="S7" s="46" t="str">
        <f t="shared" si="0"/>
        <v>↔</v>
      </c>
      <c r="T7" s="51">
        <f>F7*Q7*R7</f>
        <v>0</v>
      </c>
    </row>
    <row r="8" spans="1:20" x14ac:dyDescent="0.3">
      <c r="A8" s="53" t="s">
        <v>403</v>
      </c>
      <c r="B8" s="46">
        <v>1</v>
      </c>
      <c r="C8" s="67" t="s">
        <v>175</v>
      </c>
      <c r="D8" s="46" t="s">
        <v>90</v>
      </c>
      <c r="E8" s="46" t="s">
        <v>404</v>
      </c>
      <c r="F8" s="48">
        <f>10.7639 *(1.44)</f>
        <v>15.500015999999999</v>
      </c>
      <c r="G8" s="44">
        <v>78</v>
      </c>
      <c r="H8" s="46">
        <v>110</v>
      </c>
      <c r="I8" s="49">
        <f>H8-G8</f>
        <v>32</v>
      </c>
      <c r="J8" s="46">
        <v>0.17100000000000001</v>
      </c>
      <c r="K8" s="46" t="str">
        <f>_xlfn.UNICHAR(8593)</f>
        <v>↑</v>
      </c>
      <c r="L8" s="50">
        <f>F8*I8*J8</f>
        <v>84.816087551999999</v>
      </c>
      <c r="M8" s="49"/>
      <c r="N8" s="50">
        <f>L8+M8</f>
        <v>84.816087551999999</v>
      </c>
      <c r="O8" s="46">
        <v>70</v>
      </c>
      <c r="P8" s="46">
        <v>70</v>
      </c>
      <c r="Q8" s="49">
        <f>O8-P8</f>
        <v>0</v>
      </c>
      <c r="R8" s="46">
        <f t="shared" si="0"/>
        <v>0.17100000000000001</v>
      </c>
      <c r="S8" s="46" t="str">
        <f t="shared" si="0"/>
        <v>↑</v>
      </c>
      <c r="T8" s="51">
        <f>F8*Q8*R8</f>
        <v>0</v>
      </c>
    </row>
    <row r="9" spans="1:20" x14ac:dyDescent="0.3">
      <c r="A9" s="53" t="s">
        <v>244</v>
      </c>
      <c r="B9" s="46">
        <v>2</v>
      </c>
      <c r="C9" s="67" t="s">
        <v>175</v>
      </c>
      <c r="D9" s="46" t="s">
        <v>90</v>
      </c>
      <c r="E9" s="46" t="s">
        <v>405</v>
      </c>
      <c r="F9" s="48">
        <f>10.7639 *(0.4*1.6)</f>
        <v>6.8888960000000008</v>
      </c>
      <c r="G9" s="44">
        <v>78</v>
      </c>
      <c r="H9" s="46">
        <v>110</v>
      </c>
      <c r="I9" s="49">
        <f>H9-G9</f>
        <v>32</v>
      </c>
      <c r="J9" s="46">
        <v>0.14399999999999999</v>
      </c>
      <c r="K9" s="46" t="str">
        <f>_xlfn.UNICHAR(8595)</f>
        <v>↓</v>
      </c>
      <c r="L9" s="50">
        <f>F9*I9*J9</f>
        <v>31.744032768</v>
      </c>
      <c r="M9" s="49"/>
      <c r="N9" s="50">
        <f>L9+M9</f>
        <v>31.744032768</v>
      </c>
      <c r="O9" s="46">
        <v>70</v>
      </c>
      <c r="P9" s="46">
        <v>70</v>
      </c>
      <c r="Q9" s="49">
        <f>O9-P9</f>
        <v>0</v>
      </c>
      <c r="R9" s="46">
        <f t="shared" si="0"/>
        <v>0.14399999999999999</v>
      </c>
      <c r="S9" s="46" t="str">
        <f t="shared" si="0"/>
        <v>↓</v>
      </c>
      <c r="T9" s="51">
        <f>F9*Q9*R9</f>
        <v>0</v>
      </c>
    </row>
    <row r="10" spans="1:20" x14ac:dyDescent="0.3">
      <c r="A10" s="53"/>
      <c r="B10" s="46"/>
      <c r="C10" s="67"/>
      <c r="D10" s="46"/>
      <c r="E10" s="46"/>
      <c r="F10" s="48"/>
      <c r="G10" s="44"/>
      <c r="H10" s="46"/>
      <c r="I10" s="49"/>
      <c r="J10" s="46"/>
      <c r="K10" s="46"/>
      <c r="L10" s="50"/>
      <c r="M10" s="44"/>
      <c r="N10" s="50"/>
      <c r="O10" s="46"/>
      <c r="P10" s="46"/>
      <c r="Q10" s="49"/>
      <c r="R10" s="46"/>
      <c r="S10" s="46"/>
      <c r="T10" s="51"/>
    </row>
    <row r="11" spans="1:20" x14ac:dyDescent="0.3">
      <c r="A11" s="53"/>
      <c r="B11" s="46"/>
      <c r="C11" s="67"/>
      <c r="D11" s="46"/>
      <c r="E11" s="46"/>
      <c r="F11" s="48"/>
      <c r="G11" s="44"/>
      <c r="H11" s="46"/>
      <c r="I11" s="49"/>
      <c r="J11" s="46"/>
      <c r="K11" s="46"/>
      <c r="L11" s="50"/>
      <c r="M11" s="44"/>
      <c r="N11" s="50"/>
      <c r="O11" s="46"/>
      <c r="P11" s="46"/>
      <c r="Q11" s="49"/>
      <c r="R11" s="46"/>
      <c r="S11" s="46"/>
      <c r="T11" s="51"/>
    </row>
    <row r="12" spans="1:20" x14ac:dyDescent="0.3">
      <c r="A12" s="53"/>
      <c r="B12" s="46"/>
      <c r="C12" s="67"/>
      <c r="D12" s="46"/>
      <c r="E12" s="44"/>
      <c r="F12" s="48"/>
      <c r="G12" s="44"/>
      <c r="H12" s="46"/>
      <c r="I12" s="49"/>
      <c r="J12" s="46"/>
      <c r="K12" s="46"/>
      <c r="L12" s="50"/>
      <c r="M12" s="44"/>
      <c r="N12" s="50"/>
      <c r="O12" s="46"/>
      <c r="P12" s="46"/>
      <c r="Q12" s="49"/>
      <c r="R12" s="46"/>
      <c r="S12" s="46"/>
      <c r="T12" s="51"/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3477.2580894240004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(0.6*0.5))*0</f>
        <v>0</v>
      </c>
      <c r="G20" s="44"/>
      <c r="H20" s="44"/>
      <c r="I20" s="44"/>
      <c r="J20" s="44"/>
      <c r="K20" s="44"/>
      <c r="L20" s="46">
        <f>F20*160</f>
        <v>0</v>
      </c>
      <c r="M20" s="44"/>
      <c r="N20" s="50">
        <f>L20+M20</f>
        <v>0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(2.4*2.8)</f>
        <v>72.333407999999991</v>
      </c>
      <c r="G21" s="44"/>
      <c r="H21" s="44"/>
      <c r="I21" s="44"/>
      <c r="J21" s="44"/>
      <c r="K21" s="44"/>
      <c r="L21" s="46">
        <f>4*F21</f>
        <v>289.33363199999997</v>
      </c>
      <c r="M21" s="44"/>
      <c r="N21" s="50">
        <f>L21+M21</f>
        <v>289.33363199999997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4566.5917214239998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4566.5917214239998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72.333407999999991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640.74871341734399</v>
      </c>
      <c r="G37" s="44" t="s">
        <v>124</v>
      </c>
    </row>
    <row r="38" spans="1:20" x14ac:dyDescent="0.3">
      <c r="E38" s="44" t="s">
        <v>125</v>
      </c>
      <c r="F38" s="56">
        <f>F37/30</f>
        <v>21.358290447244801</v>
      </c>
      <c r="G38" s="44" t="s">
        <v>126</v>
      </c>
    </row>
    <row r="39" spans="1:20" x14ac:dyDescent="0.3">
      <c r="E39" s="44" t="s">
        <v>127</v>
      </c>
      <c r="F39" s="50">
        <f>SUM($L$5:$L$28)</f>
        <v>4081.5917214240003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4566.5917214239998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151.17006375644445</v>
      </c>
      <c r="G43" s="44" t="s">
        <v>126</v>
      </c>
    </row>
    <row r="44" spans="1:20" x14ac:dyDescent="0.3">
      <c r="E44" s="44" t="s">
        <v>126</v>
      </c>
      <c r="F44" s="57">
        <f>ROUNDUP(F43,0)</f>
        <v>152</v>
      </c>
      <c r="G44" s="44" t="s">
        <v>126</v>
      </c>
    </row>
    <row r="45" spans="1:20" x14ac:dyDescent="0.3">
      <c r="E45" s="44" t="s">
        <v>133</v>
      </c>
      <c r="F45" s="50">
        <f>F44*0.0002930711</f>
        <v>4.4546807199999996E-2</v>
      </c>
      <c r="G45" s="44" t="s">
        <v>134</v>
      </c>
    </row>
    <row r="46" spans="1:20" x14ac:dyDescent="0.3">
      <c r="E46" s="44" t="s">
        <v>135</v>
      </c>
      <c r="F46" s="50">
        <f>F39/F41</f>
        <v>0.8937938774503007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254"/>
  <sheetViews>
    <sheetView topLeftCell="A25" zoomScale="95" zoomScaleNormal="95" workbookViewId="0">
      <selection activeCell="C43" sqref="C4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233</v>
      </c>
      <c r="B2" s="11"/>
      <c r="C2" s="11">
        <v>7007</v>
      </c>
      <c r="D2" s="11"/>
      <c r="E2" s="43" t="s">
        <v>369</v>
      </c>
      <c r="F2" s="43" t="s">
        <v>406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210</v>
      </c>
      <c r="B5" s="46">
        <v>6</v>
      </c>
      <c r="C5" s="67" t="s">
        <v>104</v>
      </c>
      <c r="D5" s="46" t="s">
        <v>99</v>
      </c>
      <c r="E5" s="44" t="s">
        <v>352</v>
      </c>
      <c r="F5" s="54">
        <f>10.7639 *(2.1*2.7)</f>
        <v>61.031313000000004</v>
      </c>
      <c r="G5" s="44">
        <v>78</v>
      </c>
      <c r="H5" s="46">
        <v>80</v>
      </c>
      <c r="I5" s="49">
        <f>H5-G5</f>
        <v>2</v>
      </c>
      <c r="J5" s="46">
        <v>0.313</v>
      </c>
      <c r="K5" s="46" t="str">
        <f>_xlfn.UNICHAR(8596)</f>
        <v>↔</v>
      </c>
      <c r="L5" s="50">
        <f>F5*I5*J5</f>
        <v>38.205601938000001</v>
      </c>
      <c r="M5" s="49"/>
      <c r="N5" s="50">
        <f>L5+M5</f>
        <v>38.205601938000001</v>
      </c>
      <c r="O5" s="46">
        <v>70</v>
      </c>
      <c r="P5" s="46">
        <v>70</v>
      </c>
      <c r="Q5" s="49">
        <f>O5-P5</f>
        <v>0</v>
      </c>
      <c r="R5" s="46"/>
      <c r="S5" s="46"/>
      <c r="T5" s="51">
        <f>F5*Q5*R5</f>
        <v>0</v>
      </c>
    </row>
    <row r="6" spans="1:20" x14ac:dyDescent="0.3">
      <c r="A6" s="53" t="s">
        <v>407</v>
      </c>
      <c r="B6" s="46">
        <v>6</v>
      </c>
      <c r="C6" s="67" t="s">
        <v>98</v>
      </c>
      <c r="D6" s="46" t="s">
        <v>99</v>
      </c>
      <c r="E6" s="44" t="s">
        <v>246</v>
      </c>
      <c r="F6" s="54">
        <f>10.7639 *(1*2.7)</f>
        <v>29.062530000000002</v>
      </c>
      <c r="G6" s="44">
        <v>78</v>
      </c>
      <c r="H6" s="46">
        <v>120</v>
      </c>
      <c r="I6" s="49">
        <f>H6-G6</f>
        <v>42</v>
      </c>
      <c r="J6" s="46">
        <v>0.93</v>
      </c>
      <c r="K6" s="46" t="str">
        <f>_xlfn.UNICHAR(8596)</f>
        <v>↔</v>
      </c>
      <c r="L6" s="50">
        <f>F6*I6*J6</f>
        <v>1135.1824218000002</v>
      </c>
      <c r="M6" s="49"/>
      <c r="N6" s="50">
        <f>L6+M6</f>
        <v>1135.1824218000002</v>
      </c>
      <c r="O6" s="46">
        <v>70</v>
      </c>
      <c r="P6" s="46">
        <v>70</v>
      </c>
      <c r="Q6" s="49">
        <f>O6-P6</f>
        <v>0</v>
      </c>
      <c r="R6" s="46"/>
      <c r="S6" s="46"/>
      <c r="T6" s="50">
        <f>F6*Q6*R6</f>
        <v>0</v>
      </c>
    </row>
    <row r="7" spans="1:20" x14ac:dyDescent="0.3">
      <c r="A7" s="53" t="s">
        <v>340</v>
      </c>
      <c r="B7" s="46">
        <v>6</v>
      </c>
      <c r="C7" s="67" t="s">
        <v>104</v>
      </c>
      <c r="D7" s="46" t="s">
        <v>99</v>
      </c>
      <c r="E7" s="44" t="s">
        <v>408</v>
      </c>
      <c r="F7" s="54">
        <f>10.7639 *((1.2+0.3)*2.7)</f>
        <v>43.593795000000007</v>
      </c>
      <c r="G7" s="44">
        <v>78</v>
      </c>
      <c r="H7" s="46">
        <v>120</v>
      </c>
      <c r="I7" s="49">
        <f>H7-G7</f>
        <v>42</v>
      </c>
      <c r="J7" s="46">
        <v>0.313</v>
      </c>
      <c r="K7" s="46" t="str">
        <f>_xlfn.UNICHAR(8596)</f>
        <v>↔</v>
      </c>
      <c r="L7" s="50">
        <f>F7*I7*J7</f>
        <v>573.08402907000004</v>
      </c>
      <c r="M7" s="49"/>
      <c r="N7" s="50">
        <f>L7+M7</f>
        <v>573.08402907000004</v>
      </c>
      <c r="O7" s="46">
        <v>70</v>
      </c>
      <c r="P7" s="46">
        <v>70</v>
      </c>
      <c r="Q7" s="49">
        <f>O7-P7</f>
        <v>0</v>
      </c>
      <c r="R7" s="46"/>
      <c r="S7" s="46"/>
      <c r="T7" s="51">
        <f>F7*Q7*R7</f>
        <v>0</v>
      </c>
    </row>
    <row r="8" spans="1:20" x14ac:dyDescent="0.3">
      <c r="A8" s="53" t="s">
        <v>356</v>
      </c>
      <c r="B8" s="46">
        <v>6</v>
      </c>
      <c r="C8" s="67" t="s">
        <v>98</v>
      </c>
      <c r="D8" s="46" t="s">
        <v>99</v>
      </c>
      <c r="E8" s="44" t="s">
        <v>370</v>
      </c>
      <c r="F8" s="54">
        <f>10.7639 *(2.8*2.7)</f>
        <v>81.375083999999987</v>
      </c>
      <c r="G8" s="44">
        <v>78</v>
      </c>
      <c r="H8" s="46">
        <v>78</v>
      </c>
      <c r="I8" s="49">
        <f>H8-G8</f>
        <v>0</v>
      </c>
      <c r="J8" s="46">
        <v>1.113</v>
      </c>
      <c r="K8" s="46" t="str">
        <f>_xlfn.UNICHAR(8593)</f>
        <v>↑</v>
      </c>
      <c r="L8" s="50">
        <f>F8*I8*J8</f>
        <v>0</v>
      </c>
      <c r="M8" s="49"/>
      <c r="N8" s="50">
        <f>L8+M8</f>
        <v>0</v>
      </c>
      <c r="O8" s="46">
        <v>70</v>
      </c>
      <c r="P8" s="46">
        <v>70</v>
      </c>
      <c r="Q8" s="49">
        <f>O8-P8</f>
        <v>0</v>
      </c>
      <c r="R8" s="46"/>
      <c r="S8" s="46"/>
      <c r="T8" s="51">
        <f>F8*Q8*R8</f>
        <v>0</v>
      </c>
    </row>
    <row r="9" spans="1:20" x14ac:dyDescent="0.3">
      <c r="A9" s="53" t="s">
        <v>190</v>
      </c>
      <c r="B9" s="46">
        <v>6</v>
      </c>
      <c r="C9" s="67" t="s">
        <v>175</v>
      </c>
      <c r="D9" s="46" t="s">
        <v>99</v>
      </c>
      <c r="E9" s="44" t="s">
        <v>409</v>
      </c>
      <c r="F9" s="54">
        <f>10.7639 *(1.2*2.7)</f>
        <v>34.875036000000001</v>
      </c>
      <c r="G9" s="44">
        <v>78</v>
      </c>
      <c r="H9" s="46">
        <v>80</v>
      </c>
      <c r="I9" s="49">
        <f>H9-G9</f>
        <v>2</v>
      </c>
      <c r="J9" s="46">
        <v>0.17100000000000001</v>
      </c>
      <c r="K9" s="46" t="str">
        <f>_xlfn.UNICHAR(8593)</f>
        <v>↑</v>
      </c>
      <c r="L9" s="50">
        <f>F9*I9*J9</f>
        <v>11.927262312000002</v>
      </c>
      <c r="M9" s="49"/>
      <c r="N9" s="50">
        <f>L9+M9</f>
        <v>11.927262312000002</v>
      </c>
      <c r="O9" s="46">
        <v>70</v>
      </c>
      <c r="P9" s="46">
        <v>70</v>
      </c>
      <c r="Q9" s="49">
        <f>O9-P9</f>
        <v>0</v>
      </c>
      <c r="R9" s="46"/>
      <c r="S9" s="46"/>
      <c r="T9" s="51">
        <f>F9*Q9*R9</f>
        <v>0</v>
      </c>
    </row>
    <row r="10" spans="1:20" x14ac:dyDescent="0.3">
      <c r="A10" s="53"/>
      <c r="B10" s="46"/>
      <c r="C10" s="67"/>
      <c r="D10" s="46"/>
      <c r="E10" s="46"/>
      <c r="F10" s="48"/>
      <c r="G10" s="44"/>
      <c r="H10" s="46"/>
      <c r="I10" s="49"/>
      <c r="J10" s="46"/>
      <c r="K10" s="46"/>
      <c r="L10" s="50"/>
      <c r="M10" s="44"/>
      <c r="N10" s="50"/>
      <c r="O10" s="46"/>
      <c r="P10" s="46"/>
      <c r="Q10" s="49"/>
      <c r="R10" s="46"/>
      <c r="S10" s="46"/>
      <c r="T10" s="51"/>
    </row>
    <row r="11" spans="1:20" x14ac:dyDescent="0.3">
      <c r="A11" s="53"/>
      <c r="B11" s="46"/>
      <c r="C11" s="67"/>
      <c r="D11" s="46"/>
      <c r="E11" s="46"/>
      <c r="F11" s="48"/>
      <c r="G11" s="44"/>
      <c r="H11" s="46"/>
      <c r="I11" s="49"/>
      <c r="J11" s="46"/>
      <c r="K11" s="46"/>
      <c r="L11" s="50"/>
      <c r="M11" s="44"/>
      <c r="N11" s="50"/>
      <c r="O11" s="46"/>
      <c r="P11" s="46"/>
      <c r="Q11" s="49"/>
      <c r="R11" s="46"/>
      <c r="S11" s="46"/>
      <c r="T11" s="51"/>
    </row>
    <row r="12" spans="1:20" x14ac:dyDescent="0.3">
      <c r="A12" s="53"/>
      <c r="B12" s="46"/>
      <c r="C12" s="67"/>
      <c r="D12" s="46"/>
      <c r="E12" s="44"/>
      <c r="F12" s="48"/>
      <c r="G12" s="44"/>
      <c r="H12" s="46"/>
      <c r="I12" s="49"/>
      <c r="J12" s="46"/>
      <c r="K12" s="46"/>
      <c r="L12" s="50"/>
      <c r="M12" s="44"/>
      <c r="N12" s="50"/>
      <c r="O12" s="46"/>
      <c r="P12" s="46"/>
      <c r="Q12" s="49"/>
      <c r="R12" s="46"/>
      <c r="S12" s="46"/>
      <c r="T12" s="51"/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1758.3993151200002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(0.6*0.5))*0</f>
        <v>0</v>
      </c>
      <c r="G20" s="44"/>
      <c r="H20" s="44"/>
      <c r="I20" s="44"/>
      <c r="J20" s="44"/>
      <c r="K20" s="44"/>
      <c r="L20" s="46">
        <f>F20*160</f>
        <v>0</v>
      </c>
      <c r="M20" s="44"/>
      <c r="N20" s="50">
        <f>L20+M20</f>
        <v>0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(1.2*3.1)</f>
        <v>40.041707999999993</v>
      </c>
      <c r="G21" s="44"/>
      <c r="H21" s="44"/>
      <c r="I21" s="44"/>
      <c r="J21" s="44"/>
      <c r="K21" s="44"/>
      <c r="L21" s="46">
        <f>4*F21</f>
        <v>160.16683199999997</v>
      </c>
      <c r="M21" s="44"/>
      <c r="N21" s="50">
        <f>L21+M21</f>
        <v>160.16683199999997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2718.5661471200001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2718.5661471200001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40.041707999999993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354.70018064174394</v>
      </c>
      <c r="G37" s="44" t="s">
        <v>124</v>
      </c>
    </row>
    <row r="38" spans="1:20" x14ac:dyDescent="0.3">
      <c r="E38" s="44" t="s">
        <v>125</v>
      </c>
      <c r="F38" s="56">
        <f>F37/30</f>
        <v>11.823339354724798</v>
      </c>
      <c r="G38" s="44" t="s">
        <v>126</v>
      </c>
    </row>
    <row r="39" spans="1:20" x14ac:dyDescent="0.3">
      <c r="E39" s="44" t="s">
        <v>127</v>
      </c>
      <c r="F39" s="50">
        <f>SUM($L$5:$L$28)</f>
        <v>2233.5661471200001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2718.5661471200001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82.724672115555563</v>
      </c>
      <c r="G43" s="44" t="s">
        <v>126</v>
      </c>
    </row>
    <row r="44" spans="1:20" x14ac:dyDescent="0.3">
      <c r="E44" s="44" t="s">
        <v>126</v>
      </c>
      <c r="F44" s="57">
        <f>ROUNDUP(F43,0)</f>
        <v>83</v>
      </c>
      <c r="G44" s="44" t="s">
        <v>126</v>
      </c>
    </row>
    <row r="45" spans="1:20" x14ac:dyDescent="0.3">
      <c r="E45" s="44" t="s">
        <v>133</v>
      </c>
      <c r="F45" s="50">
        <f>F44*0.0002930711</f>
        <v>2.43249013E-2</v>
      </c>
      <c r="G45" s="44" t="s">
        <v>134</v>
      </c>
    </row>
    <row r="46" spans="1:20" x14ac:dyDescent="0.3">
      <c r="E46" s="44" t="s">
        <v>135</v>
      </c>
      <c r="F46" s="50">
        <f>F39/F41</f>
        <v>0.82159713107816035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F0"/>
  </sheetPr>
  <dimension ref="A1:T254"/>
  <sheetViews>
    <sheetView zoomScale="95" zoomScaleNormal="95" workbookViewId="0"/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342</v>
      </c>
      <c r="B2" s="11"/>
      <c r="C2" s="11">
        <v>7008</v>
      </c>
      <c r="D2" s="11"/>
      <c r="E2" s="43" t="s">
        <v>369</v>
      </c>
      <c r="F2" s="43" t="s">
        <v>410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190</v>
      </c>
      <c r="B5" s="46">
        <v>6</v>
      </c>
      <c r="C5" s="67" t="s">
        <v>104</v>
      </c>
      <c r="D5" s="46" t="s">
        <v>99</v>
      </c>
      <c r="E5" s="44" t="s">
        <v>409</v>
      </c>
      <c r="F5" s="54">
        <f>10.7639 *(1.2*2.7)</f>
        <v>34.875036000000001</v>
      </c>
      <c r="G5" s="44">
        <v>78</v>
      </c>
      <c r="H5" s="46">
        <v>80</v>
      </c>
      <c r="I5" s="49">
        <f t="shared" ref="I5:I12" si="0">H5-G5</f>
        <v>2</v>
      </c>
      <c r="J5" s="46">
        <v>0.313</v>
      </c>
      <c r="K5" s="46" t="str">
        <f>_xlfn.UNICHAR(8596)</f>
        <v>↔</v>
      </c>
      <c r="L5" s="50">
        <f t="shared" ref="L5:L12" si="1">F5*I5*J5</f>
        <v>21.831772536000003</v>
      </c>
      <c r="M5" s="49"/>
      <c r="N5" s="50">
        <f t="shared" ref="N5:N12" si="2">L5+M5</f>
        <v>21.831772536000003</v>
      </c>
      <c r="O5" s="46">
        <v>70</v>
      </c>
      <c r="P5" s="46">
        <v>70</v>
      </c>
      <c r="Q5" s="49">
        <f t="shared" ref="Q5:Q12" si="3">O5-P5</f>
        <v>0</v>
      </c>
      <c r="R5" s="46"/>
      <c r="S5" s="46"/>
      <c r="T5" s="51">
        <f t="shared" ref="T5:T12" si="4">F5*Q5*R5</f>
        <v>0</v>
      </c>
    </row>
    <row r="6" spans="1:20" x14ac:dyDescent="0.3">
      <c r="A6" s="53" t="s">
        <v>344</v>
      </c>
      <c r="B6" s="46">
        <v>6</v>
      </c>
      <c r="C6" s="67" t="s">
        <v>104</v>
      </c>
      <c r="D6" s="46" t="s">
        <v>99</v>
      </c>
      <c r="E6" s="44" t="s">
        <v>411</v>
      </c>
      <c r="F6" s="54">
        <f>10.7639 *((2.1+1.5)*2.7)</f>
        <v>104.625108</v>
      </c>
      <c r="G6" s="44">
        <v>78</v>
      </c>
      <c r="H6" s="46">
        <v>85</v>
      </c>
      <c r="I6" s="49">
        <f t="shared" si="0"/>
        <v>7</v>
      </c>
      <c r="J6" s="46">
        <v>0.313</v>
      </c>
      <c r="K6" s="46" t="str">
        <f>_xlfn.UNICHAR(8596)</f>
        <v>↔</v>
      </c>
      <c r="L6" s="50">
        <f t="shared" si="1"/>
        <v>229.23361162800001</v>
      </c>
      <c r="M6" s="49"/>
      <c r="N6" s="50">
        <f t="shared" si="2"/>
        <v>229.23361162800001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412</v>
      </c>
      <c r="B7" s="46">
        <v>6</v>
      </c>
      <c r="C7" s="67" t="s">
        <v>104</v>
      </c>
      <c r="D7" s="46" t="s">
        <v>99</v>
      </c>
      <c r="E7" s="44" t="s">
        <v>413</v>
      </c>
      <c r="F7" s="54">
        <f>10.7639 *((0.8+0.6)*2.7)</f>
        <v>40.687541999999993</v>
      </c>
      <c r="G7" s="44">
        <v>78</v>
      </c>
      <c r="H7" s="46">
        <v>120</v>
      </c>
      <c r="I7" s="49">
        <f t="shared" si="0"/>
        <v>42</v>
      </c>
      <c r="J7" s="46">
        <v>0.313</v>
      </c>
      <c r="K7" s="46" t="str">
        <f>_xlfn.UNICHAR(8596)</f>
        <v>↔</v>
      </c>
      <c r="L7" s="50">
        <f t="shared" si="1"/>
        <v>534.87842713199984</v>
      </c>
      <c r="M7" s="49"/>
      <c r="N7" s="50">
        <f t="shared" si="2"/>
        <v>534.87842713199984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414</v>
      </c>
      <c r="B8" s="46">
        <v>6</v>
      </c>
      <c r="C8" s="67" t="s">
        <v>104</v>
      </c>
      <c r="D8" s="46" t="s">
        <v>99</v>
      </c>
      <c r="E8" s="44" t="s">
        <v>415</v>
      </c>
      <c r="F8" s="54">
        <f>10.7639 *((0.5+0.6)*2.7)</f>
        <v>31.968783000000006</v>
      </c>
      <c r="G8" s="44">
        <v>78</v>
      </c>
      <c r="H8" s="46">
        <v>85</v>
      </c>
      <c r="I8" s="49">
        <f t="shared" si="0"/>
        <v>7</v>
      </c>
      <c r="J8" s="46">
        <v>0.313</v>
      </c>
      <c r="K8" s="46" t="str">
        <f>_xlfn.UNICHAR(8596)</f>
        <v>↔</v>
      </c>
      <c r="L8" s="50">
        <f t="shared" si="1"/>
        <v>70.043603553000011</v>
      </c>
      <c r="M8" s="49"/>
      <c r="N8" s="50">
        <f t="shared" si="2"/>
        <v>70.043603553000011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270</v>
      </c>
      <c r="B9" s="46">
        <v>2</v>
      </c>
      <c r="C9" s="67" t="s">
        <v>175</v>
      </c>
      <c r="D9" s="46" t="s">
        <v>106</v>
      </c>
      <c r="E9" s="46"/>
      <c r="F9" s="48">
        <f>10.7639 * (2.115)</f>
        <v>22.765648500000001</v>
      </c>
      <c r="G9" s="44">
        <v>78</v>
      </c>
      <c r="H9" s="46">
        <v>85</v>
      </c>
      <c r="I9" s="49">
        <f t="shared" si="0"/>
        <v>7</v>
      </c>
      <c r="J9" s="46">
        <v>0.17100000000000001</v>
      </c>
      <c r="K9" s="46" t="str">
        <f>_xlfn.UNICHAR(8595)</f>
        <v>↓</v>
      </c>
      <c r="L9" s="50">
        <f t="shared" si="1"/>
        <v>27.250481254500006</v>
      </c>
      <c r="M9" s="49"/>
      <c r="N9" s="50">
        <f t="shared" si="2"/>
        <v>27.250481254500006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341</v>
      </c>
      <c r="B10" s="46">
        <v>2</v>
      </c>
      <c r="C10" s="67" t="s">
        <v>175</v>
      </c>
      <c r="D10" s="46" t="s">
        <v>106</v>
      </c>
      <c r="E10" s="46"/>
      <c r="F10" s="48">
        <f>10.7639 * (1.7)</f>
        <v>18.298629999999999</v>
      </c>
      <c r="G10" s="44">
        <v>78</v>
      </c>
      <c r="H10" s="46">
        <v>85</v>
      </c>
      <c r="I10" s="49">
        <f t="shared" si="0"/>
        <v>7</v>
      </c>
      <c r="J10" s="46">
        <v>0.17100000000000001</v>
      </c>
      <c r="K10" s="46" t="str">
        <f>_xlfn.UNICHAR(8595)</f>
        <v>↓</v>
      </c>
      <c r="L10" s="50">
        <f t="shared" si="1"/>
        <v>21.903460110000001</v>
      </c>
      <c r="M10" s="44"/>
      <c r="N10" s="50">
        <f t="shared" si="2"/>
        <v>21.903460110000001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416</v>
      </c>
      <c r="B11" s="46">
        <v>2</v>
      </c>
      <c r="C11" s="67" t="s">
        <v>175</v>
      </c>
      <c r="D11" s="46" t="s">
        <v>106</v>
      </c>
      <c r="E11" s="46"/>
      <c r="F11" s="48">
        <f>10.7639 * (2.115)</f>
        <v>22.765648500000001</v>
      </c>
      <c r="G11" s="44">
        <v>78</v>
      </c>
      <c r="H11" s="46">
        <v>120</v>
      </c>
      <c r="I11" s="49">
        <f t="shared" si="0"/>
        <v>42</v>
      </c>
      <c r="J11" s="46">
        <v>0.14399999999999999</v>
      </c>
      <c r="K11" s="46" t="str">
        <f>_xlfn.UNICHAR(8595)</f>
        <v>↓</v>
      </c>
      <c r="L11" s="50">
        <f t="shared" si="1"/>
        <v>137.68664212799999</v>
      </c>
      <c r="M11" s="44"/>
      <c r="N11" s="50">
        <f t="shared" si="2"/>
        <v>137.68664212799999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 t="s">
        <v>417</v>
      </c>
      <c r="B12" s="46">
        <v>2</v>
      </c>
      <c r="C12" s="67" t="s">
        <v>175</v>
      </c>
      <c r="D12" s="46" t="s">
        <v>106</v>
      </c>
      <c r="E12" s="44"/>
      <c r="F12" s="48">
        <f>10.7639 * (1.7)</f>
        <v>18.298629999999999</v>
      </c>
      <c r="G12" s="44">
        <v>78</v>
      </c>
      <c r="H12" s="46">
        <v>120</v>
      </c>
      <c r="I12" s="49">
        <f t="shared" si="0"/>
        <v>42</v>
      </c>
      <c r="J12" s="46">
        <v>1.1439999999999999</v>
      </c>
      <c r="K12" s="46" t="str">
        <f>_xlfn.UNICHAR(8595)</f>
        <v>↓</v>
      </c>
      <c r="L12" s="50">
        <f t="shared" si="1"/>
        <v>879.21257423999998</v>
      </c>
      <c r="M12" s="44"/>
      <c r="N12" s="50">
        <f t="shared" si="2"/>
        <v>879.21257423999998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1922.0405725814999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(0.6*0.5))*3</f>
        <v>9.6875099999999996</v>
      </c>
      <c r="G20" s="44"/>
      <c r="H20" s="44"/>
      <c r="I20" s="44"/>
      <c r="J20" s="44"/>
      <c r="K20" s="44"/>
      <c r="L20" s="46">
        <f>F20*160</f>
        <v>1550.0016000000001</v>
      </c>
      <c r="M20" s="44"/>
      <c r="N20" s="50">
        <f>L20+M20</f>
        <v>1550.0016000000001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(21.75)</f>
        <v>234.114825</v>
      </c>
      <c r="G21" s="44"/>
      <c r="H21" s="44"/>
      <c r="I21" s="44"/>
      <c r="J21" s="44"/>
      <c r="K21" s="44"/>
      <c r="L21" s="44">
        <f>4*F21</f>
        <v>936.45929999999998</v>
      </c>
      <c r="M21" s="44"/>
      <c r="N21" s="50">
        <f>L21+M21</f>
        <v>936.45929999999998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5208.5014725814999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5208.5014725814999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234.114825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2073.8518626231003</v>
      </c>
      <c r="G37" s="44" t="s">
        <v>124</v>
      </c>
    </row>
    <row r="38" spans="1:20" x14ac:dyDescent="0.3">
      <c r="E38" s="44" t="s">
        <v>125</v>
      </c>
      <c r="F38" s="56">
        <f>F37/30</f>
        <v>69.128395420770005</v>
      </c>
      <c r="G38" s="44" t="s">
        <v>126</v>
      </c>
    </row>
    <row r="39" spans="1:20" x14ac:dyDescent="0.3">
      <c r="E39" s="44" t="s">
        <v>127</v>
      </c>
      <c r="F39" s="50">
        <f>SUM($L$5:$L$28)</f>
        <v>4723.5014725814999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5208.5014725814999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174.9444989845</v>
      </c>
      <c r="G43" s="44" t="s">
        <v>126</v>
      </c>
    </row>
    <row r="44" spans="1:20" x14ac:dyDescent="0.3">
      <c r="E44" s="44" t="s">
        <v>126</v>
      </c>
      <c r="F44" s="57">
        <f>ROUNDUP(F43,0)</f>
        <v>175</v>
      </c>
      <c r="G44" s="44" t="s">
        <v>126</v>
      </c>
    </row>
    <row r="45" spans="1:20" x14ac:dyDescent="0.3">
      <c r="E45" s="44" t="s">
        <v>133</v>
      </c>
      <c r="F45" s="50">
        <f>F44*0.0002930711</f>
        <v>5.1287442499999995E-2</v>
      </c>
      <c r="G45" s="44" t="s">
        <v>134</v>
      </c>
    </row>
    <row r="46" spans="1:20" x14ac:dyDescent="0.3">
      <c r="E46" s="44" t="s">
        <v>135</v>
      </c>
      <c r="F46" s="50">
        <f>F39/F41</f>
        <v>0.90688300607129935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F0"/>
  </sheetPr>
  <dimension ref="A1:T254"/>
  <sheetViews>
    <sheetView zoomScale="95" zoomScaleNormal="95" workbookViewId="0">
      <selection activeCell="C3" sqref="C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336</v>
      </c>
      <c r="B2" s="11"/>
      <c r="C2" s="11">
        <v>7009</v>
      </c>
      <c r="D2" s="11"/>
      <c r="E2" s="43" t="s">
        <v>369</v>
      </c>
      <c r="F2" s="43" t="s">
        <v>418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190</v>
      </c>
      <c r="B5" s="46">
        <v>6</v>
      </c>
      <c r="C5" s="67" t="s">
        <v>104</v>
      </c>
      <c r="D5" s="46" t="s">
        <v>99</v>
      </c>
      <c r="E5" s="44" t="s">
        <v>382</v>
      </c>
      <c r="F5" s="54">
        <f>10.7639 *(1.8*2.7)</f>
        <v>52.312553999999999</v>
      </c>
      <c r="G5" s="44">
        <v>78</v>
      </c>
      <c r="H5" s="46">
        <v>80</v>
      </c>
      <c r="I5" s="49">
        <f t="shared" ref="I5:I14" si="0">H5-G5</f>
        <v>2</v>
      </c>
      <c r="J5" s="46">
        <v>0.313</v>
      </c>
      <c r="K5" s="46" t="str">
        <f>_xlfn.UNICHAR(8596)</f>
        <v>↔</v>
      </c>
      <c r="L5" s="50">
        <f t="shared" ref="L5:L14" si="1">F5*I5*J5</f>
        <v>32.747658803999997</v>
      </c>
      <c r="M5" s="49"/>
      <c r="N5" s="50">
        <f t="shared" ref="N5:N14" si="2">L5+M5</f>
        <v>32.747658803999997</v>
      </c>
      <c r="O5" s="46">
        <v>70</v>
      </c>
      <c r="P5" s="46">
        <v>70</v>
      </c>
      <c r="Q5" s="49">
        <f t="shared" ref="Q5:Q14" si="3">O5-P5</f>
        <v>0</v>
      </c>
      <c r="R5" s="46"/>
      <c r="S5" s="46"/>
      <c r="T5" s="51">
        <f t="shared" ref="T5:T14" si="4">F5*Q5*R5</f>
        <v>0</v>
      </c>
    </row>
    <row r="6" spans="1:20" x14ac:dyDescent="0.3">
      <c r="A6" s="53" t="s">
        <v>337</v>
      </c>
      <c r="B6" s="46">
        <v>6</v>
      </c>
      <c r="C6" s="67" t="s">
        <v>104</v>
      </c>
      <c r="D6" s="46" t="s">
        <v>99</v>
      </c>
      <c r="E6" s="44" t="s">
        <v>317</v>
      </c>
      <c r="F6" s="54">
        <f>10.7639 *((1.7+1.6)*2.7)</f>
        <v>95.906348999999992</v>
      </c>
      <c r="G6" s="44">
        <v>78</v>
      </c>
      <c r="H6" s="46">
        <v>85</v>
      </c>
      <c r="I6" s="49">
        <f t="shared" si="0"/>
        <v>7</v>
      </c>
      <c r="J6" s="46">
        <v>0.313</v>
      </c>
      <c r="K6" s="46" t="str">
        <f>_xlfn.UNICHAR(8596)</f>
        <v>↔</v>
      </c>
      <c r="L6" s="50">
        <f t="shared" si="1"/>
        <v>210.13081065899999</v>
      </c>
      <c r="M6" s="49"/>
      <c r="N6" s="50">
        <f t="shared" si="2"/>
        <v>210.13081065899999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190</v>
      </c>
      <c r="B7" s="46">
        <v>2</v>
      </c>
      <c r="C7" s="67" t="s">
        <v>175</v>
      </c>
      <c r="D7" s="46" t="s">
        <v>106</v>
      </c>
      <c r="F7" s="54">
        <f>10.7639 *(6.15)</f>
        <v>66.197985000000003</v>
      </c>
      <c r="G7" s="44">
        <v>78</v>
      </c>
      <c r="H7" s="46">
        <v>80</v>
      </c>
      <c r="I7" s="49">
        <f t="shared" si="0"/>
        <v>2</v>
      </c>
      <c r="J7" s="46">
        <v>0.14399999999999999</v>
      </c>
      <c r="K7" s="46" t="str">
        <f>_xlfn.UNICHAR(8595)</f>
        <v>↓</v>
      </c>
      <c r="L7" s="50">
        <f t="shared" si="1"/>
        <v>19.065019679999999</v>
      </c>
      <c r="M7" s="49"/>
      <c r="N7" s="50">
        <f t="shared" si="2"/>
        <v>19.065019679999999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270</v>
      </c>
      <c r="B8" s="46">
        <v>2</v>
      </c>
      <c r="C8" s="67" t="s">
        <v>175</v>
      </c>
      <c r="D8" s="46" t="s">
        <v>106</v>
      </c>
      <c r="E8" s="46"/>
      <c r="F8" s="48">
        <f>10.7639 * (0.305)</f>
        <v>3.2829894999999998</v>
      </c>
      <c r="G8" s="44">
        <v>78</v>
      </c>
      <c r="H8" s="46">
        <v>85</v>
      </c>
      <c r="I8" s="49">
        <f t="shared" si="0"/>
        <v>7</v>
      </c>
      <c r="J8" s="46">
        <v>0.14399999999999999</v>
      </c>
      <c r="K8" s="46" t="str">
        <f>_xlfn.UNICHAR(8595)</f>
        <v>↓</v>
      </c>
      <c r="L8" s="50">
        <f t="shared" si="1"/>
        <v>3.3092534159999998</v>
      </c>
      <c r="M8" s="49"/>
      <c r="N8" s="50">
        <f t="shared" si="2"/>
        <v>3.3092534159999998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416</v>
      </c>
      <c r="B9" s="46">
        <v>2</v>
      </c>
      <c r="C9" s="67" t="s">
        <v>175</v>
      </c>
      <c r="D9" s="46" t="s">
        <v>106</v>
      </c>
      <c r="E9" s="46"/>
      <c r="F9" s="48">
        <f>10.7639 * (0.175)</f>
        <v>1.8836824999999997</v>
      </c>
      <c r="G9" s="44">
        <v>78</v>
      </c>
      <c r="H9" s="46">
        <v>120</v>
      </c>
      <c r="I9" s="49">
        <f t="shared" si="0"/>
        <v>42</v>
      </c>
      <c r="J9" s="46">
        <v>0.14399999999999999</v>
      </c>
      <c r="K9" s="46" t="str">
        <f>_xlfn.UNICHAR(8595)</f>
        <v>↓</v>
      </c>
      <c r="L9" s="50">
        <f t="shared" si="1"/>
        <v>11.392511759999998</v>
      </c>
      <c r="M9" s="49"/>
      <c r="N9" s="50">
        <f t="shared" si="2"/>
        <v>11.392511759999998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341</v>
      </c>
      <c r="B10" s="46">
        <v>2</v>
      </c>
      <c r="C10" s="67" t="s">
        <v>175</v>
      </c>
      <c r="D10" s="46" t="s">
        <v>106</v>
      </c>
      <c r="E10" s="46"/>
      <c r="F10" s="48">
        <f>10.7639 * (0.305)</f>
        <v>3.2829894999999998</v>
      </c>
      <c r="G10" s="44">
        <v>78</v>
      </c>
      <c r="H10" s="46">
        <v>85</v>
      </c>
      <c r="I10" s="49">
        <f t="shared" si="0"/>
        <v>7</v>
      </c>
      <c r="J10" s="46">
        <v>0.14399999999999999</v>
      </c>
      <c r="K10" s="46" t="str">
        <f>_xlfn.UNICHAR(8595)</f>
        <v>↓</v>
      </c>
      <c r="L10" s="50">
        <f t="shared" si="1"/>
        <v>3.3092534159999998</v>
      </c>
      <c r="M10" s="44"/>
      <c r="N10" s="50">
        <f t="shared" si="2"/>
        <v>3.3092534159999998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417</v>
      </c>
      <c r="B11" s="46">
        <v>2</v>
      </c>
      <c r="C11" s="67" t="s">
        <v>175</v>
      </c>
      <c r="D11" s="46" t="s">
        <v>106</v>
      </c>
      <c r="E11" s="46"/>
      <c r="F11" s="48">
        <f>10.7639 * (0.175)</f>
        <v>1.8836824999999997</v>
      </c>
      <c r="G11" s="44">
        <v>78</v>
      </c>
      <c r="H11" s="46">
        <v>120</v>
      </c>
      <c r="I11" s="49">
        <f t="shared" si="0"/>
        <v>42</v>
      </c>
      <c r="J11" s="46">
        <v>0.14399999999999999</v>
      </c>
      <c r="K11" s="46" t="str">
        <f>_xlfn.UNICHAR(8595)</f>
        <v>↓</v>
      </c>
      <c r="L11" s="50">
        <f t="shared" si="1"/>
        <v>11.392511759999998</v>
      </c>
      <c r="M11" s="44"/>
      <c r="N11" s="50">
        <f t="shared" si="2"/>
        <v>11.392511759999998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 t="s">
        <v>419</v>
      </c>
      <c r="B12" s="46">
        <v>1</v>
      </c>
      <c r="C12" s="67" t="s">
        <v>175</v>
      </c>
      <c r="D12" s="46" t="s">
        <v>90</v>
      </c>
      <c r="E12" s="44"/>
      <c r="F12" s="48">
        <f>10.7639 * (1.825)</f>
        <v>19.6441175</v>
      </c>
      <c r="G12" s="44">
        <v>78</v>
      </c>
      <c r="H12" s="46">
        <v>85</v>
      </c>
      <c r="I12" s="49">
        <f t="shared" si="0"/>
        <v>7</v>
      </c>
      <c r="J12" s="46">
        <v>0.17100000000000001</v>
      </c>
      <c r="K12" s="46" t="str">
        <f>_xlfn.UNICHAR(8593)</f>
        <v>↑</v>
      </c>
      <c r="L12" s="50">
        <f t="shared" si="1"/>
        <v>23.514008647500003</v>
      </c>
      <c r="M12" s="44"/>
      <c r="N12" s="50">
        <f t="shared" si="2"/>
        <v>23.514008647500003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53" t="s">
        <v>420</v>
      </c>
      <c r="B13" s="46">
        <v>1</v>
      </c>
      <c r="C13" s="67" t="s">
        <v>175</v>
      </c>
      <c r="D13" s="46" t="s">
        <v>90</v>
      </c>
      <c r="E13" s="44"/>
      <c r="F13" s="48">
        <f>10.7639 * (0.125)</f>
        <v>1.3454874999999999</v>
      </c>
      <c r="G13" s="44">
        <v>78</v>
      </c>
      <c r="H13" s="46">
        <v>120</v>
      </c>
      <c r="I13" s="49">
        <f t="shared" si="0"/>
        <v>42</v>
      </c>
      <c r="J13" s="46">
        <v>0.17100000000000001</v>
      </c>
      <c r="K13" s="46" t="str">
        <f>_xlfn.UNICHAR(8593)</f>
        <v>↑</v>
      </c>
      <c r="L13" s="50">
        <f t="shared" si="1"/>
        <v>9.663291225</v>
      </c>
      <c r="M13" s="44"/>
      <c r="N13" s="50">
        <f t="shared" si="2"/>
        <v>9.663291225</v>
      </c>
      <c r="O13" s="46">
        <v>70</v>
      </c>
      <c r="P13" s="46">
        <v>70</v>
      </c>
      <c r="Q13" s="49">
        <f t="shared" si="3"/>
        <v>0</v>
      </c>
      <c r="R13" s="46"/>
      <c r="S13" s="46"/>
      <c r="T13" s="51">
        <f t="shared" si="4"/>
        <v>0</v>
      </c>
    </row>
    <row r="14" spans="1:20" x14ac:dyDescent="0.3">
      <c r="A14" s="53" t="s">
        <v>108</v>
      </c>
      <c r="B14" s="46">
        <v>3</v>
      </c>
      <c r="C14" s="47" t="s">
        <v>205</v>
      </c>
      <c r="D14" s="46" t="s">
        <v>99</v>
      </c>
      <c r="E14" s="44" t="s">
        <v>334</v>
      </c>
      <c r="F14" s="54">
        <f>10.7639 *(3.5*2.7)</f>
        <v>101.718855</v>
      </c>
      <c r="G14" s="44">
        <v>78</v>
      </c>
      <c r="H14" s="46">
        <v>95</v>
      </c>
      <c r="I14" s="49">
        <f t="shared" si="0"/>
        <v>17</v>
      </c>
      <c r="J14" s="46">
        <v>7.2999999999999995E-2</v>
      </c>
      <c r="K14" s="46" t="str">
        <f>_xlfn.UNICHAR(8596)</f>
        <v>↔</v>
      </c>
      <c r="L14" s="50">
        <f t="shared" si="1"/>
        <v>126.233099055</v>
      </c>
      <c r="M14" s="44"/>
      <c r="N14" s="50">
        <f t="shared" si="2"/>
        <v>126.233099055</v>
      </c>
      <c r="O14" s="46">
        <v>70</v>
      </c>
      <c r="P14" s="46">
        <v>70</v>
      </c>
      <c r="Q14" s="49">
        <f t="shared" si="3"/>
        <v>0</v>
      </c>
      <c r="R14" s="46"/>
      <c r="S14" s="46"/>
      <c r="T14" s="51">
        <f t="shared" si="4"/>
        <v>0</v>
      </c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450.7574184225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(0.6*0.5))*2</f>
        <v>6.4583399999999997</v>
      </c>
      <c r="G20" s="44"/>
      <c r="H20" s="44"/>
      <c r="I20" s="44"/>
      <c r="J20" s="44"/>
      <c r="K20" s="44"/>
      <c r="L20" s="46">
        <f>F20*160</f>
        <v>1033.3344</v>
      </c>
      <c r="M20" s="44"/>
      <c r="N20" s="50">
        <f>L20+M20</f>
        <v>1033.3344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(15.13)</f>
        <v>162.85780700000001</v>
      </c>
      <c r="G21" s="44"/>
      <c r="H21" s="44"/>
      <c r="I21" s="44"/>
      <c r="J21" s="44"/>
      <c r="K21" s="44"/>
      <c r="L21" s="44">
        <f>4*F21</f>
        <v>651.43122800000003</v>
      </c>
      <c r="M21" s="44"/>
      <c r="N21" s="50">
        <f>L21+M21</f>
        <v>651.43122800000003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2935.5230464225001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2935.5230464225001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162.85780700000001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1442.6381002982762</v>
      </c>
      <c r="G37" s="44" t="s">
        <v>124</v>
      </c>
    </row>
    <row r="38" spans="1:20" x14ac:dyDescent="0.3">
      <c r="E38" s="44" t="s">
        <v>125</v>
      </c>
      <c r="F38" s="56">
        <f>F37/30</f>
        <v>48.087936676609203</v>
      </c>
      <c r="G38" s="44" t="s">
        <v>126</v>
      </c>
    </row>
    <row r="39" spans="1:20" x14ac:dyDescent="0.3">
      <c r="E39" s="44" t="s">
        <v>127</v>
      </c>
      <c r="F39" s="50">
        <f>SUM($L$5:$L$28)</f>
        <v>2450.5230464225001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2935.5230464225001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90.760112830462973</v>
      </c>
      <c r="G43" s="44" t="s">
        <v>126</v>
      </c>
    </row>
    <row r="44" spans="1:20" x14ac:dyDescent="0.3">
      <c r="E44" s="44" t="s">
        <v>126</v>
      </c>
      <c r="F44" s="57">
        <f>ROUNDUP(F43,0)</f>
        <v>91</v>
      </c>
      <c r="G44" s="44" t="s">
        <v>126</v>
      </c>
    </row>
    <row r="45" spans="1:20" x14ac:dyDescent="0.3">
      <c r="E45" s="44" t="s">
        <v>133</v>
      </c>
      <c r="F45" s="50">
        <f>F44*0.0002930711</f>
        <v>2.6669470099999999E-2</v>
      </c>
      <c r="G45" s="44" t="s">
        <v>134</v>
      </c>
    </row>
    <row r="46" spans="1:20" x14ac:dyDescent="0.3">
      <c r="E46" s="44" t="s">
        <v>135</v>
      </c>
      <c r="F46" s="50">
        <f>F39/F41</f>
        <v>0.8347824246888248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F0"/>
  </sheetPr>
  <dimension ref="A1:T254"/>
  <sheetViews>
    <sheetView zoomScale="95" zoomScaleNormal="95" workbookViewId="0"/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338</v>
      </c>
      <c r="B2" s="11"/>
      <c r="C2" s="11">
        <v>7010</v>
      </c>
      <c r="D2" s="11"/>
      <c r="E2" s="43" t="s">
        <v>369</v>
      </c>
      <c r="F2" s="43" t="s">
        <v>358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190</v>
      </c>
      <c r="B5" s="46">
        <v>6</v>
      </c>
      <c r="C5" s="67" t="s">
        <v>104</v>
      </c>
      <c r="D5" s="46" t="s">
        <v>99</v>
      </c>
      <c r="E5" s="44" t="s">
        <v>382</v>
      </c>
      <c r="F5" s="54">
        <f>10.7639 *(1.8*2.7)</f>
        <v>52.312553999999999</v>
      </c>
      <c r="G5" s="44">
        <v>78</v>
      </c>
      <c r="H5" s="46">
        <v>80</v>
      </c>
      <c r="I5" s="49">
        <f t="shared" ref="I5:I11" si="0">H5-G5</f>
        <v>2</v>
      </c>
      <c r="J5" s="46">
        <v>0.313</v>
      </c>
      <c r="K5" s="46" t="str">
        <f>_xlfn.UNICHAR(8596)</f>
        <v>↔</v>
      </c>
      <c r="L5" s="50">
        <f>F5*I5*J5</f>
        <v>32.747658803999997</v>
      </c>
      <c r="M5" s="49"/>
      <c r="N5" s="50">
        <f t="shared" ref="N5:N11" si="1">L5+M5</f>
        <v>32.747658803999997</v>
      </c>
      <c r="O5" s="46">
        <v>70</v>
      </c>
      <c r="P5" s="46">
        <v>70</v>
      </c>
      <c r="Q5" s="49">
        <f t="shared" ref="Q5:Q11" si="2">O5-P5</f>
        <v>0</v>
      </c>
      <c r="R5" s="46"/>
      <c r="S5" s="46"/>
      <c r="T5" s="51">
        <f>F5*Q5*R5</f>
        <v>0</v>
      </c>
    </row>
    <row r="6" spans="1:20" x14ac:dyDescent="0.3">
      <c r="A6" s="53" t="s">
        <v>337</v>
      </c>
      <c r="B6" s="46">
        <v>6</v>
      </c>
      <c r="C6" s="67" t="s">
        <v>104</v>
      </c>
      <c r="D6" s="46" t="s">
        <v>99</v>
      </c>
      <c r="E6" s="44" t="s">
        <v>317</v>
      </c>
      <c r="F6" s="54">
        <f>10.7639 *((1.7+1.6)*2.7)</f>
        <v>95.906348999999992</v>
      </c>
      <c r="G6" s="44">
        <v>78</v>
      </c>
      <c r="H6" s="46">
        <v>85</v>
      </c>
      <c r="I6" s="49">
        <f t="shared" si="0"/>
        <v>7</v>
      </c>
      <c r="J6" s="46">
        <v>0.313</v>
      </c>
      <c r="K6" s="46" t="str">
        <f>_xlfn.UNICHAR(8596)</f>
        <v>↔</v>
      </c>
      <c r="L6" s="50">
        <f>F6*I6*J6</f>
        <v>210.13081065899999</v>
      </c>
      <c r="M6" s="49"/>
      <c r="N6" s="50">
        <f t="shared" si="1"/>
        <v>210.13081065899999</v>
      </c>
      <c r="O6" s="46">
        <v>70</v>
      </c>
      <c r="P6" s="46">
        <v>70</v>
      </c>
      <c r="Q6" s="49">
        <f t="shared" si="2"/>
        <v>0</v>
      </c>
      <c r="R6" s="46"/>
      <c r="S6" s="46"/>
      <c r="T6" s="50">
        <f>F6*Q6*R6</f>
        <v>0</v>
      </c>
    </row>
    <row r="7" spans="1:20" x14ac:dyDescent="0.3">
      <c r="A7" s="53" t="s">
        <v>421</v>
      </c>
      <c r="B7" s="46">
        <v>2</v>
      </c>
      <c r="C7" s="67" t="s">
        <v>175</v>
      </c>
      <c r="D7" s="46" t="s">
        <v>106</v>
      </c>
      <c r="E7" s="44"/>
      <c r="F7" s="54">
        <f>10.7639 *(9.7)</f>
        <v>104.40982999999999</v>
      </c>
      <c r="G7" s="44">
        <v>78</v>
      </c>
      <c r="H7" s="46">
        <v>110</v>
      </c>
      <c r="I7" s="49">
        <f t="shared" si="0"/>
        <v>32</v>
      </c>
      <c r="J7" s="46">
        <v>0.14399999999999999</v>
      </c>
      <c r="K7" s="46" t="str">
        <f>_xlfn.UNICHAR(8595)</f>
        <v>↓</v>
      </c>
      <c r="L7" s="50">
        <f>F7*I7*J7</f>
        <v>481.12049663999989</v>
      </c>
      <c r="M7" s="49"/>
      <c r="N7" s="50">
        <f t="shared" si="1"/>
        <v>481.12049663999989</v>
      </c>
      <c r="O7" s="46">
        <v>70</v>
      </c>
      <c r="P7" s="46">
        <v>70</v>
      </c>
      <c r="Q7" s="49">
        <f t="shared" si="2"/>
        <v>0</v>
      </c>
      <c r="R7" s="46"/>
      <c r="S7" s="46"/>
      <c r="T7" s="51">
        <f>F7*Q7*R7</f>
        <v>0</v>
      </c>
    </row>
    <row r="8" spans="1:20" x14ac:dyDescent="0.3">
      <c r="A8" s="53" t="s">
        <v>190</v>
      </c>
      <c r="B8" s="46">
        <v>2</v>
      </c>
      <c r="C8" s="67" t="s">
        <v>175</v>
      </c>
      <c r="D8" s="46" t="s">
        <v>106</v>
      </c>
      <c r="E8" s="46"/>
      <c r="F8" s="54">
        <f>10.7639 *(0.18)</f>
        <v>1.9375019999999998</v>
      </c>
      <c r="G8" s="44">
        <v>78</v>
      </c>
      <c r="H8" s="46">
        <v>80</v>
      </c>
      <c r="I8" s="49">
        <f t="shared" si="0"/>
        <v>2</v>
      </c>
      <c r="J8" s="46">
        <v>0.14399999999999999</v>
      </c>
      <c r="K8" s="46" t="str">
        <f>_xlfn.UNICHAR(8595)</f>
        <v>↓</v>
      </c>
      <c r="L8" s="50">
        <f>F8*I8*J8</f>
        <v>0.55800057599999986</v>
      </c>
      <c r="M8" s="49"/>
      <c r="N8" s="50">
        <f t="shared" si="1"/>
        <v>0.55800057599999986</v>
      </c>
      <c r="O8" s="46">
        <v>70</v>
      </c>
      <c r="P8" s="46">
        <v>70</v>
      </c>
      <c r="Q8" s="49">
        <f t="shared" si="2"/>
        <v>0</v>
      </c>
      <c r="R8" s="46"/>
      <c r="S8" s="46"/>
      <c r="T8" s="51">
        <f>F8*Q8*R8</f>
        <v>0</v>
      </c>
    </row>
    <row r="9" spans="1:20" x14ac:dyDescent="0.3">
      <c r="A9" s="53" t="s">
        <v>422</v>
      </c>
      <c r="B9" s="46">
        <v>1</v>
      </c>
      <c r="C9" s="67" t="s">
        <v>175</v>
      </c>
      <c r="D9" s="46" t="s">
        <v>90</v>
      </c>
      <c r="E9" s="46"/>
      <c r="F9" s="48">
        <f>10.7639 * (2.04)</f>
        <v>21.958355999999998</v>
      </c>
      <c r="G9" s="44">
        <v>78</v>
      </c>
      <c r="H9" s="46">
        <v>85</v>
      </c>
      <c r="I9" s="49">
        <f t="shared" si="0"/>
        <v>7</v>
      </c>
      <c r="J9" s="46">
        <v>0.17100000000000001</v>
      </c>
      <c r="K9" s="46" t="str">
        <f>_xlfn.UNICHAR(8593)</f>
        <v>↑</v>
      </c>
      <c r="L9" s="50">
        <f>F9*I9*J9</f>
        <v>26.284152131999999</v>
      </c>
      <c r="M9" s="49"/>
      <c r="N9" s="50">
        <f t="shared" si="1"/>
        <v>26.284152131999999</v>
      </c>
      <c r="O9" s="46">
        <v>70</v>
      </c>
      <c r="P9" s="46">
        <v>70</v>
      </c>
      <c r="Q9" s="49">
        <f t="shared" si="2"/>
        <v>0</v>
      </c>
      <c r="R9" s="46"/>
      <c r="S9" s="46"/>
      <c r="T9" s="51">
        <f>F9*Q9*R9</f>
        <v>0</v>
      </c>
    </row>
    <row r="10" spans="1:20" x14ac:dyDescent="0.3">
      <c r="A10" s="53" t="s">
        <v>423</v>
      </c>
      <c r="B10" s="46">
        <v>1</v>
      </c>
      <c r="C10" s="67" t="s">
        <v>175</v>
      </c>
      <c r="D10" s="46" t="s">
        <v>90</v>
      </c>
      <c r="E10" s="46"/>
      <c r="F10" s="48">
        <f>10.7639 * (0.3)</f>
        <v>3.2291699999999999</v>
      </c>
      <c r="G10" s="44">
        <v>78</v>
      </c>
      <c r="H10" s="46">
        <v>120</v>
      </c>
      <c r="I10" s="49">
        <f t="shared" si="0"/>
        <v>42</v>
      </c>
      <c r="J10" s="46">
        <v>0.17100000000000001</v>
      </c>
      <c r="K10" s="46" t="str">
        <f>_xlfn.UNICHAR(8593)</f>
        <v>↑</v>
      </c>
      <c r="L10" s="50">
        <f>F9*I10*J10</f>
        <v>157.70491279200002</v>
      </c>
      <c r="M10" s="44"/>
      <c r="N10" s="50">
        <f t="shared" si="1"/>
        <v>157.70491279200002</v>
      </c>
      <c r="O10" s="46">
        <v>70</v>
      </c>
      <c r="P10" s="46">
        <v>70</v>
      </c>
      <c r="Q10" s="49">
        <f t="shared" si="2"/>
        <v>0</v>
      </c>
      <c r="R10" s="46"/>
      <c r="S10" s="46"/>
      <c r="T10" s="51">
        <f>F9*Q10*R10</f>
        <v>0</v>
      </c>
    </row>
    <row r="11" spans="1:20" x14ac:dyDescent="0.3">
      <c r="A11" s="53" t="s">
        <v>108</v>
      </c>
      <c r="B11" s="46">
        <v>3</v>
      </c>
      <c r="C11" s="47" t="s">
        <v>205</v>
      </c>
      <c r="D11" s="46" t="s">
        <v>99</v>
      </c>
      <c r="E11" s="44" t="s">
        <v>334</v>
      </c>
      <c r="F11" s="54">
        <f>10.7639 *(3.5*2.7)</f>
        <v>101.718855</v>
      </c>
      <c r="G11" s="44">
        <v>78</v>
      </c>
      <c r="H11" s="46">
        <v>95</v>
      </c>
      <c r="I11" s="49">
        <f t="shared" si="0"/>
        <v>17</v>
      </c>
      <c r="J11" s="46">
        <v>7.2999999999999995E-2</v>
      </c>
      <c r="K11" s="46" t="str">
        <f>_xlfn.UNICHAR(8596)</f>
        <v>↔</v>
      </c>
      <c r="L11" s="50">
        <f>F10*I11*J11</f>
        <v>4.0073999699999989</v>
      </c>
      <c r="M11" s="44"/>
      <c r="N11" s="50">
        <f t="shared" si="1"/>
        <v>4.0073999699999989</v>
      </c>
      <c r="O11" s="46">
        <v>70</v>
      </c>
      <c r="P11" s="46">
        <v>70</v>
      </c>
      <c r="Q11" s="49">
        <f t="shared" si="2"/>
        <v>0</v>
      </c>
      <c r="R11" s="46"/>
      <c r="S11" s="46"/>
      <c r="T11" s="51">
        <f>F10*Q11*R11</f>
        <v>0</v>
      </c>
    </row>
    <row r="12" spans="1:20" x14ac:dyDescent="0.3">
      <c r="A12" s="53"/>
      <c r="B12" s="46"/>
      <c r="C12" s="67"/>
      <c r="D12" s="46"/>
      <c r="E12" s="44"/>
      <c r="F12" s="48"/>
      <c r="G12" s="44"/>
      <c r="H12" s="46"/>
      <c r="I12" s="49"/>
      <c r="J12" s="46"/>
      <c r="K12" s="46"/>
      <c r="L12" s="50"/>
      <c r="M12" s="44"/>
      <c r="N12" s="50"/>
      <c r="O12" s="46"/>
      <c r="P12" s="46"/>
      <c r="Q12" s="49"/>
      <c r="R12" s="46"/>
      <c r="S12" s="46"/>
      <c r="T12" s="51"/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912.55343157300013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(0.6*0.5))*2</f>
        <v>6.4583399999999997</v>
      </c>
      <c r="G20" s="44"/>
      <c r="H20" s="44"/>
      <c r="I20" s="44"/>
      <c r="J20" s="44"/>
      <c r="K20" s="44"/>
      <c r="L20" s="46">
        <f>F20*160</f>
        <v>1033.3344</v>
      </c>
      <c r="M20" s="44"/>
      <c r="N20" s="50">
        <f>L20+M20</f>
        <v>1033.3344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(15.13)</f>
        <v>162.85780700000001</v>
      </c>
      <c r="G21" s="44"/>
      <c r="H21" s="44"/>
      <c r="I21" s="44"/>
      <c r="J21" s="44"/>
      <c r="K21" s="44"/>
      <c r="L21" s="44">
        <f>4*F21</f>
        <v>651.43122800000003</v>
      </c>
      <c r="M21" s="44"/>
      <c r="N21" s="50">
        <f>L21+M21</f>
        <v>651.43122800000003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3397.3190595730002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3397.3190595730002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162.85780700000001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1442.6381002982762</v>
      </c>
      <c r="G37" s="44" t="s">
        <v>124</v>
      </c>
    </row>
    <row r="38" spans="1:20" x14ac:dyDescent="0.3">
      <c r="E38" s="44" t="s">
        <v>125</v>
      </c>
      <c r="F38" s="56">
        <f>F37/30</f>
        <v>48.087936676609203</v>
      </c>
      <c r="G38" s="44" t="s">
        <v>126</v>
      </c>
    </row>
    <row r="39" spans="1:20" x14ac:dyDescent="0.3">
      <c r="E39" s="44" t="s">
        <v>127</v>
      </c>
      <c r="F39" s="50">
        <f>SUM($L$5:$L$28)</f>
        <v>2912.3190595730002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3397.3190595730002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107.86366887307408</v>
      </c>
      <c r="G43" s="44" t="s">
        <v>126</v>
      </c>
    </row>
    <row r="44" spans="1:20" x14ac:dyDescent="0.3">
      <c r="E44" s="44" t="s">
        <v>126</v>
      </c>
      <c r="F44" s="57">
        <f>ROUNDUP(F43,0)</f>
        <v>108</v>
      </c>
      <c r="G44" s="44" t="s">
        <v>126</v>
      </c>
    </row>
    <row r="45" spans="1:20" x14ac:dyDescent="0.3">
      <c r="E45" s="44" t="s">
        <v>133</v>
      </c>
      <c r="F45" s="50">
        <f>F44*0.0002930711</f>
        <v>3.1651678799999999E-2</v>
      </c>
      <c r="G45" s="44" t="s">
        <v>134</v>
      </c>
    </row>
    <row r="46" spans="1:20" x14ac:dyDescent="0.3">
      <c r="E46" s="44" t="s">
        <v>135</v>
      </c>
      <c r="F46" s="50">
        <f>F39/F41</f>
        <v>0.85724037351353211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F0"/>
  </sheetPr>
  <dimension ref="A1:T254"/>
  <sheetViews>
    <sheetView topLeftCell="A33" zoomScale="95" zoomScaleNormal="95" workbookViewId="0">
      <selection activeCell="C41" sqref="C41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424</v>
      </c>
      <c r="B2" s="11"/>
      <c r="C2" s="11">
        <v>7011</v>
      </c>
      <c r="D2" s="11"/>
      <c r="E2" s="43" t="s">
        <v>369</v>
      </c>
      <c r="F2" s="43" t="s">
        <v>358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190</v>
      </c>
      <c r="B5" s="46">
        <v>6</v>
      </c>
      <c r="C5" s="67" t="s">
        <v>104</v>
      </c>
      <c r="D5" s="46" t="s">
        <v>99</v>
      </c>
      <c r="E5" s="44" t="s">
        <v>382</v>
      </c>
      <c r="F5" s="54">
        <f>10.7639 *(1.8*2.7)</f>
        <v>52.312553999999999</v>
      </c>
      <c r="G5" s="44">
        <v>78</v>
      </c>
      <c r="H5" s="46">
        <v>80</v>
      </c>
      <c r="I5" s="49">
        <f t="shared" ref="I5:I12" si="0">H5-G5</f>
        <v>2</v>
      </c>
      <c r="J5" s="46">
        <v>0.313</v>
      </c>
      <c r="K5" s="46" t="str">
        <f>_xlfn.UNICHAR(8596)</f>
        <v>↔</v>
      </c>
      <c r="L5" s="50">
        <f t="shared" ref="L5:L12" si="1">F5*I5*J5</f>
        <v>32.747658803999997</v>
      </c>
      <c r="M5" s="49"/>
      <c r="N5" s="50">
        <f t="shared" ref="N5:N12" si="2">L5+M5</f>
        <v>32.747658803999997</v>
      </c>
      <c r="O5" s="46">
        <v>70</v>
      </c>
      <c r="P5" s="46">
        <v>70</v>
      </c>
      <c r="Q5" s="49">
        <f t="shared" ref="Q5:Q12" si="3">O5-P5</f>
        <v>0</v>
      </c>
      <c r="R5" s="46"/>
      <c r="S5" s="46"/>
      <c r="T5" s="51">
        <f t="shared" ref="T5:T12" si="4">F5*Q5*R5</f>
        <v>0</v>
      </c>
    </row>
    <row r="6" spans="1:20" x14ac:dyDescent="0.3">
      <c r="A6" s="53" t="s">
        <v>425</v>
      </c>
      <c r="B6" s="46">
        <v>6</v>
      </c>
      <c r="C6" s="67" t="s">
        <v>104</v>
      </c>
      <c r="D6" s="46" t="s">
        <v>99</v>
      </c>
      <c r="E6" s="44" t="s">
        <v>317</v>
      </c>
      <c r="F6" s="54">
        <f>10.7639 *((1.7+1.6)*2.7)</f>
        <v>95.906348999999992</v>
      </c>
      <c r="G6" s="44">
        <v>78</v>
      </c>
      <c r="H6" s="46">
        <v>85</v>
      </c>
      <c r="I6" s="49">
        <f t="shared" si="0"/>
        <v>7</v>
      </c>
      <c r="J6" s="46">
        <v>0.313</v>
      </c>
      <c r="K6" s="46" t="str">
        <f>_xlfn.UNICHAR(8596)</f>
        <v>↔</v>
      </c>
      <c r="L6" s="50">
        <f t="shared" si="1"/>
        <v>210.13081065899999</v>
      </c>
      <c r="M6" s="49"/>
      <c r="N6" s="50">
        <f t="shared" si="2"/>
        <v>210.13081065899999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108</v>
      </c>
      <c r="B7" s="46">
        <v>6</v>
      </c>
      <c r="C7" s="47" t="s">
        <v>205</v>
      </c>
      <c r="D7" s="46" t="s">
        <v>99</v>
      </c>
      <c r="E7" s="44" t="s">
        <v>426</v>
      </c>
      <c r="F7" s="54">
        <f>10.7639 *((3.5+3.6)*2.7)</f>
        <v>206.343963</v>
      </c>
      <c r="G7" s="44">
        <v>78</v>
      </c>
      <c r="H7" s="46">
        <v>95</v>
      </c>
      <c r="I7" s="49">
        <f t="shared" si="0"/>
        <v>17</v>
      </c>
      <c r="J7" s="46">
        <v>7.2999999999999995E-2</v>
      </c>
      <c r="K7" s="46" t="str">
        <f>_xlfn.UNICHAR(8596)</f>
        <v>↔</v>
      </c>
      <c r="L7" s="50">
        <f t="shared" si="1"/>
        <v>256.07285808299997</v>
      </c>
      <c r="M7" s="49"/>
      <c r="N7" s="50">
        <f t="shared" si="2"/>
        <v>256.07285808299997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108</v>
      </c>
      <c r="B8" s="46">
        <v>1</v>
      </c>
      <c r="C8" s="67" t="s">
        <v>175</v>
      </c>
      <c r="D8" s="46" t="s">
        <v>90</v>
      </c>
      <c r="E8" s="46"/>
      <c r="F8" s="48">
        <f>10.7639 * (13.6)</f>
        <v>146.38903999999999</v>
      </c>
      <c r="G8" s="44">
        <v>78</v>
      </c>
      <c r="H8" s="46">
        <v>95</v>
      </c>
      <c r="I8" s="49">
        <f t="shared" si="0"/>
        <v>17</v>
      </c>
      <c r="J8" s="46">
        <v>0.17100000000000001</v>
      </c>
      <c r="K8" s="46" t="str">
        <f>_xlfn.UNICHAR(8593)</f>
        <v>↑</v>
      </c>
      <c r="L8" s="50">
        <f t="shared" si="1"/>
        <v>425.55293928000003</v>
      </c>
      <c r="M8" s="49"/>
      <c r="N8" s="50">
        <f t="shared" si="2"/>
        <v>425.55293928000003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422</v>
      </c>
      <c r="B9" s="46">
        <v>1</v>
      </c>
      <c r="C9" s="67" t="s">
        <v>175</v>
      </c>
      <c r="D9" s="46" t="s">
        <v>90</v>
      </c>
      <c r="E9" s="46"/>
      <c r="F9" s="48">
        <f>10.7639 * (0.21)</f>
        <v>2.2604189999999997</v>
      </c>
      <c r="G9" s="44">
        <v>78</v>
      </c>
      <c r="H9" s="46">
        <v>80</v>
      </c>
      <c r="I9" s="49">
        <f t="shared" si="0"/>
        <v>2</v>
      </c>
      <c r="J9" s="46">
        <v>0.17100000000000001</v>
      </c>
      <c r="K9" s="46" t="str">
        <f>_xlfn.UNICHAR(8593)</f>
        <v>↑</v>
      </c>
      <c r="L9" s="50">
        <f t="shared" si="1"/>
        <v>0.77306329799999995</v>
      </c>
      <c r="M9" s="49"/>
      <c r="N9" s="50">
        <f t="shared" si="2"/>
        <v>0.77306329799999995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423</v>
      </c>
      <c r="B10" s="46">
        <v>1</v>
      </c>
      <c r="C10" s="67" t="s">
        <v>175</v>
      </c>
      <c r="D10" s="46" t="s">
        <v>90</v>
      </c>
      <c r="E10" s="46"/>
      <c r="F10" s="48">
        <f>10.7639 * (0.31)</f>
        <v>3.3368089999999997</v>
      </c>
      <c r="G10" s="44">
        <v>78</v>
      </c>
      <c r="H10" s="46">
        <v>120</v>
      </c>
      <c r="I10" s="49">
        <f t="shared" si="0"/>
        <v>42</v>
      </c>
      <c r="J10" s="46">
        <v>0.17100000000000001</v>
      </c>
      <c r="K10" s="46" t="str">
        <f>_xlfn.UNICHAR(8593)</f>
        <v>↑</v>
      </c>
      <c r="L10" s="50">
        <f t="shared" si="1"/>
        <v>23.964962237999998</v>
      </c>
      <c r="M10" s="44"/>
      <c r="N10" s="50">
        <f t="shared" si="2"/>
        <v>23.964962237999998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421</v>
      </c>
      <c r="B11" s="46">
        <v>2</v>
      </c>
      <c r="C11" s="67" t="s">
        <v>175</v>
      </c>
      <c r="D11" s="46" t="s">
        <v>106</v>
      </c>
      <c r="E11" s="46"/>
      <c r="F11" s="48">
        <f>10.7639 * (15.45)</f>
        <v>166.30225499999997</v>
      </c>
      <c r="G11" s="44">
        <v>78</v>
      </c>
      <c r="H11" s="46">
        <v>110</v>
      </c>
      <c r="I11" s="49">
        <f t="shared" si="0"/>
        <v>32</v>
      </c>
      <c r="J11" s="46">
        <v>0.14399999999999999</v>
      </c>
      <c r="K11" s="46" t="str">
        <f>_xlfn.UNICHAR(8595)</f>
        <v>↓</v>
      </c>
      <c r="L11" s="50">
        <f t="shared" si="1"/>
        <v>766.32079103999979</v>
      </c>
      <c r="M11" s="44"/>
      <c r="N11" s="50">
        <f t="shared" si="2"/>
        <v>766.32079103999979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 t="s">
        <v>190</v>
      </c>
      <c r="B12" s="46">
        <v>2</v>
      </c>
      <c r="C12" s="67" t="s">
        <v>175</v>
      </c>
      <c r="D12" s="46" t="s">
        <v>106</v>
      </c>
      <c r="E12" s="44"/>
      <c r="F12" s="48">
        <f>10.7639 * (0.19)</f>
        <v>2.0451410000000001</v>
      </c>
      <c r="G12" s="44">
        <v>78</v>
      </c>
      <c r="H12" s="46">
        <v>80</v>
      </c>
      <c r="I12" s="49">
        <f t="shared" si="0"/>
        <v>2</v>
      </c>
      <c r="J12" s="46">
        <v>0.14399999999999999</v>
      </c>
      <c r="K12" s="46" t="str">
        <f>_xlfn.UNICHAR(8595)</f>
        <v>↓</v>
      </c>
      <c r="L12" s="50">
        <f t="shared" si="1"/>
        <v>0.58900060799999998</v>
      </c>
      <c r="M12" s="44"/>
      <c r="N12" s="50">
        <f t="shared" si="2"/>
        <v>0.58900060799999998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1716.15208401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(0.6*0.5))*2</f>
        <v>6.4583399999999997</v>
      </c>
      <c r="G20" s="44"/>
      <c r="H20" s="44"/>
      <c r="I20" s="44"/>
      <c r="J20" s="44"/>
      <c r="K20" s="44"/>
      <c r="L20" s="46">
        <f>F20*160</f>
        <v>1033.3344</v>
      </c>
      <c r="M20" s="44"/>
      <c r="N20" s="50">
        <f>L20+M20</f>
        <v>1033.3344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(15.64)</f>
        <v>168.347396</v>
      </c>
      <c r="G21" s="44"/>
      <c r="H21" s="44"/>
      <c r="I21" s="44"/>
      <c r="J21" s="44"/>
      <c r="K21" s="44"/>
      <c r="L21" s="44">
        <f>4*F21</f>
        <v>673.38958400000001</v>
      </c>
      <c r="M21" s="44"/>
      <c r="N21" s="50">
        <f>L21+M21</f>
        <v>673.38958400000001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4222.8760680100004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4222.8760680100004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168.347396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1491.2663508701282</v>
      </c>
      <c r="G37" s="44" t="s">
        <v>124</v>
      </c>
    </row>
    <row r="38" spans="1:20" x14ac:dyDescent="0.3">
      <c r="E38" s="44" t="s">
        <v>125</v>
      </c>
      <c r="F38" s="56">
        <f>F37/30</f>
        <v>49.708878362337607</v>
      </c>
      <c r="G38" s="44" t="s">
        <v>126</v>
      </c>
    </row>
    <row r="39" spans="1:20" x14ac:dyDescent="0.3">
      <c r="E39" s="44" t="s">
        <v>127</v>
      </c>
      <c r="F39" s="50">
        <f>SUM($L$5:$L$28)</f>
        <v>3737.8760680099999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4222.8760680100004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138.43985437074073</v>
      </c>
      <c r="G43" s="44" t="s">
        <v>126</v>
      </c>
    </row>
    <row r="44" spans="1:20" x14ac:dyDescent="0.3">
      <c r="E44" s="44" t="s">
        <v>126</v>
      </c>
      <c r="F44" s="57">
        <f>ROUNDUP(F43,0)</f>
        <v>139</v>
      </c>
      <c r="G44" s="44" t="s">
        <v>126</v>
      </c>
    </row>
    <row r="45" spans="1:20" x14ac:dyDescent="0.3">
      <c r="E45" s="44" t="s">
        <v>133</v>
      </c>
      <c r="F45" s="50">
        <f>F44*0.0002930711</f>
        <v>4.07368829E-2</v>
      </c>
      <c r="G45" s="44" t="s">
        <v>134</v>
      </c>
    </row>
    <row r="46" spans="1:20" x14ac:dyDescent="0.3">
      <c r="E46" s="44" t="s">
        <v>135</v>
      </c>
      <c r="F46" s="50">
        <f>F39/F41</f>
        <v>0.88514936451152992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F0"/>
  </sheetPr>
  <dimension ref="A1:T254"/>
  <sheetViews>
    <sheetView topLeftCell="A33" zoomScale="95" zoomScaleNormal="95" workbookViewId="0">
      <selection activeCell="A33" sqref="A3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378</v>
      </c>
      <c r="B2" s="11"/>
      <c r="C2" s="11">
        <v>8001</v>
      </c>
      <c r="D2" s="11"/>
      <c r="E2" s="43" t="s">
        <v>427</v>
      </c>
      <c r="F2" s="43" t="s">
        <v>428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190</v>
      </c>
      <c r="B5" s="46">
        <v>6</v>
      </c>
      <c r="C5" s="67" t="s">
        <v>104</v>
      </c>
      <c r="D5" s="46" t="s">
        <v>99</v>
      </c>
      <c r="E5" s="44" t="s">
        <v>246</v>
      </c>
      <c r="F5" s="54">
        <f>10.7639 *(1*2.7)</f>
        <v>29.062530000000002</v>
      </c>
      <c r="G5" s="44">
        <v>78</v>
      </c>
      <c r="H5" s="46">
        <v>80</v>
      </c>
      <c r="I5" s="49">
        <f t="shared" ref="I5:I10" si="0">H5-G5</f>
        <v>2</v>
      </c>
      <c r="J5" s="46">
        <v>0.313</v>
      </c>
      <c r="K5" s="46" t="str">
        <f>_xlfn.UNICHAR(8596)</f>
        <v>↔</v>
      </c>
      <c r="L5" s="50">
        <f t="shared" ref="L5:L10" si="1">F5*I5*J5</f>
        <v>18.19314378</v>
      </c>
      <c r="M5" s="49"/>
      <c r="N5" s="50">
        <f t="shared" ref="N5:N10" si="2">L5+M5</f>
        <v>18.19314378</v>
      </c>
      <c r="O5" s="46">
        <v>70</v>
      </c>
      <c r="P5" s="46">
        <v>70</v>
      </c>
      <c r="Q5" s="49">
        <f t="shared" ref="Q5:Q10" si="3">O5-P5</f>
        <v>0</v>
      </c>
      <c r="R5" s="46"/>
      <c r="S5" s="46"/>
      <c r="T5" s="51">
        <f t="shared" ref="T5:T10" si="4">F5*Q5*R5</f>
        <v>0</v>
      </c>
    </row>
    <row r="6" spans="1:20" x14ac:dyDescent="0.3">
      <c r="A6" s="53" t="s">
        <v>108</v>
      </c>
      <c r="B6" s="46">
        <v>3</v>
      </c>
      <c r="C6" s="47" t="s">
        <v>205</v>
      </c>
      <c r="D6" s="46" t="s">
        <v>99</v>
      </c>
      <c r="E6" s="44" t="s">
        <v>429</v>
      </c>
      <c r="F6" s="54">
        <f>10.7639 *((3.2+3.8)*2.7)</f>
        <v>203.43771000000001</v>
      </c>
      <c r="G6" s="44">
        <v>78</v>
      </c>
      <c r="H6" s="46">
        <v>95</v>
      </c>
      <c r="I6" s="49">
        <f t="shared" si="0"/>
        <v>17</v>
      </c>
      <c r="J6" s="46">
        <v>7.2999999999999995E-2</v>
      </c>
      <c r="K6" s="46" t="str">
        <f>_xlfn.UNICHAR(8596)</f>
        <v>↔</v>
      </c>
      <c r="L6" s="50">
        <f t="shared" si="1"/>
        <v>252.46619810999999</v>
      </c>
      <c r="M6" s="49"/>
      <c r="N6" s="50">
        <f t="shared" si="2"/>
        <v>252.46619810999999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430</v>
      </c>
      <c r="B7" s="46">
        <v>6</v>
      </c>
      <c r="C7" s="67" t="s">
        <v>104</v>
      </c>
      <c r="D7" s="46" t="s">
        <v>99</v>
      </c>
      <c r="E7" s="44" t="s">
        <v>393</v>
      </c>
      <c r="F7" s="54">
        <f>10.7639 *(1.4*2.7)</f>
        <v>40.687541999999993</v>
      </c>
      <c r="G7" s="44">
        <v>78</v>
      </c>
      <c r="H7" s="46">
        <v>120</v>
      </c>
      <c r="I7" s="49">
        <f t="shared" si="0"/>
        <v>42</v>
      </c>
      <c r="J7" s="46">
        <v>0.313</v>
      </c>
      <c r="K7" s="46" t="str">
        <f>_xlfn.UNICHAR(8596)</f>
        <v>↔</v>
      </c>
      <c r="L7" s="50">
        <f t="shared" si="1"/>
        <v>534.87842713199984</v>
      </c>
      <c r="M7" s="49"/>
      <c r="N7" s="50">
        <f t="shared" si="2"/>
        <v>534.87842713199984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108</v>
      </c>
      <c r="B8" s="46">
        <v>1</v>
      </c>
      <c r="C8" s="67" t="s">
        <v>175</v>
      </c>
      <c r="D8" s="46" t="s">
        <v>90</v>
      </c>
      <c r="E8" s="46"/>
      <c r="F8" s="48">
        <f>10.7639 * (13.56)</f>
        <v>145.958484</v>
      </c>
      <c r="G8" s="44">
        <v>78</v>
      </c>
      <c r="H8" s="46">
        <v>95</v>
      </c>
      <c r="I8" s="49">
        <f t="shared" si="0"/>
        <v>17</v>
      </c>
      <c r="J8" s="46">
        <v>0.17100000000000001</v>
      </c>
      <c r="K8" s="46" t="str">
        <f>_xlfn.UNICHAR(8593)</f>
        <v>↑</v>
      </c>
      <c r="L8" s="50">
        <f t="shared" si="1"/>
        <v>424.30131298800001</v>
      </c>
      <c r="M8" s="49"/>
      <c r="N8" s="50">
        <f t="shared" si="2"/>
        <v>424.30131298800001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377</v>
      </c>
      <c r="B9" s="46">
        <v>2</v>
      </c>
      <c r="C9" s="67" t="s">
        <v>175</v>
      </c>
      <c r="D9" s="46" t="s">
        <v>106</v>
      </c>
      <c r="E9" s="46"/>
      <c r="F9" s="48">
        <f>10.7639 * (0.51)</f>
        <v>5.4895889999999996</v>
      </c>
      <c r="G9" s="44">
        <v>78</v>
      </c>
      <c r="H9" s="46">
        <v>85</v>
      </c>
      <c r="I9" s="49">
        <f t="shared" si="0"/>
        <v>7</v>
      </c>
      <c r="J9" s="46">
        <v>0.14399999999999999</v>
      </c>
      <c r="K9" s="46" t="str">
        <f>_xlfn.UNICHAR(8595)</f>
        <v>↓</v>
      </c>
      <c r="L9" s="50">
        <f t="shared" si="1"/>
        <v>5.5335057119999984</v>
      </c>
      <c r="M9" s="49"/>
      <c r="N9" s="50">
        <f t="shared" si="2"/>
        <v>5.5335057119999984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190</v>
      </c>
      <c r="B10" s="46">
        <v>2</v>
      </c>
      <c r="C10" s="67" t="s">
        <v>175</v>
      </c>
      <c r="D10" s="46" t="s">
        <v>106</v>
      </c>
      <c r="E10" s="46"/>
      <c r="F10" s="48">
        <f>10.7639 * (0.1)</f>
        <v>1.07639</v>
      </c>
      <c r="G10" s="44">
        <v>78</v>
      </c>
      <c r="H10" s="46">
        <v>80</v>
      </c>
      <c r="I10" s="49">
        <f t="shared" si="0"/>
        <v>2</v>
      </c>
      <c r="J10" s="46">
        <v>0.14399999999999999</v>
      </c>
      <c r="K10" s="46" t="str">
        <f>_xlfn.UNICHAR(8595)</f>
        <v>↓</v>
      </c>
      <c r="L10" s="50">
        <f t="shared" si="1"/>
        <v>0.31000031999999994</v>
      </c>
      <c r="M10" s="44"/>
      <c r="N10" s="50">
        <f t="shared" si="2"/>
        <v>0.31000031999999994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/>
      <c r="B11" s="46"/>
      <c r="C11" s="67"/>
      <c r="D11" s="46"/>
      <c r="E11" s="46"/>
      <c r="F11" s="48"/>
      <c r="G11" s="44"/>
      <c r="H11" s="46"/>
      <c r="I11" s="49"/>
      <c r="J11" s="46"/>
      <c r="K11" s="46"/>
      <c r="L11" s="50"/>
      <c r="M11" s="44"/>
      <c r="N11" s="50"/>
      <c r="O11" s="46"/>
      <c r="P11" s="46"/>
      <c r="Q11" s="49"/>
      <c r="R11" s="46"/>
      <c r="S11" s="46"/>
      <c r="T11" s="51"/>
    </row>
    <row r="12" spans="1:20" x14ac:dyDescent="0.3">
      <c r="A12" s="53"/>
      <c r="B12" s="46"/>
      <c r="C12" s="67"/>
      <c r="D12" s="46"/>
      <c r="E12" s="44"/>
      <c r="F12" s="48"/>
      <c r="G12" s="44"/>
      <c r="H12" s="46"/>
      <c r="I12" s="49"/>
      <c r="J12" s="46"/>
      <c r="K12" s="46"/>
      <c r="L12" s="50"/>
      <c r="M12" s="44"/>
      <c r="N12" s="50"/>
      <c r="O12" s="46"/>
      <c r="P12" s="46"/>
      <c r="Q12" s="49"/>
      <c r="R12" s="46"/>
      <c r="S12" s="46"/>
      <c r="T12" s="51"/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1235.6825880419999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(0.6*0.5))*1</f>
        <v>3.2291699999999999</v>
      </c>
      <c r="G20" s="44"/>
      <c r="H20" s="44"/>
      <c r="I20" s="44"/>
      <c r="J20" s="44"/>
      <c r="K20" s="44"/>
      <c r="L20" s="46">
        <f>F20*160</f>
        <v>516.66719999999998</v>
      </c>
      <c r="M20" s="44"/>
      <c r="N20" s="50">
        <f>L20+M20</f>
        <v>516.66719999999998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(13.56)</f>
        <v>145.958484</v>
      </c>
      <c r="G21" s="44"/>
      <c r="H21" s="44"/>
      <c r="I21" s="44"/>
      <c r="J21" s="44"/>
      <c r="K21" s="44"/>
      <c r="L21" s="44">
        <f>4*F21</f>
        <v>583.83393599999999</v>
      </c>
      <c r="M21" s="44"/>
      <c r="N21" s="50">
        <f>L21+M21</f>
        <v>583.83393599999999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3136.183724042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3136.183724042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145.958484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1292.939368145712</v>
      </c>
      <c r="G37" s="44" t="s">
        <v>124</v>
      </c>
    </row>
    <row r="38" spans="1:20" x14ac:dyDescent="0.3">
      <c r="E38" s="44" t="s">
        <v>125</v>
      </c>
      <c r="F38" s="56">
        <f>F37/30</f>
        <v>43.097978938190401</v>
      </c>
      <c r="G38" s="44" t="s">
        <v>126</v>
      </c>
    </row>
    <row r="39" spans="1:20" x14ac:dyDescent="0.3">
      <c r="E39" s="44" t="s">
        <v>127</v>
      </c>
      <c r="F39" s="50">
        <f>SUM($L$5:$L$28)</f>
        <v>2651.183724042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3136.183724042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98.191989779333326</v>
      </c>
      <c r="G43" s="44" t="s">
        <v>126</v>
      </c>
    </row>
    <row r="44" spans="1:20" x14ac:dyDescent="0.3">
      <c r="E44" s="44" t="s">
        <v>126</v>
      </c>
      <c r="F44" s="57">
        <f>ROUNDUP(F43,0)</f>
        <v>99</v>
      </c>
      <c r="G44" s="44" t="s">
        <v>126</v>
      </c>
    </row>
    <row r="45" spans="1:20" x14ac:dyDescent="0.3">
      <c r="E45" s="44" t="s">
        <v>133</v>
      </c>
      <c r="F45" s="50">
        <f>F44*0.0002930711</f>
        <v>2.9014038899999997E-2</v>
      </c>
      <c r="G45" s="44" t="s">
        <v>134</v>
      </c>
    </row>
    <row r="46" spans="1:20" x14ac:dyDescent="0.3">
      <c r="E46" s="44" t="s">
        <v>135</v>
      </c>
      <c r="F46" s="50">
        <f>F39/F41</f>
        <v>0.84535344779644517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F0"/>
  </sheetPr>
  <dimension ref="A1:T254"/>
  <sheetViews>
    <sheetView topLeftCell="A49" zoomScale="95" zoomScaleNormal="95" workbookViewId="0">
      <selection activeCell="A49" sqref="A49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431</v>
      </c>
      <c r="B2" s="11"/>
      <c r="C2" s="11">
        <v>1001</v>
      </c>
      <c r="D2" s="11"/>
      <c r="E2" s="43" t="s">
        <v>427</v>
      </c>
      <c r="F2" s="43" t="s">
        <v>358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190</v>
      </c>
      <c r="B5" s="46">
        <v>6</v>
      </c>
      <c r="C5" s="67" t="s">
        <v>104</v>
      </c>
      <c r="D5" s="46" t="s">
        <v>99</v>
      </c>
      <c r="E5" s="44" t="s">
        <v>432</v>
      </c>
      <c r="F5" s="54">
        <f>10.7639 *(2.7*2.7)</f>
        <v>78.468831000000009</v>
      </c>
      <c r="G5" s="44">
        <v>78</v>
      </c>
      <c r="H5" s="46">
        <v>80</v>
      </c>
      <c r="I5" s="49">
        <f t="shared" ref="I5:I17" si="0">H5-G5</f>
        <v>2</v>
      </c>
      <c r="J5" s="46">
        <v>0.313</v>
      </c>
      <c r="K5" s="46" t="str">
        <f t="shared" ref="K5:K10" si="1">_xlfn.UNICHAR(8596)</f>
        <v>↔</v>
      </c>
      <c r="L5" s="50">
        <f t="shared" ref="L5:L17" si="2">F5*I5*J5</f>
        <v>49.121488206000002</v>
      </c>
      <c r="M5" s="49"/>
      <c r="N5" s="50">
        <f t="shared" ref="N5:N17" si="3">L5+M5</f>
        <v>49.121488206000002</v>
      </c>
      <c r="O5" s="46">
        <v>70</v>
      </c>
      <c r="P5" s="46">
        <v>70</v>
      </c>
      <c r="Q5" s="49">
        <f t="shared" ref="Q5:Q17" si="4">O5-P5</f>
        <v>0</v>
      </c>
      <c r="R5" s="46"/>
      <c r="S5" s="46"/>
      <c r="T5" s="51">
        <f t="shared" ref="T5:T17" si="5">F5*Q5*R5</f>
        <v>0</v>
      </c>
    </row>
    <row r="6" spans="1:20" x14ac:dyDescent="0.3">
      <c r="A6" s="53" t="s">
        <v>108</v>
      </c>
      <c r="B6" s="46">
        <v>3</v>
      </c>
      <c r="C6" s="47" t="s">
        <v>205</v>
      </c>
      <c r="D6" s="46" t="s">
        <v>99</v>
      </c>
      <c r="E6" s="44" t="s">
        <v>433</v>
      </c>
      <c r="F6" s="54">
        <f>10.7639 *(2.7*3.8)</f>
        <v>110.437614</v>
      </c>
      <c r="G6" s="44">
        <v>78</v>
      </c>
      <c r="H6" s="46">
        <v>95</v>
      </c>
      <c r="I6" s="49">
        <f t="shared" si="0"/>
        <v>17</v>
      </c>
      <c r="J6" s="46">
        <v>7.2999999999999995E-2</v>
      </c>
      <c r="K6" s="46" t="str">
        <f t="shared" si="1"/>
        <v>↔</v>
      </c>
      <c r="L6" s="50">
        <f t="shared" si="2"/>
        <v>137.05307897399999</v>
      </c>
      <c r="M6" s="49"/>
      <c r="N6" s="50">
        <f t="shared" si="3"/>
        <v>137.05307897399999</v>
      </c>
      <c r="O6" s="46">
        <v>70</v>
      </c>
      <c r="P6" s="46">
        <v>70</v>
      </c>
      <c r="Q6" s="49">
        <f t="shared" si="4"/>
        <v>0</v>
      </c>
      <c r="R6" s="46"/>
      <c r="S6" s="46"/>
      <c r="T6" s="50">
        <f t="shared" si="5"/>
        <v>0</v>
      </c>
    </row>
    <row r="7" spans="1:20" x14ac:dyDescent="0.3">
      <c r="A7" s="53" t="s">
        <v>385</v>
      </c>
      <c r="B7" s="46">
        <v>6</v>
      </c>
      <c r="C7" s="67" t="s">
        <v>104</v>
      </c>
      <c r="D7" s="46" t="s">
        <v>99</v>
      </c>
      <c r="E7" s="44" t="s">
        <v>246</v>
      </c>
      <c r="F7" s="54">
        <f>10.7639 *(1*2.7)</f>
        <v>29.062530000000002</v>
      </c>
      <c r="G7" s="44">
        <v>78</v>
      </c>
      <c r="H7" s="46">
        <v>85</v>
      </c>
      <c r="I7" s="49">
        <f t="shared" si="0"/>
        <v>7</v>
      </c>
      <c r="J7" s="46">
        <v>0.313</v>
      </c>
      <c r="K7" s="46" t="str">
        <f t="shared" si="1"/>
        <v>↔</v>
      </c>
      <c r="L7" s="50">
        <f t="shared" si="2"/>
        <v>63.676003230000006</v>
      </c>
      <c r="M7" s="49"/>
      <c r="N7" s="50">
        <f t="shared" si="3"/>
        <v>63.676003230000006</v>
      </c>
      <c r="O7" s="46">
        <v>70</v>
      </c>
      <c r="P7" s="46">
        <v>70</v>
      </c>
      <c r="Q7" s="49">
        <f t="shared" si="4"/>
        <v>0</v>
      </c>
      <c r="R7" s="46"/>
      <c r="S7" s="46"/>
      <c r="T7" s="51">
        <f t="shared" si="5"/>
        <v>0</v>
      </c>
    </row>
    <row r="8" spans="1:20" x14ac:dyDescent="0.3">
      <c r="A8" s="53" t="s">
        <v>434</v>
      </c>
      <c r="B8" s="46">
        <v>6</v>
      </c>
      <c r="C8" s="67" t="s">
        <v>104</v>
      </c>
      <c r="D8" s="46" t="s">
        <v>99</v>
      </c>
      <c r="E8" s="44" t="s">
        <v>435</v>
      </c>
      <c r="F8" s="54">
        <f>10.7639 *((1.4+0.1)*2.7)</f>
        <v>43.593795000000007</v>
      </c>
      <c r="G8" s="44">
        <v>78</v>
      </c>
      <c r="H8" s="46">
        <v>120</v>
      </c>
      <c r="I8" s="49">
        <f t="shared" si="0"/>
        <v>42</v>
      </c>
      <c r="J8" s="46">
        <v>0.313</v>
      </c>
      <c r="K8" s="46" t="str">
        <f t="shared" si="1"/>
        <v>↔</v>
      </c>
      <c r="L8" s="50">
        <f t="shared" si="2"/>
        <v>573.08402907000004</v>
      </c>
      <c r="M8" s="49"/>
      <c r="N8" s="50">
        <f t="shared" si="3"/>
        <v>573.08402907000004</v>
      </c>
      <c r="O8" s="46">
        <v>70</v>
      </c>
      <c r="P8" s="46">
        <v>70</v>
      </c>
      <c r="Q8" s="49">
        <f t="shared" si="4"/>
        <v>0</v>
      </c>
      <c r="R8" s="46"/>
      <c r="S8" s="46"/>
      <c r="T8" s="51">
        <f t="shared" si="5"/>
        <v>0</v>
      </c>
    </row>
    <row r="9" spans="1:20" x14ac:dyDescent="0.3">
      <c r="A9" s="53" t="s">
        <v>381</v>
      </c>
      <c r="B9" s="46">
        <v>6</v>
      </c>
      <c r="C9" s="67" t="s">
        <v>104</v>
      </c>
      <c r="D9" s="46" t="s">
        <v>99</v>
      </c>
      <c r="E9" s="44" t="s">
        <v>399</v>
      </c>
      <c r="F9" s="54">
        <f>10.7639 *(1.3*2.7)</f>
        <v>37.781289000000001</v>
      </c>
      <c r="G9" s="44">
        <v>78</v>
      </c>
      <c r="H9" s="46">
        <v>85</v>
      </c>
      <c r="I9" s="49">
        <f t="shared" si="0"/>
        <v>7</v>
      </c>
      <c r="J9" s="46">
        <v>0.313</v>
      </c>
      <c r="K9" s="46" t="str">
        <f t="shared" si="1"/>
        <v>↔</v>
      </c>
      <c r="L9" s="50">
        <f t="shared" si="2"/>
        <v>82.778804198999993</v>
      </c>
      <c r="M9" s="49"/>
      <c r="N9" s="50">
        <f t="shared" si="3"/>
        <v>82.778804198999993</v>
      </c>
      <c r="O9" s="46">
        <v>70</v>
      </c>
      <c r="P9" s="46">
        <v>70</v>
      </c>
      <c r="Q9" s="49">
        <f t="shared" si="4"/>
        <v>0</v>
      </c>
      <c r="R9" s="46"/>
      <c r="S9" s="46"/>
      <c r="T9" s="51">
        <f t="shared" si="5"/>
        <v>0</v>
      </c>
    </row>
    <row r="10" spans="1:20" x14ac:dyDescent="0.3">
      <c r="A10" s="53" t="s">
        <v>430</v>
      </c>
      <c r="B10" s="46">
        <v>6</v>
      </c>
      <c r="C10" s="67" t="s">
        <v>104</v>
      </c>
      <c r="D10" s="46" t="s">
        <v>99</v>
      </c>
      <c r="E10" s="44" t="s">
        <v>361</v>
      </c>
      <c r="F10" s="54">
        <f>10.7639 *(0.1*2.7)</f>
        <v>2.906253</v>
      </c>
      <c r="G10" s="44">
        <v>78</v>
      </c>
      <c r="H10" s="46">
        <v>120</v>
      </c>
      <c r="I10" s="49">
        <f t="shared" si="0"/>
        <v>42</v>
      </c>
      <c r="J10" s="46">
        <v>0.313</v>
      </c>
      <c r="K10" s="46" t="str">
        <f t="shared" si="1"/>
        <v>↔</v>
      </c>
      <c r="L10" s="50">
        <f t="shared" si="2"/>
        <v>38.205601938000001</v>
      </c>
      <c r="M10" s="44"/>
      <c r="N10" s="50">
        <f t="shared" si="3"/>
        <v>38.205601938000001</v>
      </c>
      <c r="O10" s="46">
        <v>70</v>
      </c>
      <c r="P10" s="46">
        <v>70</v>
      </c>
      <c r="Q10" s="49">
        <f t="shared" si="4"/>
        <v>0</v>
      </c>
      <c r="R10" s="46"/>
      <c r="S10" s="46"/>
      <c r="T10" s="51">
        <f t="shared" si="5"/>
        <v>0</v>
      </c>
    </row>
    <row r="11" spans="1:20" x14ac:dyDescent="0.3">
      <c r="A11" s="53" t="s">
        <v>108</v>
      </c>
      <c r="B11" s="46">
        <v>1</v>
      </c>
      <c r="C11" s="67" t="s">
        <v>175</v>
      </c>
      <c r="D11" s="46" t="s">
        <v>90</v>
      </c>
      <c r="E11" s="46"/>
      <c r="F11" s="54">
        <f>10.7639 *(10.5658)</f>
        <v>113.72921461999999</v>
      </c>
      <c r="G11" s="44">
        <v>78</v>
      </c>
      <c r="H11" s="46">
        <v>95</v>
      </c>
      <c r="I11" s="49">
        <f t="shared" si="0"/>
        <v>17</v>
      </c>
      <c r="J11" s="46">
        <v>0.17100000000000001</v>
      </c>
      <c r="K11" s="46" t="str">
        <f>_xlfn.UNICHAR(8593)</f>
        <v>↑</v>
      </c>
      <c r="L11" s="50">
        <f t="shared" si="2"/>
        <v>330.61082690033999</v>
      </c>
      <c r="M11" s="44"/>
      <c r="N11" s="50">
        <f t="shared" si="3"/>
        <v>330.61082690033999</v>
      </c>
      <c r="O11" s="46">
        <v>70</v>
      </c>
      <c r="P11" s="46">
        <v>70</v>
      </c>
      <c r="Q11" s="49">
        <f t="shared" si="4"/>
        <v>0</v>
      </c>
      <c r="R11" s="46"/>
      <c r="S11" s="46"/>
      <c r="T11" s="51">
        <f t="shared" si="5"/>
        <v>0</v>
      </c>
    </row>
    <row r="12" spans="1:20" x14ac:dyDescent="0.3">
      <c r="A12" s="53" t="s">
        <v>436</v>
      </c>
      <c r="B12" s="46">
        <v>3</v>
      </c>
      <c r="C12" s="67" t="s">
        <v>175</v>
      </c>
      <c r="D12" s="46" t="s">
        <v>90</v>
      </c>
      <c r="E12" s="46"/>
      <c r="F12" s="48"/>
      <c r="G12" s="44">
        <v>78</v>
      </c>
      <c r="H12" s="46">
        <v>78</v>
      </c>
      <c r="I12" s="49">
        <f t="shared" si="0"/>
        <v>0</v>
      </c>
      <c r="J12" s="46">
        <v>0.17100000000000001</v>
      </c>
      <c r="K12" s="46" t="str">
        <f>_xlfn.UNICHAR(8593)</f>
        <v>↑</v>
      </c>
      <c r="L12" s="50">
        <f t="shared" si="2"/>
        <v>0</v>
      </c>
      <c r="M12" s="44"/>
      <c r="N12" s="50">
        <f t="shared" si="3"/>
        <v>0</v>
      </c>
      <c r="O12" s="46">
        <v>70</v>
      </c>
      <c r="P12" s="46">
        <v>70</v>
      </c>
      <c r="Q12" s="49">
        <f t="shared" si="4"/>
        <v>0</v>
      </c>
      <c r="R12" s="46"/>
      <c r="S12" s="46"/>
      <c r="T12" s="51">
        <f t="shared" si="5"/>
        <v>0</v>
      </c>
    </row>
    <row r="13" spans="1:20" x14ac:dyDescent="0.3">
      <c r="A13" s="53" t="s">
        <v>364</v>
      </c>
      <c r="B13" s="46">
        <v>2</v>
      </c>
      <c r="C13" s="67" t="s">
        <v>175</v>
      </c>
      <c r="D13" s="46" t="s">
        <v>106</v>
      </c>
      <c r="E13" s="44"/>
      <c r="F13" s="54">
        <f>10.7639 *(2.42)</f>
        <v>26.048637999999997</v>
      </c>
      <c r="G13" s="44">
        <v>78</v>
      </c>
      <c r="H13" s="46">
        <v>85</v>
      </c>
      <c r="I13" s="49">
        <f t="shared" si="0"/>
        <v>7</v>
      </c>
      <c r="J13" s="46">
        <v>0.14399999999999999</v>
      </c>
      <c r="K13" s="46" t="str">
        <f>_xlfn.UNICHAR(8595)</f>
        <v>↓</v>
      </c>
      <c r="L13" s="50">
        <f t="shared" si="2"/>
        <v>26.257027103999995</v>
      </c>
      <c r="M13" s="44"/>
      <c r="N13" s="50">
        <f t="shared" si="3"/>
        <v>26.257027103999995</v>
      </c>
      <c r="O13" s="46">
        <v>70</v>
      </c>
      <c r="P13" s="46">
        <v>70</v>
      </c>
      <c r="Q13" s="49">
        <f t="shared" si="4"/>
        <v>0</v>
      </c>
      <c r="R13" s="46"/>
      <c r="S13" s="46"/>
      <c r="T13" s="51">
        <f t="shared" si="5"/>
        <v>0</v>
      </c>
    </row>
    <row r="14" spans="1:20" x14ac:dyDescent="0.3">
      <c r="A14" s="53" t="s">
        <v>437</v>
      </c>
      <c r="B14" s="46">
        <v>2</v>
      </c>
      <c r="C14" s="67" t="s">
        <v>175</v>
      </c>
      <c r="D14" s="46" t="s">
        <v>106</v>
      </c>
      <c r="E14" s="44"/>
      <c r="F14" s="54">
        <f>10.7639 *(0.3)</f>
        <v>3.2291699999999999</v>
      </c>
      <c r="G14" s="44">
        <v>78</v>
      </c>
      <c r="H14" s="46">
        <v>120</v>
      </c>
      <c r="I14" s="49">
        <f t="shared" si="0"/>
        <v>42</v>
      </c>
      <c r="J14" s="46">
        <v>0.14399999999999999</v>
      </c>
      <c r="K14" s="46" t="str">
        <f>_xlfn.UNICHAR(8595)</f>
        <v>↓</v>
      </c>
      <c r="L14" s="50">
        <f t="shared" si="2"/>
        <v>19.530020159999996</v>
      </c>
      <c r="M14" s="44"/>
      <c r="N14" s="50">
        <f t="shared" si="3"/>
        <v>19.530020159999996</v>
      </c>
      <c r="O14" s="46">
        <v>70</v>
      </c>
      <c r="P14" s="46">
        <v>70</v>
      </c>
      <c r="Q14" s="49">
        <f t="shared" si="4"/>
        <v>0</v>
      </c>
      <c r="R14" s="46"/>
      <c r="S14" s="46"/>
      <c r="T14" s="51">
        <f t="shared" si="5"/>
        <v>0</v>
      </c>
    </row>
    <row r="15" spans="1:20" x14ac:dyDescent="0.3">
      <c r="A15" s="53" t="s">
        <v>330</v>
      </c>
      <c r="B15" s="46">
        <v>2</v>
      </c>
      <c r="C15" s="67" t="s">
        <v>175</v>
      </c>
      <c r="D15" s="46" t="s">
        <v>106</v>
      </c>
      <c r="E15" s="44"/>
      <c r="F15" s="54">
        <f>10.7639 *(1.51)</f>
        <v>16.253488999999998</v>
      </c>
      <c r="G15" s="44">
        <v>78</v>
      </c>
      <c r="H15" s="46">
        <v>85</v>
      </c>
      <c r="I15" s="49">
        <f t="shared" si="0"/>
        <v>7</v>
      </c>
      <c r="J15" s="46">
        <v>0.14399999999999999</v>
      </c>
      <c r="K15" s="46" t="str">
        <f>_xlfn.UNICHAR(8595)</f>
        <v>↓</v>
      </c>
      <c r="L15" s="50">
        <f t="shared" si="2"/>
        <v>16.383516911999997</v>
      </c>
      <c r="M15" s="44"/>
      <c r="N15" s="50">
        <f t="shared" si="3"/>
        <v>16.383516911999997</v>
      </c>
      <c r="O15" s="46">
        <v>70</v>
      </c>
      <c r="P15" s="46">
        <v>70</v>
      </c>
      <c r="Q15" s="49">
        <f t="shared" si="4"/>
        <v>0</v>
      </c>
      <c r="R15" s="46"/>
      <c r="S15" s="46"/>
      <c r="T15" s="51">
        <f t="shared" si="5"/>
        <v>0</v>
      </c>
    </row>
    <row r="16" spans="1:20" x14ac:dyDescent="0.3">
      <c r="A16" s="53" t="s">
        <v>438</v>
      </c>
      <c r="B16" s="46">
        <v>2</v>
      </c>
      <c r="C16" s="67" t="s">
        <v>175</v>
      </c>
      <c r="D16" s="46" t="s">
        <v>106</v>
      </c>
      <c r="E16" s="44"/>
      <c r="F16" s="54">
        <f>10.7639 *(0.3)</f>
        <v>3.2291699999999999</v>
      </c>
      <c r="G16" s="44">
        <v>78</v>
      </c>
      <c r="H16" s="46">
        <v>120</v>
      </c>
      <c r="I16" s="49">
        <f t="shared" si="0"/>
        <v>42</v>
      </c>
      <c r="J16" s="46">
        <v>0.14399999999999999</v>
      </c>
      <c r="K16" s="46" t="str">
        <f>_xlfn.UNICHAR(8595)</f>
        <v>↓</v>
      </c>
      <c r="L16" s="50">
        <f t="shared" si="2"/>
        <v>19.530020159999996</v>
      </c>
      <c r="M16" s="44"/>
      <c r="N16" s="50">
        <f t="shared" si="3"/>
        <v>19.530020159999996</v>
      </c>
      <c r="O16" s="46">
        <v>70</v>
      </c>
      <c r="P16" s="46">
        <v>70</v>
      </c>
      <c r="Q16" s="49">
        <f t="shared" si="4"/>
        <v>0</v>
      </c>
      <c r="R16" s="46"/>
      <c r="S16" s="46"/>
      <c r="T16" s="51">
        <f t="shared" si="5"/>
        <v>0</v>
      </c>
    </row>
    <row r="17" spans="1:20" x14ac:dyDescent="0.3">
      <c r="A17" s="53" t="s">
        <v>190</v>
      </c>
      <c r="B17" s="46">
        <v>2</v>
      </c>
      <c r="C17" s="67" t="s">
        <v>175</v>
      </c>
      <c r="D17" s="46" t="s">
        <v>106</v>
      </c>
      <c r="E17" s="44"/>
      <c r="F17" s="54">
        <f>10.7639 *(0.27)</f>
        <v>2.906253</v>
      </c>
      <c r="G17" s="44">
        <v>78</v>
      </c>
      <c r="H17" s="46">
        <v>80</v>
      </c>
      <c r="I17" s="49">
        <f t="shared" si="0"/>
        <v>2</v>
      </c>
      <c r="J17" s="46">
        <v>0.14399999999999999</v>
      </c>
      <c r="K17" s="46" t="str">
        <f>_xlfn.UNICHAR(8595)</f>
        <v>↓</v>
      </c>
      <c r="L17" s="50">
        <f t="shared" si="2"/>
        <v>0.83700086399999996</v>
      </c>
      <c r="M17" s="44"/>
      <c r="N17" s="50">
        <f t="shared" si="3"/>
        <v>0.83700086399999996</v>
      </c>
      <c r="O17" s="46">
        <v>70</v>
      </c>
      <c r="P17" s="46">
        <v>70</v>
      </c>
      <c r="Q17" s="49">
        <f t="shared" si="4"/>
        <v>0</v>
      </c>
      <c r="R17" s="46"/>
      <c r="S17" s="46"/>
      <c r="T17" s="51">
        <f t="shared" si="5"/>
        <v>0</v>
      </c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1357.06741771734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(0.6*0.5))*2</f>
        <v>6.4583399999999997</v>
      </c>
      <c r="G20" s="44"/>
      <c r="H20" s="44"/>
      <c r="I20" s="44"/>
      <c r="J20" s="44"/>
      <c r="K20" s="44"/>
      <c r="L20" s="46">
        <f>F20*160</f>
        <v>1033.3344</v>
      </c>
      <c r="M20" s="44"/>
      <c r="N20" s="50">
        <f>L20+M20</f>
        <v>1033.3344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(18.22)</f>
        <v>196.11825799999997</v>
      </c>
      <c r="G21" s="44"/>
      <c r="H21" s="44"/>
      <c r="I21" s="44"/>
      <c r="J21" s="44"/>
      <c r="K21" s="44"/>
      <c r="L21" s="44">
        <f>4*F21</f>
        <v>784.47303199999988</v>
      </c>
      <c r="M21" s="44"/>
      <c r="N21" s="50">
        <f>L21+M21</f>
        <v>784.47303199999988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3974.8748497173401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3974.8748497173401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196.11825799999997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1737.2680890571439</v>
      </c>
      <c r="G37" s="44" t="s">
        <v>124</v>
      </c>
    </row>
    <row r="38" spans="1:20" x14ac:dyDescent="0.3">
      <c r="E38" s="44" t="s">
        <v>125</v>
      </c>
      <c r="F38" s="56">
        <f>F37/30</f>
        <v>57.908936301904795</v>
      </c>
      <c r="G38" s="44" t="s">
        <v>126</v>
      </c>
    </row>
    <row r="39" spans="1:20" x14ac:dyDescent="0.3">
      <c r="E39" s="44" t="s">
        <v>127</v>
      </c>
      <c r="F39" s="50">
        <f>SUM($L$5:$L$28)</f>
        <v>3489.8748497173401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3974.8748497173401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129.25462406360518</v>
      </c>
      <c r="G43" s="44" t="s">
        <v>126</v>
      </c>
    </row>
    <row r="44" spans="1:20" x14ac:dyDescent="0.3">
      <c r="E44" s="44" t="s">
        <v>126</v>
      </c>
      <c r="F44" s="57">
        <f>ROUNDUP(F43,0)</f>
        <v>130</v>
      </c>
      <c r="G44" s="44" t="s">
        <v>126</v>
      </c>
    </row>
    <row r="45" spans="1:20" x14ac:dyDescent="0.3">
      <c r="E45" s="44" t="s">
        <v>133</v>
      </c>
      <c r="F45" s="50">
        <f>F44*0.0002930711</f>
        <v>3.8099242999999998E-2</v>
      </c>
      <c r="G45" s="44" t="s">
        <v>134</v>
      </c>
    </row>
    <row r="46" spans="1:20" x14ac:dyDescent="0.3">
      <c r="E46" s="44" t="s">
        <v>135</v>
      </c>
      <c r="F46" s="50">
        <f>F39/F41</f>
        <v>0.87798357977623143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F0"/>
  </sheetPr>
  <dimension ref="A1:T254"/>
  <sheetViews>
    <sheetView zoomScale="95" zoomScaleNormal="95" workbookViewId="0">
      <selection activeCell="F9" sqref="F9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380</v>
      </c>
      <c r="B2" s="11"/>
      <c r="C2" s="11">
        <v>1001</v>
      </c>
      <c r="D2" s="11"/>
      <c r="E2" s="43" t="s">
        <v>427</v>
      </c>
      <c r="F2" s="43" t="s">
        <v>358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108</v>
      </c>
      <c r="B5" s="46">
        <v>3</v>
      </c>
      <c r="C5" s="47" t="s">
        <v>205</v>
      </c>
      <c r="D5" s="46" t="s">
        <v>99</v>
      </c>
      <c r="E5" s="44" t="s">
        <v>439</v>
      </c>
      <c r="F5" s="54">
        <f>10.7639 *(2.2*2.7)</f>
        <v>63.937566000000011</v>
      </c>
      <c r="G5" s="44">
        <v>78</v>
      </c>
      <c r="H5" s="46">
        <v>95</v>
      </c>
      <c r="I5" s="49">
        <f>H5-G5</f>
        <v>17</v>
      </c>
      <c r="J5" s="46">
        <v>7.2999999999999995E-2</v>
      </c>
      <c r="K5" s="46" t="str">
        <f>_xlfn.UNICHAR(8596)</f>
        <v>↔</v>
      </c>
      <c r="L5" s="50">
        <f>F5*I5*J5</f>
        <v>79.346519405999999</v>
      </c>
      <c r="M5" s="49"/>
      <c r="N5" s="50">
        <f>L5+M5</f>
        <v>79.346519405999999</v>
      </c>
      <c r="O5" s="46">
        <v>70</v>
      </c>
      <c r="P5" s="46">
        <v>70</v>
      </c>
      <c r="Q5" s="49">
        <f>O5-P5</f>
        <v>0</v>
      </c>
      <c r="R5" s="46"/>
      <c r="S5" s="46"/>
      <c r="T5" s="51">
        <f>F5*Q5*R5</f>
        <v>0</v>
      </c>
    </row>
    <row r="6" spans="1:20" x14ac:dyDescent="0.3">
      <c r="A6" s="53" t="s">
        <v>381</v>
      </c>
      <c r="B6" s="46">
        <v>6</v>
      </c>
      <c r="C6" s="67" t="s">
        <v>104</v>
      </c>
      <c r="D6" s="46" t="s">
        <v>99</v>
      </c>
      <c r="E6" s="44" t="s">
        <v>352</v>
      </c>
      <c r="F6" s="54">
        <f>10.7639 *(2.1*2.7)</f>
        <v>61.031313000000004</v>
      </c>
      <c r="G6" s="44">
        <v>78</v>
      </c>
      <c r="H6" s="46">
        <v>85</v>
      </c>
      <c r="I6" s="49">
        <f>H6-G6</f>
        <v>7</v>
      </c>
      <c r="J6" s="46">
        <v>0.313</v>
      </c>
      <c r="K6" s="46" t="str">
        <f>_xlfn.UNICHAR(8596)</f>
        <v>↔</v>
      </c>
      <c r="L6" s="50">
        <f>F6*I6*J6</f>
        <v>133.71960678300002</v>
      </c>
      <c r="M6" s="49"/>
      <c r="N6" s="50">
        <f>L6+M6</f>
        <v>133.71960678300002</v>
      </c>
      <c r="O6" s="46">
        <v>70</v>
      </c>
      <c r="P6" s="46">
        <v>70</v>
      </c>
      <c r="Q6" s="49">
        <f>O6-P6</f>
        <v>0</v>
      </c>
      <c r="R6" s="46"/>
      <c r="S6" s="46"/>
      <c r="T6" s="50">
        <f>F6*Q6*R6</f>
        <v>0</v>
      </c>
    </row>
    <row r="7" spans="1:20" x14ac:dyDescent="0.3">
      <c r="A7" s="53" t="s">
        <v>430</v>
      </c>
      <c r="B7" s="46">
        <v>6</v>
      </c>
      <c r="C7" s="67" t="s">
        <v>104</v>
      </c>
      <c r="D7" s="46" t="s">
        <v>99</v>
      </c>
      <c r="E7" s="44" t="s">
        <v>361</v>
      </c>
      <c r="F7" s="54">
        <f>10.7639 *(0.1*2.7)</f>
        <v>2.906253</v>
      </c>
      <c r="G7" s="44">
        <v>78</v>
      </c>
      <c r="H7" s="46">
        <v>120</v>
      </c>
      <c r="I7" s="49">
        <f>H7-G7</f>
        <v>42</v>
      </c>
      <c r="J7" s="46">
        <v>0.313</v>
      </c>
      <c r="K7" s="46" t="str">
        <f>_xlfn.UNICHAR(8596)</f>
        <v>↔</v>
      </c>
      <c r="L7" s="50">
        <f>F7*I7*J7</f>
        <v>38.205601938000001</v>
      </c>
      <c r="M7" s="49"/>
      <c r="N7" s="50">
        <f>L7+M7</f>
        <v>38.205601938000001</v>
      </c>
      <c r="O7" s="46">
        <v>70</v>
      </c>
      <c r="P7" s="46">
        <v>70</v>
      </c>
      <c r="Q7" s="49">
        <f>O7-P7</f>
        <v>0</v>
      </c>
      <c r="R7" s="46"/>
      <c r="S7" s="46"/>
      <c r="T7" s="51">
        <f>F7*Q7*R7</f>
        <v>0</v>
      </c>
    </row>
    <row r="8" spans="1:20" x14ac:dyDescent="0.3">
      <c r="A8" s="53" t="s">
        <v>108</v>
      </c>
      <c r="B8" s="46">
        <v>1</v>
      </c>
      <c r="C8" s="67" t="s">
        <v>175</v>
      </c>
      <c r="D8" s="46" t="s">
        <v>90</v>
      </c>
      <c r="E8" s="46"/>
      <c r="F8" s="54">
        <f>10.7639 *(8.36)</f>
        <v>89.986203999999987</v>
      </c>
      <c r="G8" s="44">
        <v>78</v>
      </c>
      <c r="H8" s="46">
        <v>95</v>
      </c>
      <c r="I8" s="49">
        <f>H8-G8</f>
        <v>17</v>
      </c>
      <c r="J8" s="46">
        <v>0.17100000000000001</v>
      </c>
      <c r="K8" s="46" t="str">
        <f>_xlfn.UNICHAR(8593)</f>
        <v>↑</v>
      </c>
      <c r="L8" s="50">
        <f>F8*I8*J8</f>
        <v>261.589895028</v>
      </c>
      <c r="M8" s="49"/>
      <c r="N8" s="50">
        <f>L8+M8</f>
        <v>261.589895028</v>
      </c>
      <c r="O8" s="46">
        <v>70</v>
      </c>
      <c r="P8" s="46">
        <v>70</v>
      </c>
      <c r="Q8" s="49">
        <f>O8-P8</f>
        <v>0</v>
      </c>
      <c r="R8" s="46"/>
      <c r="S8" s="46"/>
      <c r="T8" s="51">
        <f>F8*Q8*R8</f>
        <v>0</v>
      </c>
    </row>
    <row r="9" spans="1:20" x14ac:dyDescent="0.3">
      <c r="A9" s="53"/>
      <c r="B9" s="46"/>
      <c r="C9" s="67"/>
      <c r="D9" s="46"/>
      <c r="E9" s="46"/>
      <c r="F9" s="48"/>
      <c r="G9" s="44"/>
      <c r="H9" s="46"/>
      <c r="I9" s="49"/>
      <c r="J9" s="46"/>
      <c r="K9" s="46"/>
      <c r="L9" s="50"/>
      <c r="M9" s="49"/>
      <c r="N9" s="50"/>
      <c r="O9" s="46"/>
      <c r="P9" s="46"/>
      <c r="Q9" s="49"/>
      <c r="R9" s="46"/>
      <c r="S9" s="46"/>
      <c r="T9" s="51"/>
    </row>
    <row r="10" spans="1:20" x14ac:dyDescent="0.3">
      <c r="A10" s="53"/>
      <c r="B10" s="46"/>
      <c r="C10" s="67"/>
      <c r="D10" s="46"/>
      <c r="E10" s="46"/>
      <c r="F10" s="48"/>
      <c r="G10" s="44"/>
      <c r="H10" s="46"/>
      <c r="I10" s="49"/>
      <c r="J10" s="46"/>
      <c r="K10" s="46"/>
      <c r="L10" s="50"/>
      <c r="M10" s="44"/>
      <c r="N10" s="50"/>
      <c r="O10" s="46"/>
      <c r="P10" s="46"/>
      <c r="Q10" s="49"/>
      <c r="R10" s="46"/>
      <c r="S10" s="46"/>
      <c r="T10" s="51"/>
    </row>
    <row r="11" spans="1:20" x14ac:dyDescent="0.3">
      <c r="A11" s="53"/>
      <c r="B11" s="46"/>
      <c r="C11" s="67"/>
      <c r="D11" s="46"/>
      <c r="E11" s="46"/>
      <c r="F11" s="48"/>
      <c r="G11" s="44"/>
      <c r="H11" s="46"/>
      <c r="I11" s="49"/>
      <c r="J11" s="46"/>
      <c r="K11" s="46"/>
      <c r="L11" s="50"/>
      <c r="M11" s="44"/>
      <c r="N11" s="50"/>
      <c r="O11" s="46"/>
      <c r="P11" s="46"/>
      <c r="Q11" s="49"/>
      <c r="R11" s="46"/>
      <c r="S11" s="46"/>
      <c r="T11" s="51"/>
    </row>
    <row r="12" spans="1:20" x14ac:dyDescent="0.3">
      <c r="A12" s="53"/>
      <c r="B12" s="46"/>
      <c r="C12" s="67"/>
      <c r="D12" s="46"/>
      <c r="E12" s="44"/>
      <c r="F12" s="48"/>
      <c r="G12" s="44"/>
      <c r="H12" s="46"/>
      <c r="I12" s="49"/>
      <c r="J12" s="46"/>
      <c r="K12" s="46"/>
      <c r="L12" s="50"/>
      <c r="M12" s="44"/>
      <c r="N12" s="50"/>
      <c r="O12" s="46"/>
      <c r="P12" s="46"/>
      <c r="Q12" s="49"/>
      <c r="R12" s="46"/>
      <c r="S12" s="46"/>
      <c r="T12" s="51"/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512.86162315499996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(0.6*0.5))*1</f>
        <v>3.2291699999999999</v>
      </c>
      <c r="G20" s="44"/>
      <c r="H20" s="44"/>
      <c r="I20" s="44"/>
      <c r="J20" s="44"/>
      <c r="K20" s="44"/>
      <c r="L20" s="46">
        <f>F20*160</f>
        <v>516.66719999999998</v>
      </c>
      <c r="M20" s="44"/>
      <c r="N20" s="50">
        <f>L20+M20</f>
        <v>516.66719999999998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54">
        <f>10.7639 *(8.36)</f>
        <v>89.986203999999987</v>
      </c>
      <c r="G21" s="44"/>
      <c r="H21" s="44"/>
      <c r="I21" s="44"/>
      <c r="J21" s="44"/>
      <c r="K21" s="44"/>
      <c r="L21" s="44">
        <f>4*F21</f>
        <v>359.94481599999995</v>
      </c>
      <c r="M21" s="44"/>
      <c r="N21" s="48">
        <f>L21+M21</f>
        <v>359.94481599999995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2189.4736391549995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2189.4736391549995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76">
        <f>$F$21</f>
        <v>89.986203999999987</v>
      </c>
      <c r="G35" s="44" t="s">
        <v>120</v>
      </c>
    </row>
    <row r="36" spans="1:20" x14ac:dyDescent="0.3">
      <c r="E36" s="44" t="s">
        <v>121</v>
      </c>
      <c r="F36" s="76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51">
        <f>F35*F36</f>
        <v>797.12191133467195</v>
      </c>
      <c r="G37" s="44" t="s">
        <v>124</v>
      </c>
    </row>
    <row r="38" spans="1:20" x14ac:dyDescent="0.3">
      <c r="E38" s="44" t="s">
        <v>125</v>
      </c>
      <c r="F38" s="57">
        <f>F37/30</f>
        <v>26.570730377822397</v>
      </c>
      <c r="G38" s="44" t="s">
        <v>126</v>
      </c>
    </row>
    <row r="39" spans="1:20" x14ac:dyDescent="0.3">
      <c r="E39" s="44" t="s">
        <v>127</v>
      </c>
      <c r="F39" s="51">
        <f>SUM($L$5:$L$28)</f>
        <v>1704.4736391549998</v>
      </c>
      <c r="G39" s="44" t="s">
        <v>128</v>
      </c>
    </row>
    <row r="40" spans="1:20" x14ac:dyDescent="0.3">
      <c r="E40" s="44" t="s">
        <v>129</v>
      </c>
      <c r="F40" s="51">
        <f>SUM($M$5:$M$28)</f>
        <v>485</v>
      </c>
      <c r="G40" s="44" t="s">
        <v>128</v>
      </c>
    </row>
    <row r="41" spans="1:20" x14ac:dyDescent="0.3">
      <c r="E41" s="44" t="s">
        <v>130</v>
      </c>
      <c r="F41" s="51">
        <f>$N$29</f>
        <v>2189.4736391549995</v>
      </c>
      <c r="G41" s="44" t="s">
        <v>128</v>
      </c>
    </row>
    <row r="42" spans="1:20" x14ac:dyDescent="0.3">
      <c r="E42" s="44" t="s">
        <v>131</v>
      </c>
      <c r="F42" s="51">
        <f>$T$29</f>
        <v>0</v>
      </c>
      <c r="G42" s="44" t="s">
        <v>128</v>
      </c>
    </row>
    <row r="43" spans="1:20" x14ac:dyDescent="0.3">
      <c r="E43" s="44" t="s">
        <v>132</v>
      </c>
      <c r="F43" s="57">
        <f>F39/(1.08*F33)</f>
        <v>63.12865330203703</v>
      </c>
      <c r="G43" s="44" t="s">
        <v>126</v>
      </c>
    </row>
    <row r="44" spans="1:20" x14ac:dyDescent="0.3">
      <c r="E44" s="44" t="s">
        <v>126</v>
      </c>
      <c r="F44" s="57">
        <f>ROUNDUP(F43,0)</f>
        <v>64</v>
      </c>
      <c r="G44" s="44" t="s">
        <v>126</v>
      </c>
    </row>
    <row r="45" spans="1:20" x14ac:dyDescent="0.3">
      <c r="E45" s="44" t="s">
        <v>133</v>
      </c>
      <c r="F45" s="50">
        <f>F44*0.0002930711</f>
        <v>1.8756550399999999E-2</v>
      </c>
      <c r="G45" s="44" t="s">
        <v>134</v>
      </c>
    </row>
    <row r="46" spans="1:20" x14ac:dyDescent="0.3">
      <c r="E46" s="44" t="s">
        <v>135</v>
      </c>
      <c r="F46" s="50">
        <f>F39/F41</f>
        <v>0.77848557236469873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F0"/>
  </sheetPr>
  <dimension ref="A1:T254"/>
  <sheetViews>
    <sheetView zoomScale="95" zoomScaleNormal="95" workbookViewId="0">
      <selection activeCell="C34" sqref="C34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440</v>
      </c>
      <c r="B2" s="11"/>
      <c r="C2" s="11">
        <v>1001</v>
      </c>
      <c r="D2" s="11"/>
      <c r="E2" s="43" t="s">
        <v>427</v>
      </c>
      <c r="F2" s="43" t="s">
        <v>358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190</v>
      </c>
      <c r="B5" s="46">
        <v>6</v>
      </c>
      <c r="C5" s="67" t="s">
        <v>104</v>
      </c>
      <c r="D5" s="46" t="s">
        <v>99</v>
      </c>
      <c r="E5" s="44" t="s">
        <v>409</v>
      </c>
      <c r="F5" s="54">
        <f>10.7639 *(1.2*2.7)</f>
        <v>34.875036000000001</v>
      </c>
      <c r="G5" s="44">
        <v>78</v>
      </c>
      <c r="H5" s="46">
        <v>78</v>
      </c>
      <c r="I5" s="49">
        <f t="shared" ref="I5:I11" si="0">H5-G5</f>
        <v>0</v>
      </c>
      <c r="J5" s="46">
        <v>0.42499999999999999</v>
      </c>
      <c r="K5" s="46" t="str">
        <f>_xlfn.UNICHAR(8596)</f>
        <v>↔</v>
      </c>
      <c r="L5" s="50">
        <f t="shared" ref="L5:L11" si="1">F5*I5*J5</f>
        <v>0</v>
      </c>
      <c r="M5" s="49"/>
      <c r="N5" s="50">
        <f t="shared" ref="N5:N11" si="2">L5+M5</f>
        <v>0</v>
      </c>
      <c r="O5" s="46">
        <v>70</v>
      </c>
      <c r="P5" s="46">
        <v>70</v>
      </c>
      <c r="Q5" s="49">
        <f t="shared" ref="Q5:Q11" si="3">O5-P5</f>
        <v>0</v>
      </c>
      <c r="R5" s="46"/>
      <c r="S5" s="46"/>
      <c r="T5" s="51">
        <f t="shared" ref="T5:T11" si="4">F5*Q5*R5</f>
        <v>0</v>
      </c>
    </row>
    <row r="6" spans="1:20" x14ac:dyDescent="0.3">
      <c r="A6" s="53" t="s">
        <v>385</v>
      </c>
      <c r="B6" s="46">
        <v>6</v>
      </c>
      <c r="C6" s="67" t="s">
        <v>104</v>
      </c>
      <c r="D6" s="46" t="s">
        <v>99</v>
      </c>
      <c r="E6" s="44" t="s">
        <v>399</v>
      </c>
      <c r="F6" s="54">
        <f>10.7639 *(2.4*2.7)</f>
        <v>69.750072000000003</v>
      </c>
      <c r="G6" s="44">
        <v>78</v>
      </c>
      <c r="H6" s="46">
        <v>78</v>
      </c>
      <c r="I6" s="49">
        <f t="shared" si="0"/>
        <v>0</v>
      </c>
      <c r="J6" s="46">
        <v>0.158</v>
      </c>
      <c r="K6" s="46" t="str">
        <f>_xlfn.UNICHAR(8596)</f>
        <v>↔</v>
      </c>
      <c r="L6" s="50">
        <f t="shared" si="1"/>
        <v>0</v>
      </c>
      <c r="M6" s="49"/>
      <c r="N6" s="50">
        <f t="shared" si="2"/>
        <v>0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434</v>
      </c>
      <c r="B7" s="46">
        <v>6</v>
      </c>
      <c r="C7" s="67" t="s">
        <v>104</v>
      </c>
      <c r="D7" s="46" t="s">
        <v>99</v>
      </c>
      <c r="E7" s="44" t="s">
        <v>361</v>
      </c>
      <c r="F7" s="54">
        <f>10.7639 *(0.1*2.7)</f>
        <v>2.906253</v>
      </c>
      <c r="G7" s="44">
        <v>78</v>
      </c>
      <c r="H7" s="46">
        <v>110</v>
      </c>
      <c r="I7" s="49">
        <f t="shared" si="0"/>
        <v>32</v>
      </c>
      <c r="J7" s="46">
        <v>0.158</v>
      </c>
      <c r="K7" s="46" t="str">
        <f>_xlfn.UNICHAR(8596)</f>
        <v>↔</v>
      </c>
      <c r="L7" s="50">
        <f t="shared" si="1"/>
        <v>14.694015168</v>
      </c>
      <c r="M7" s="49"/>
      <c r="N7" s="50">
        <f t="shared" si="2"/>
        <v>14.694015168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108</v>
      </c>
      <c r="B8" s="46">
        <v>3</v>
      </c>
      <c r="C8" s="47" t="s">
        <v>205</v>
      </c>
      <c r="D8" s="46" t="s">
        <v>99</v>
      </c>
      <c r="E8" s="44" t="s">
        <v>441</v>
      </c>
      <c r="F8" s="54">
        <f>10.7639 *((3.8+4.25)*2.7)</f>
        <v>233.95336650000002</v>
      </c>
      <c r="G8" s="44">
        <v>78</v>
      </c>
      <c r="H8" s="46">
        <v>78</v>
      </c>
      <c r="I8" s="49">
        <f t="shared" si="0"/>
        <v>0</v>
      </c>
      <c r="J8" s="46">
        <v>0.17100000000000001</v>
      </c>
      <c r="K8" s="46" t="str">
        <f>_xlfn.UNICHAR(8593)</f>
        <v>↑</v>
      </c>
      <c r="L8" s="50">
        <f t="shared" si="1"/>
        <v>0</v>
      </c>
      <c r="M8" s="49"/>
      <c r="N8" s="50">
        <f t="shared" si="2"/>
        <v>0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108</v>
      </c>
      <c r="B9" s="46">
        <v>1</v>
      </c>
      <c r="C9" s="67" t="s">
        <v>175</v>
      </c>
      <c r="D9" s="46" t="s">
        <v>90</v>
      </c>
      <c r="E9" s="46"/>
      <c r="F9" s="48">
        <f>10.7639 * (6.4291)</f>
        <v>69.202189489999995</v>
      </c>
      <c r="G9" s="44">
        <v>78</v>
      </c>
      <c r="H9" s="46">
        <v>78</v>
      </c>
      <c r="I9" s="49">
        <f t="shared" si="0"/>
        <v>0</v>
      </c>
      <c r="J9" s="46">
        <v>0.17100000000000001</v>
      </c>
      <c r="K9" s="46" t="str">
        <f>_xlfn.UNICHAR(8593)</f>
        <v>↑</v>
      </c>
      <c r="L9" s="50">
        <f t="shared" si="1"/>
        <v>0</v>
      </c>
      <c r="M9" s="49"/>
      <c r="N9" s="50">
        <f t="shared" si="2"/>
        <v>0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320</v>
      </c>
      <c r="B10" s="46">
        <v>2</v>
      </c>
      <c r="C10" s="67" t="s">
        <v>175</v>
      </c>
      <c r="D10" s="46" t="s">
        <v>106</v>
      </c>
      <c r="E10" s="46"/>
      <c r="F10" s="54">
        <f>10.7639 *(0.45*2.1)</f>
        <v>10.1718855</v>
      </c>
      <c r="G10" s="44">
        <v>78</v>
      </c>
      <c r="H10" s="46">
        <v>110</v>
      </c>
      <c r="I10" s="49">
        <f t="shared" si="0"/>
        <v>32</v>
      </c>
      <c r="J10" s="46">
        <v>0.17100000000000001</v>
      </c>
      <c r="K10" s="46" t="str">
        <f>_xlfn.UNICHAR(8593)</f>
        <v>↑</v>
      </c>
      <c r="L10" s="50">
        <f t="shared" si="1"/>
        <v>55.660557456000006</v>
      </c>
      <c r="M10" s="44"/>
      <c r="N10" s="50">
        <f t="shared" si="2"/>
        <v>55.660557456000006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190</v>
      </c>
      <c r="B11" s="46">
        <v>2</v>
      </c>
      <c r="C11" s="67" t="s">
        <v>175</v>
      </c>
      <c r="D11" s="46" t="s">
        <v>106</v>
      </c>
      <c r="E11" s="46"/>
      <c r="F11" s="54">
        <f>10.7639 *(1.3*0.3)</f>
        <v>4.197921</v>
      </c>
      <c r="G11" s="44">
        <v>78</v>
      </c>
      <c r="H11" s="46">
        <v>78</v>
      </c>
      <c r="I11" s="49">
        <f t="shared" si="0"/>
        <v>0</v>
      </c>
      <c r="J11" s="46">
        <v>0.14399999999999999</v>
      </c>
      <c r="K11" s="46" t="str">
        <f>_xlfn.UNICHAR(8595)</f>
        <v>↓</v>
      </c>
      <c r="L11" s="50">
        <f t="shared" si="1"/>
        <v>0</v>
      </c>
      <c r="M11" s="44"/>
      <c r="N11" s="50">
        <f t="shared" si="2"/>
        <v>0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/>
      <c r="B12" s="46"/>
      <c r="C12" s="67"/>
      <c r="D12" s="46"/>
      <c r="E12" s="44"/>
      <c r="F12" s="48"/>
      <c r="G12" s="44"/>
      <c r="H12" s="46"/>
      <c r="I12" s="49"/>
      <c r="J12" s="46"/>
      <c r="K12" s="46"/>
      <c r="L12" s="50"/>
      <c r="M12" s="44"/>
      <c r="N12" s="50"/>
      <c r="O12" s="46"/>
      <c r="P12" s="46"/>
      <c r="Q12" s="49"/>
      <c r="R12" s="46"/>
      <c r="S12" s="46"/>
      <c r="T12" s="51"/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70.354572624000014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(0.6*0.5))*3</f>
        <v>9.6875099999999996</v>
      </c>
      <c r="G20" s="44"/>
      <c r="H20" s="44"/>
      <c r="I20" s="44"/>
      <c r="J20" s="44"/>
      <c r="K20" s="44"/>
      <c r="L20" s="46">
        <f>F20*160</f>
        <v>1550.0016000000001</v>
      </c>
      <c r="M20" s="44"/>
      <c r="N20" s="50">
        <f>L20+M20</f>
        <v>1550.0016000000001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(19.22)</f>
        <v>206.88215799999998</v>
      </c>
      <c r="G21" s="44"/>
      <c r="H21" s="44"/>
      <c r="I21" s="44"/>
      <c r="J21" s="44"/>
      <c r="K21" s="44"/>
      <c r="L21" s="44">
        <f>6*F21</f>
        <v>1241.2929479999998</v>
      </c>
      <c r="M21" s="44"/>
      <c r="N21" s="48">
        <f>L21+M21</f>
        <v>1241.2929479999998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3661.6491206239998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3661.6491206239998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206.88215799999998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1832.617599982344</v>
      </c>
      <c r="G37" s="44" t="s">
        <v>124</v>
      </c>
    </row>
    <row r="38" spans="1:20" x14ac:dyDescent="0.3">
      <c r="E38" s="44" t="s">
        <v>125</v>
      </c>
      <c r="F38" s="56">
        <f>F37/30</f>
        <v>61.087253332744801</v>
      </c>
      <c r="G38" s="44" t="s">
        <v>126</v>
      </c>
    </row>
    <row r="39" spans="1:20" x14ac:dyDescent="0.3">
      <c r="E39" s="44" t="s">
        <v>127</v>
      </c>
      <c r="F39" s="50">
        <f>SUM($L$5:$L$28)</f>
        <v>3176.6491206239998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3661.6491206239998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117.65367113422222</v>
      </c>
      <c r="G43" s="44" t="s">
        <v>126</v>
      </c>
    </row>
    <row r="44" spans="1:20" x14ac:dyDescent="0.3">
      <c r="E44" s="44" t="s">
        <v>126</v>
      </c>
      <c r="F44" s="57">
        <f>ROUNDUP(F43,0)</f>
        <v>118</v>
      </c>
      <c r="G44" s="44" t="s">
        <v>126</v>
      </c>
    </row>
    <row r="45" spans="1:20" x14ac:dyDescent="0.3">
      <c r="E45" s="44" t="s">
        <v>133</v>
      </c>
      <c r="F45" s="50">
        <f>F44*0.0002930711</f>
        <v>3.4582389799999995E-2</v>
      </c>
      <c r="G45" s="44" t="s">
        <v>134</v>
      </c>
    </row>
    <row r="46" spans="1:20" x14ac:dyDescent="0.3">
      <c r="E46" s="44" t="s">
        <v>135</v>
      </c>
      <c r="F46" s="50">
        <f>F39/F41</f>
        <v>0.86754601983344903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</sheetPr>
  <dimension ref="A1:T254"/>
  <sheetViews>
    <sheetView zoomScale="95" zoomScaleNormal="95" workbookViewId="0">
      <selection activeCell="E14" sqref="E14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442</v>
      </c>
      <c r="B2" s="11"/>
      <c r="C2" s="11">
        <v>1001</v>
      </c>
      <c r="D2" s="11"/>
      <c r="E2" s="43" t="s">
        <v>427</v>
      </c>
      <c r="F2" s="43" t="s">
        <v>443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108</v>
      </c>
      <c r="B5" s="46">
        <v>6</v>
      </c>
      <c r="C5" s="47" t="s">
        <v>205</v>
      </c>
      <c r="D5" s="46" t="s">
        <v>99</v>
      </c>
      <c r="E5" s="44" t="s">
        <v>439</v>
      </c>
      <c r="F5" s="54">
        <f>10.7639 *(2.2*2.7)</f>
        <v>63.937566000000011</v>
      </c>
      <c r="G5" s="44">
        <v>78</v>
      </c>
      <c r="H5" s="46">
        <v>95</v>
      </c>
      <c r="I5" s="49">
        <f>H5-G5</f>
        <v>17</v>
      </c>
      <c r="J5" s="46">
        <v>7.2999999999999995E-2</v>
      </c>
      <c r="K5" s="46" t="str">
        <f>_xlfn.UNICHAR(8596)</f>
        <v>↔</v>
      </c>
      <c r="L5" s="50">
        <f>F5*I5*J5</f>
        <v>79.346519405999999</v>
      </c>
      <c r="M5" s="49"/>
      <c r="N5" s="50">
        <f>L5+M5</f>
        <v>79.346519405999999</v>
      </c>
      <c r="O5" s="46">
        <v>70</v>
      </c>
      <c r="P5" s="46">
        <v>70</v>
      </c>
      <c r="Q5" s="49">
        <f>O5-P5</f>
        <v>0</v>
      </c>
      <c r="R5" s="46"/>
      <c r="S5" s="46"/>
      <c r="T5" s="51">
        <f>F5*Q5*R5</f>
        <v>0</v>
      </c>
    </row>
    <row r="6" spans="1:20" x14ac:dyDescent="0.3">
      <c r="A6" s="53" t="s">
        <v>385</v>
      </c>
      <c r="B6" s="46">
        <v>6</v>
      </c>
      <c r="C6" s="67" t="s">
        <v>104</v>
      </c>
      <c r="D6" s="46" t="s">
        <v>99</v>
      </c>
      <c r="E6" s="44" t="s">
        <v>359</v>
      </c>
      <c r="F6" s="54">
        <f>10.7639 *(1.1*2.7)</f>
        <v>31.968783000000006</v>
      </c>
      <c r="G6" s="44">
        <v>78</v>
      </c>
      <c r="H6" s="46">
        <v>85</v>
      </c>
      <c r="I6" s="49">
        <f>H6-G6</f>
        <v>7</v>
      </c>
      <c r="J6" s="46">
        <v>0.313</v>
      </c>
      <c r="K6" s="46" t="str">
        <f>_xlfn.UNICHAR(8596)</f>
        <v>↔</v>
      </c>
      <c r="L6" s="50">
        <f>F6*I6*J6</f>
        <v>70.043603553000011</v>
      </c>
      <c r="M6" s="49"/>
      <c r="N6" s="50">
        <f>L6+M6</f>
        <v>70.043603553000011</v>
      </c>
      <c r="O6" s="46">
        <v>70</v>
      </c>
      <c r="P6" s="46">
        <v>70</v>
      </c>
      <c r="Q6" s="49">
        <f>O6-P6</f>
        <v>0</v>
      </c>
      <c r="R6" s="46"/>
      <c r="S6" s="46"/>
      <c r="T6" s="50">
        <f>F6*Q6*R6</f>
        <v>0</v>
      </c>
    </row>
    <row r="7" spans="1:20" x14ac:dyDescent="0.3">
      <c r="A7" s="53" t="s">
        <v>108</v>
      </c>
      <c r="B7" s="46">
        <v>1</v>
      </c>
      <c r="C7" s="67" t="s">
        <v>175</v>
      </c>
      <c r="D7" s="46" t="s">
        <v>90</v>
      </c>
      <c r="E7" s="44"/>
      <c r="F7" s="54">
        <f>10.7639 *(0.0569)</f>
        <v>0.61246590999999995</v>
      </c>
      <c r="G7" s="44">
        <v>78</v>
      </c>
      <c r="H7" s="46">
        <v>95</v>
      </c>
      <c r="I7" s="49">
        <f>H7-G7</f>
        <v>17</v>
      </c>
      <c r="J7" s="46">
        <v>0.17100000000000001</v>
      </c>
      <c r="K7" s="46" t="str">
        <f>_xlfn.UNICHAR(8593)</f>
        <v>↑</v>
      </c>
      <c r="L7" s="50">
        <f>F7*I7*J7</f>
        <v>1.7804384003699998</v>
      </c>
      <c r="M7" s="49"/>
      <c r="N7" s="50">
        <f>L7+M7</f>
        <v>1.7804384003699998</v>
      </c>
      <c r="O7" s="46">
        <v>70</v>
      </c>
      <c r="P7" s="46">
        <v>70</v>
      </c>
      <c r="Q7" s="49">
        <f>O7-P7</f>
        <v>0</v>
      </c>
      <c r="R7" s="46"/>
      <c r="S7" s="46"/>
      <c r="T7" s="51">
        <f>F7*Q7*R7</f>
        <v>0</v>
      </c>
    </row>
    <row r="8" spans="1:20" x14ac:dyDescent="0.3">
      <c r="A8" s="53"/>
      <c r="B8" s="46"/>
      <c r="C8" s="67"/>
      <c r="D8" s="46"/>
      <c r="E8" s="46"/>
      <c r="F8" s="48"/>
      <c r="G8" s="44"/>
      <c r="H8" s="46"/>
      <c r="I8" s="49"/>
      <c r="J8" s="46"/>
      <c r="K8" s="46"/>
      <c r="L8" s="50"/>
      <c r="M8" s="49"/>
      <c r="N8" s="50"/>
      <c r="O8" s="46"/>
      <c r="P8" s="46"/>
      <c r="Q8" s="49"/>
      <c r="R8" s="46"/>
      <c r="S8" s="46"/>
      <c r="T8" s="51"/>
    </row>
    <row r="9" spans="1:20" x14ac:dyDescent="0.3">
      <c r="A9" s="53"/>
      <c r="B9" s="46"/>
      <c r="C9" s="67"/>
      <c r="D9" s="46"/>
      <c r="E9" s="46"/>
      <c r="F9" s="48"/>
      <c r="G9" s="44"/>
      <c r="H9" s="46"/>
      <c r="I9" s="49"/>
      <c r="J9" s="46"/>
      <c r="K9" s="46"/>
      <c r="L9" s="50"/>
      <c r="M9" s="49"/>
      <c r="N9" s="50"/>
      <c r="O9" s="46"/>
      <c r="P9" s="46"/>
      <c r="Q9" s="49"/>
      <c r="R9" s="46"/>
      <c r="S9" s="46"/>
      <c r="T9" s="51"/>
    </row>
    <row r="10" spans="1:20" x14ac:dyDescent="0.3">
      <c r="A10" s="53"/>
      <c r="B10" s="46"/>
      <c r="C10" s="67"/>
      <c r="D10" s="46"/>
      <c r="E10" s="46"/>
      <c r="F10" s="48"/>
      <c r="G10" s="44"/>
      <c r="H10" s="46"/>
      <c r="I10" s="49"/>
      <c r="J10" s="46"/>
      <c r="K10" s="46"/>
      <c r="L10" s="50"/>
      <c r="M10" s="44"/>
      <c r="N10" s="50"/>
      <c r="O10" s="46"/>
      <c r="P10" s="46"/>
      <c r="Q10" s="49"/>
      <c r="R10" s="46"/>
      <c r="S10" s="46"/>
      <c r="T10" s="51"/>
    </row>
    <row r="11" spans="1:20" x14ac:dyDescent="0.3">
      <c r="A11" s="53"/>
      <c r="B11" s="46"/>
      <c r="C11" s="67"/>
      <c r="D11" s="46"/>
      <c r="E11" s="46"/>
      <c r="F11" s="48"/>
      <c r="G11" s="44"/>
      <c r="H11" s="46"/>
      <c r="I11" s="49"/>
      <c r="J11" s="46"/>
      <c r="K11" s="46"/>
      <c r="L11" s="50"/>
      <c r="M11" s="44"/>
      <c r="N11" s="50"/>
      <c r="O11" s="46"/>
      <c r="P11" s="46"/>
      <c r="Q11" s="49"/>
      <c r="R11" s="46"/>
      <c r="S11" s="46"/>
      <c r="T11" s="51"/>
    </row>
    <row r="12" spans="1:20" x14ac:dyDescent="0.3">
      <c r="A12" s="53"/>
      <c r="B12" s="46"/>
      <c r="C12" s="67"/>
      <c r="D12" s="46"/>
      <c r="E12" s="44"/>
      <c r="F12" s="48"/>
      <c r="G12" s="44"/>
      <c r="H12" s="46"/>
      <c r="I12" s="49"/>
      <c r="J12" s="46"/>
      <c r="K12" s="46"/>
      <c r="L12" s="50"/>
      <c r="M12" s="44"/>
      <c r="N12" s="50"/>
      <c r="O12" s="46"/>
      <c r="P12" s="46"/>
      <c r="Q12" s="49"/>
      <c r="R12" s="46"/>
      <c r="S12" s="46"/>
      <c r="T12" s="51"/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151.17056135937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(0.6*0.5))*1</f>
        <v>3.2291699999999999</v>
      </c>
      <c r="G20" s="44"/>
      <c r="H20" s="44"/>
      <c r="I20" s="44"/>
      <c r="J20" s="44"/>
      <c r="K20" s="44"/>
      <c r="L20" s="46">
        <f>F20*160</f>
        <v>516.66719999999998</v>
      </c>
      <c r="M20" s="44"/>
      <c r="N20" s="50">
        <f>L20+M20</f>
        <v>516.66719999999998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(8.0575)</f>
        <v>86.730124249999989</v>
      </c>
      <c r="G21" s="44"/>
      <c r="H21" s="44"/>
      <c r="I21" s="44"/>
      <c r="J21" s="44"/>
      <c r="K21" s="44"/>
      <c r="L21" s="44">
        <f>4*F21</f>
        <v>346.92049699999995</v>
      </c>
      <c r="M21" s="44"/>
      <c r="N21" s="48">
        <f>L21+M21</f>
        <v>346.92049699999995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1814.7582583593698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1814.7582583593698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86.730124249999989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768.27868427979899</v>
      </c>
      <c r="G37" s="44" t="s">
        <v>124</v>
      </c>
    </row>
    <row r="38" spans="1:20" x14ac:dyDescent="0.3">
      <c r="E38" s="44" t="s">
        <v>125</v>
      </c>
      <c r="F38" s="56">
        <f>F37/30</f>
        <v>25.6092894759933</v>
      </c>
      <c r="G38" s="44" t="s">
        <v>126</v>
      </c>
    </row>
    <row r="39" spans="1:20" x14ac:dyDescent="0.3">
      <c r="E39" s="44" t="s">
        <v>127</v>
      </c>
      <c r="F39" s="50">
        <f>SUM($L$5:$L$28)</f>
        <v>1329.7582583593698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1814.7582583593698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49.250305865161849</v>
      </c>
      <c r="G43" s="44" t="s">
        <v>126</v>
      </c>
    </row>
    <row r="44" spans="1:20" x14ac:dyDescent="0.3">
      <c r="E44" s="44" t="s">
        <v>126</v>
      </c>
      <c r="F44" s="57">
        <f>ROUNDUP(F43,0)</f>
        <v>50</v>
      </c>
      <c r="G44" s="44" t="s">
        <v>126</v>
      </c>
    </row>
    <row r="45" spans="1:20" x14ac:dyDescent="0.3">
      <c r="E45" s="44" t="s">
        <v>133</v>
      </c>
      <c r="F45" s="50">
        <f>F44*0.0002930711</f>
        <v>1.4653554999999999E-2</v>
      </c>
      <c r="G45" s="44" t="s">
        <v>134</v>
      </c>
    </row>
    <row r="46" spans="1:20" x14ac:dyDescent="0.3">
      <c r="E46" s="44" t="s">
        <v>135</v>
      </c>
      <c r="F46" s="50">
        <f>F39/F41</f>
        <v>0.7327467734250932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F0"/>
  </sheetPr>
  <dimension ref="A1:T254"/>
  <sheetViews>
    <sheetView topLeftCell="A33" zoomScale="95" zoomScaleNormal="95" workbookViewId="0">
      <selection activeCell="A33" sqref="A33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444</v>
      </c>
      <c r="B2" s="11"/>
      <c r="C2" s="11">
        <v>1001</v>
      </c>
      <c r="D2" s="11"/>
      <c r="E2" s="43" t="s">
        <v>427</v>
      </c>
      <c r="F2" s="43" t="s">
        <v>410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108</v>
      </c>
      <c r="B5" s="46">
        <v>3</v>
      </c>
      <c r="C5" s="47" t="s">
        <v>205</v>
      </c>
      <c r="D5" s="68" t="s">
        <v>99</v>
      </c>
      <c r="E5" s="46" t="s">
        <v>445</v>
      </c>
      <c r="F5" s="48">
        <f>10.7639 *(7.3*2.7)</f>
        <v>212.15646899999999</v>
      </c>
      <c r="G5" s="44">
        <v>78</v>
      </c>
      <c r="H5" s="46">
        <v>95</v>
      </c>
      <c r="I5" s="49">
        <f t="shared" ref="I5:I11" si="0">H5-G5</f>
        <v>17</v>
      </c>
      <c r="J5" s="46">
        <v>7.2999999999999995E-2</v>
      </c>
      <c r="K5" s="46" t="str">
        <f>_xlfn.UNICHAR(8596)</f>
        <v>↔</v>
      </c>
      <c r="L5" s="50">
        <f t="shared" ref="L5:L11" si="1">F5*I5*J5</f>
        <v>263.28617802899998</v>
      </c>
      <c r="M5" s="49"/>
      <c r="N5" s="50">
        <f t="shared" ref="N5:N11" si="2">L5+M5</f>
        <v>263.28617802899998</v>
      </c>
      <c r="O5" s="46">
        <v>70</v>
      </c>
      <c r="P5" s="46">
        <v>70</v>
      </c>
      <c r="Q5" s="49">
        <f t="shared" ref="Q5:Q11" si="3">O5-P5</f>
        <v>0</v>
      </c>
      <c r="R5" s="46"/>
      <c r="S5" s="46"/>
      <c r="T5" s="51">
        <f t="shared" ref="T5:T11" si="4">F5*Q5*R5</f>
        <v>0</v>
      </c>
    </row>
    <row r="6" spans="1:20" x14ac:dyDescent="0.3">
      <c r="A6" s="53" t="s">
        <v>190</v>
      </c>
      <c r="B6" s="46">
        <v>6</v>
      </c>
      <c r="C6" s="67" t="s">
        <v>104</v>
      </c>
      <c r="D6" s="46" t="s">
        <v>99</v>
      </c>
      <c r="E6" s="46" t="s">
        <v>446</v>
      </c>
      <c r="F6" s="48">
        <f>10.7639 *((1+1.9+1.1)*2.7)</f>
        <v>116.25012000000001</v>
      </c>
      <c r="G6" s="44">
        <v>78</v>
      </c>
      <c r="H6" s="46">
        <v>80</v>
      </c>
      <c r="I6" s="49">
        <f t="shared" si="0"/>
        <v>2</v>
      </c>
      <c r="J6" s="46">
        <v>0.313</v>
      </c>
      <c r="K6" s="46" t="str">
        <f>_xlfn.UNICHAR(8596)</f>
        <v>↔</v>
      </c>
      <c r="L6" s="50">
        <f t="shared" si="1"/>
        <v>72.772575119999999</v>
      </c>
      <c r="M6" s="49"/>
      <c r="N6" s="50">
        <f t="shared" si="2"/>
        <v>72.772575119999999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108</v>
      </c>
      <c r="B7" s="46">
        <v>3</v>
      </c>
      <c r="C7" s="67" t="s">
        <v>175</v>
      </c>
      <c r="D7" s="46" t="s">
        <v>90</v>
      </c>
      <c r="E7" s="44"/>
      <c r="F7" s="48">
        <f>10.7639 *(5.84)</f>
        <v>62.861175999999993</v>
      </c>
      <c r="G7" s="44">
        <v>78</v>
      </c>
      <c r="H7" s="46">
        <v>95</v>
      </c>
      <c r="I7" s="49">
        <f t="shared" si="0"/>
        <v>17</v>
      </c>
      <c r="J7" s="46">
        <v>0.17100000000000001</v>
      </c>
      <c r="K7" s="46" t="str">
        <f>_xlfn.UNICHAR(8593)</f>
        <v>↑</v>
      </c>
      <c r="L7" s="50">
        <f t="shared" si="1"/>
        <v>182.73743863199999</v>
      </c>
      <c r="M7" s="49"/>
      <c r="N7" s="50">
        <f t="shared" si="2"/>
        <v>182.73743863199999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346</v>
      </c>
      <c r="B8" s="46">
        <v>2</v>
      </c>
      <c r="C8" s="67" t="s">
        <v>175</v>
      </c>
      <c r="D8" s="46" t="s">
        <v>106</v>
      </c>
      <c r="E8" s="46"/>
      <c r="F8" s="48">
        <f>10.7639 *(3.15)</f>
        <v>33.906284999999997</v>
      </c>
      <c r="G8" s="44">
        <v>78</v>
      </c>
      <c r="H8" s="46">
        <v>85</v>
      </c>
      <c r="I8" s="49">
        <f t="shared" si="0"/>
        <v>7</v>
      </c>
      <c r="J8" s="46">
        <v>0.14399999999999999</v>
      </c>
      <c r="K8" s="46" t="str">
        <f>_xlfn.UNICHAR(8595)</f>
        <v>↓</v>
      </c>
      <c r="L8" s="50">
        <f t="shared" si="1"/>
        <v>34.177535279999994</v>
      </c>
      <c r="M8" s="49"/>
      <c r="N8" s="50">
        <f t="shared" si="2"/>
        <v>34.177535279999994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344</v>
      </c>
      <c r="B9" s="46">
        <v>2</v>
      </c>
      <c r="C9" s="67" t="s">
        <v>175</v>
      </c>
      <c r="D9" s="46" t="s">
        <v>106</v>
      </c>
      <c r="E9" s="46"/>
      <c r="F9" s="48">
        <f>10.7639 *(1.785)</f>
        <v>19.213561499999997</v>
      </c>
      <c r="G9" s="44">
        <v>78</v>
      </c>
      <c r="H9" s="46">
        <v>80</v>
      </c>
      <c r="I9" s="49">
        <f t="shared" si="0"/>
        <v>2</v>
      </c>
      <c r="J9" s="46">
        <v>0.14399999999999999</v>
      </c>
      <c r="K9" s="46" t="str">
        <f>_xlfn.UNICHAR(8595)</f>
        <v>↓</v>
      </c>
      <c r="L9" s="50">
        <f t="shared" si="1"/>
        <v>5.5335057119999984</v>
      </c>
      <c r="M9" s="49"/>
      <c r="N9" s="50">
        <f t="shared" si="2"/>
        <v>5.5335057119999984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190</v>
      </c>
      <c r="B10" s="46">
        <v>2</v>
      </c>
      <c r="C10" s="67" t="s">
        <v>175</v>
      </c>
      <c r="D10" s="46" t="s">
        <v>106</v>
      </c>
      <c r="E10" s="46"/>
      <c r="F10" s="48">
        <f>10.7639 *(0.57)</f>
        <v>6.1354229999999994</v>
      </c>
      <c r="G10" s="44">
        <v>78</v>
      </c>
      <c r="H10" s="46">
        <v>80</v>
      </c>
      <c r="I10" s="49">
        <f t="shared" si="0"/>
        <v>2</v>
      </c>
      <c r="J10" s="46">
        <v>0.14399999999999999</v>
      </c>
      <c r="K10" s="46" t="str">
        <f>_xlfn.UNICHAR(8595)</f>
        <v>↓</v>
      </c>
      <c r="L10" s="50">
        <f t="shared" si="1"/>
        <v>1.7670018239999996</v>
      </c>
      <c r="M10" s="44"/>
      <c r="N10" s="50">
        <f t="shared" si="2"/>
        <v>1.7670018239999996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320</v>
      </c>
      <c r="B11" s="46">
        <v>2</v>
      </c>
      <c r="C11" s="67" t="s">
        <v>175</v>
      </c>
      <c r="D11" s="46" t="s">
        <v>106</v>
      </c>
      <c r="E11" s="46"/>
      <c r="F11" s="48">
        <f>10.7639 *(2.205)</f>
        <v>23.734399499999999</v>
      </c>
      <c r="G11" s="44">
        <v>78</v>
      </c>
      <c r="H11" s="46">
        <v>85</v>
      </c>
      <c r="I11" s="49">
        <f t="shared" si="0"/>
        <v>7</v>
      </c>
      <c r="J11" s="46">
        <v>0.14399999999999999</v>
      </c>
      <c r="K11" s="46" t="str">
        <f>_xlfn.UNICHAR(8595)</f>
        <v>↓</v>
      </c>
      <c r="L11" s="50">
        <f t="shared" si="1"/>
        <v>23.924274695999998</v>
      </c>
      <c r="M11" s="44"/>
      <c r="N11" s="50">
        <f t="shared" si="2"/>
        <v>23.924274695999998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/>
      <c r="B12" s="46"/>
      <c r="C12" s="67"/>
      <c r="D12" s="46"/>
      <c r="E12" s="44"/>
      <c r="F12" s="48"/>
      <c r="G12" s="44"/>
      <c r="H12" s="46"/>
      <c r="I12" s="49"/>
      <c r="J12" s="46"/>
      <c r="K12" s="46"/>
      <c r="L12" s="50"/>
      <c r="M12" s="44"/>
      <c r="N12" s="50"/>
      <c r="O12" s="46"/>
      <c r="P12" s="46"/>
      <c r="Q12" s="49"/>
      <c r="R12" s="46"/>
      <c r="S12" s="46"/>
      <c r="T12" s="51"/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584.19850929299992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(0.6*0.5))*4</f>
        <v>12.916679999999999</v>
      </c>
      <c r="G20" s="44"/>
      <c r="H20" s="44"/>
      <c r="I20" s="44"/>
      <c r="J20" s="44"/>
      <c r="K20" s="44"/>
      <c r="L20" s="46">
        <f>F20*160</f>
        <v>2066.6687999999999</v>
      </c>
      <c r="M20" s="44"/>
      <c r="N20" s="50">
        <f>L20+M20</f>
        <v>2066.6687999999999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(30.125)</f>
        <v>324.26248749999996</v>
      </c>
      <c r="G21" s="44"/>
      <c r="H21" s="44"/>
      <c r="I21" s="44"/>
      <c r="J21" s="44"/>
      <c r="K21" s="44"/>
      <c r="L21" s="44">
        <f>4*F21</f>
        <v>1297.0499499999999</v>
      </c>
      <c r="M21" s="44"/>
      <c r="N21" s="48">
        <f>L21+M21</f>
        <v>1297.0499499999999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8*315</f>
        <v>2520</v>
      </c>
      <c r="M26" s="46">
        <f>8*485</f>
        <v>3880</v>
      </c>
      <c r="N26" s="51">
        <f>L26+M26</f>
        <v>6400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10347.917259293001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10347.917259293001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324.26248749999996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2872.40401662165</v>
      </c>
      <c r="G37" s="44" t="s">
        <v>124</v>
      </c>
    </row>
    <row r="38" spans="1:20" x14ac:dyDescent="0.3">
      <c r="E38" s="44" t="s">
        <v>125</v>
      </c>
      <c r="F38" s="56">
        <f>F37/30</f>
        <v>95.746800554055</v>
      </c>
      <c r="G38" s="44" t="s">
        <v>126</v>
      </c>
    </row>
    <row r="39" spans="1:20" x14ac:dyDescent="0.3">
      <c r="E39" s="44" t="s">
        <v>127</v>
      </c>
      <c r="F39" s="50">
        <f>SUM($L$5:$L$28)</f>
        <v>6467.9172592929999</v>
      </c>
      <c r="G39" s="44" t="s">
        <v>128</v>
      </c>
    </row>
    <row r="40" spans="1:20" x14ac:dyDescent="0.3">
      <c r="E40" s="44" t="s">
        <v>129</v>
      </c>
      <c r="F40" s="49">
        <f>SUM($M$5:$M$28)</f>
        <v>3880</v>
      </c>
      <c r="G40" s="44" t="s">
        <v>128</v>
      </c>
    </row>
    <row r="41" spans="1:20" x14ac:dyDescent="0.3">
      <c r="E41" s="44" t="s">
        <v>130</v>
      </c>
      <c r="F41" s="50">
        <f>$N$29</f>
        <v>10347.917259293001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239.55249108492592</v>
      </c>
      <c r="G43" s="44" t="s">
        <v>126</v>
      </c>
    </row>
    <row r="44" spans="1:20" x14ac:dyDescent="0.3">
      <c r="E44" s="44" t="s">
        <v>126</v>
      </c>
      <c r="F44" s="57">
        <f>ROUNDUP(F43,0)</f>
        <v>240</v>
      </c>
      <c r="G44" s="44" t="s">
        <v>126</v>
      </c>
    </row>
    <row r="45" spans="1:20" x14ac:dyDescent="0.3">
      <c r="E45" s="44" t="s">
        <v>133</v>
      </c>
      <c r="F45" s="50">
        <f>F44*0.0002930711</f>
        <v>7.0337063999999991E-2</v>
      </c>
      <c r="G45" s="44" t="s">
        <v>134</v>
      </c>
    </row>
    <row r="46" spans="1:20" x14ac:dyDescent="0.3">
      <c r="E46" s="44" t="s">
        <v>135</v>
      </c>
      <c r="F46" s="50">
        <f>F39/F41</f>
        <v>0.62504532044691918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T254"/>
  <sheetViews>
    <sheetView topLeftCell="A25" zoomScale="95" zoomScaleNormal="95" workbookViewId="0">
      <selection activeCell="E39" sqref="E39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447</v>
      </c>
      <c r="B2" s="11"/>
      <c r="C2" s="11">
        <v>1001</v>
      </c>
      <c r="D2" s="11"/>
      <c r="E2" s="43" t="s">
        <v>427</v>
      </c>
      <c r="F2" s="43" t="s">
        <v>448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210</v>
      </c>
      <c r="B5" s="46">
        <v>6</v>
      </c>
      <c r="C5" s="67" t="s">
        <v>175</v>
      </c>
      <c r="D5" s="46" t="s">
        <v>99</v>
      </c>
      <c r="E5" s="46"/>
      <c r="F5" s="54">
        <f>10.7639 *(2.1*2.7)</f>
        <v>61.031313000000004</v>
      </c>
      <c r="G5" s="44">
        <v>78</v>
      </c>
      <c r="H5" s="46">
        <v>80</v>
      </c>
      <c r="I5" s="49">
        <f t="shared" ref="I5:I17" si="0">H5-G5</f>
        <v>2</v>
      </c>
      <c r="J5" s="46">
        <v>0.158</v>
      </c>
      <c r="K5" s="46" t="str">
        <f>_xlfn.UNICHAR(8596)</f>
        <v>↔</v>
      </c>
      <c r="L5" s="50">
        <f t="shared" ref="L5:L17" si="1">F5*I5*J5</f>
        <v>19.285894908000003</v>
      </c>
      <c r="M5" s="49"/>
      <c r="N5" s="50">
        <f t="shared" ref="N5:N17" si="2">L5+M5</f>
        <v>19.285894908000003</v>
      </c>
      <c r="O5" s="46">
        <v>70</v>
      </c>
      <c r="P5" s="46">
        <v>70</v>
      </c>
      <c r="Q5" s="49">
        <f t="shared" ref="Q5:Q17" si="3">O5-P5</f>
        <v>0</v>
      </c>
      <c r="R5" s="46"/>
      <c r="S5" s="46"/>
      <c r="T5" s="51">
        <f t="shared" ref="T5:T17" si="4">F5*Q5*R5</f>
        <v>0</v>
      </c>
    </row>
    <row r="6" spans="1:20" x14ac:dyDescent="0.3">
      <c r="A6" s="53" t="s">
        <v>340</v>
      </c>
      <c r="B6" s="46">
        <v>6</v>
      </c>
      <c r="C6" s="67" t="s">
        <v>175</v>
      </c>
      <c r="D6" s="46" t="s">
        <v>99</v>
      </c>
      <c r="E6" s="44"/>
      <c r="F6" s="54">
        <f>10.7639 *(1*2.7)</f>
        <v>29.062530000000002</v>
      </c>
      <c r="G6" s="44">
        <v>78</v>
      </c>
      <c r="H6" s="46">
        <v>120</v>
      </c>
      <c r="I6" s="49">
        <f t="shared" si="0"/>
        <v>42</v>
      </c>
      <c r="J6" s="46">
        <v>0.158</v>
      </c>
      <c r="K6" s="46" t="str">
        <f>_xlfn.UNICHAR(8596)</f>
        <v>↔</v>
      </c>
      <c r="L6" s="50">
        <f t="shared" si="1"/>
        <v>192.85894908</v>
      </c>
      <c r="M6" s="49"/>
      <c r="N6" s="50">
        <f t="shared" si="2"/>
        <v>192.85894908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190</v>
      </c>
      <c r="B7" s="46">
        <v>6</v>
      </c>
      <c r="C7" s="67" t="s">
        <v>175</v>
      </c>
      <c r="D7" s="46" t="s">
        <v>99</v>
      </c>
      <c r="E7" s="44"/>
      <c r="F7" s="54">
        <f>10.7639 *((4+2.4)*2.7)</f>
        <v>186.000192</v>
      </c>
      <c r="G7" s="44">
        <v>78</v>
      </c>
      <c r="H7" s="46">
        <v>80</v>
      </c>
      <c r="I7" s="49">
        <f t="shared" si="0"/>
        <v>2</v>
      </c>
      <c r="J7" s="46">
        <v>0.158</v>
      </c>
      <c r="K7" s="46" t="str">
        <f>_xlfn.UNICHAR(8596)</f>
        <v>↔</v>
      </c>
      <c r="L7" s="50">
        <f t="shared" si="1"/>
        <v>58.776060672</v>
      </c>
      <c r="M7" s="49"/>
      <c r="N7" s="50">
        <f t="shared" si="2"/>
        <v>58.776060672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108</v>
      </c>
      <c r="B8" s="46">
        <v>3</v>
      </c>
      <c r="C8" s="47" t="s">
        <v>205</v>
      </c>
      <c r="D8" s="68" t="s">
        <v>99</v>
      </c>
      <c r="E8" s="46"/>
      <c r="F8" s="54">
        <f>10.7639 *(1.6*2.7)</f>
        <v>46.500048</v>
      </c>
      <c r="G8" s="44">
        <v>78</v>
      </c>
      <c r="H8" s="46">
        <v>95</v>
      </c>
      <c r="I8" s="49">
        <f t="shared" si="0"/>
        <v>17</v>
      </c>
      <c r="J8" s="46">
        <v>6.3E-2</v>
      </c>
      <c r="K8" s="46" t="str">
        <f>_xlfn.UNICHAR(8596)</f>
        <v>↔</v>
      </c>
      <c r="L8" s="50">
        <f t="shared" si="1"/>
        <v>49.801551408000002</v>
      </c>
      <c r="M8" s="49"/>
      <c r="N8" s="50">
        <f t="shared" si="2"/>
        <v>49.801551408000002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403</v>
      </c>
      <c r="B9" s="46">
        <v>6</v>
      </c>
      <c r="C9" s="67" t="s">
        <v>175</v>
      </c>
      <c r="D9" s="46" t="s">
        <v>99</v>
      </c>
      <c r="E9" s="46"/>
      <c r="F9" s="54">
        <f>10.7639 *((1.5+1.6)*2.7)</f>
        <v>90.093843000000007</v>
      </c>
      <c r="G9" s="44">
        <v>78</v>
      </c>
      <c r="H9" s="46">
        <v>110</v>
      </c>
      <c r="I9" s="49">
        <f t="shared" si="0"/>
        <v>32</v>
      </c>
      <c r="J9" s="46">
        <v>0.158</v>
      </c>
      <c r="K9" s="46" t="str">
        <f>_xlfn.UNICHAR(8596)</f>
        <v>↔</v>
      </c>
      <c r="L9" s="50">
        <f t="shared" si="1"/>
        <v>455.51447020800003</v>
      </c>
      <c r="M9" s="49"/>
      <c r="N9" s="50">
        <f t="shared" si="2"/>
        <v>455.51447020800003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449</v>
      </c>
      <c r="B10" s="46">
        <v>2</v>
      </c>
      <c r="C10" s="67" t="s">
        <v>175</v>
      </c>
      <c r="D10" s="46" t="s">
        <v>106</v>
      </c>
      <c r="E10" s="46"/>
      <c r="F10" s="54">
        <f>10.7639 *((1.5+1.6)*2.7)</f>
        <v>90.093843000000007</v>
      </c>
      <c r="G10" s="44">
        <v>78</v>
      </c>
      <c r="H10" s="46">
        <v>78</v>
      </c>
      <c r="I10" s="49">
        <f t="shared" si="0"/>
        <v>0</v>
      </c>
      <c r="J10" s="46">
        <v>0.14399999999999999</v>
      </c>
      <c r="K10" s="46" t="str">
        <f>_xlfn.UNICHAR(8595)</f>
        <v>↓</v>
      </c>
      <c r="L10" s="50">
        <f t="shared" si="1"/>
        <v>0</v>
      </c>
      <c r="M10" s="44"/>
      <c r="N10" s="50">
        <f t="shared" si="2"/>
        <v>0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356</v>
      </c>
      <c r="B11" s="46">
        <v>2</v>
      </c>
      <c r="C11" s="67" t="s">
        <v>175</v>
      </c>
      <c r="D11" s="46" t="s">
        <v>106</v>
      </c>
      <c r="E11" s="46"/>
      <c r="F11" s="54">
        <f>10.7639 *(1.2*3.1)</f>
        <v>40.041707999999993</v>
      </c>
      <c r="G11" s="44">
        <v>78</v>
      </c>
      <c r="H11" s="46">
        <v>78</v>
      </c>
      <c r="I11" s="49">
        <f t="shared" si="0"/>
        <v>0</v>
      </c>
      <c r="J11" s="46">
        <v>0.14399999999999999</v>
      </c>
      <c r="K11" s="46" t="str">
        <f>_xlfn.UNICHAR(8595)</f>
        <v>↓</v>
      </c>
      <c r="L11" s="50">
        <f t="shared" si="1"/>
        <v>0</v>
      </c>
      <c r="M11" s="44"/>
      <c r="N11" s="50">
        <f t="shared" si="2"/>
        <v>0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 t="s">
        <v>357</v>
      </c>
      <c r="B12" s="46">
        <v>2</v>
      </c>
      <c r="C12" s="67" t="s">
        <v>175</v>
      </c>
      <c r="D12" s="46" t="s">
        <v>106</v>
      </c>
      <c r="E12" s="44"/>
      <c r="F12" s="54">
        <f>10.7639 *(1.6*0.4)</f>
        <v>6.8888960000000008</v>
      </c>
      <c r="G12" s="44">
        <v>78</v>
      </c>
      <c r="H12" s="46">
        <v>110</v>
      </c>
      <c r="I12" s="49">
        <f t="shared" si="0"/>
        <v>32</v>
      </c>
      <c r="J12" s="46">
        <v>0.14399999999999999</v>
      </c>
      <c r="K12" s="46" t="str">
        <f>_xlfn.UNICHAR(8595)</f>
        <v>↓</v>
      </c>
      <c r="L12" s="50">
        <f t="shared" si="1"/>
        <v>31.744032768</v>
      </c>
      <c r="M12" s="44"/>
      <c r="N12" s="50">
        <f t="shared" si="2"/>
        <v>31.744032768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53" t="s">
        <v>340</v>
      </c>
      <c r="B13" s="46">
        <v>2</v>
      </c>
      <c r="C13" s="67" t="s">
        <v>175</v>
      </c>
      <c r="D13" s="46" t="s">
        <v>106</v>
      </c>
      <c r="E13" s="44"/>
      <c r="F13" s="54">
        <f>10.7639 *(0.3*1.2)</f>
        <v>3.8750039999999997</v>
      </c>
      <c r="G13" s="44">
        <v>78</v>
      </c>
      <c r="H13" s="46">
        <v>120</v>
      </c>
      <c r="I13" s="49">
        <f t="shared" si="0"/>
        <v>42</v>
      </c>
      <c r="J13" s="46">
        <v>0.14399999999999999</v>
      </c>
      <c r="K13" s="46" t="str">
        <f>_xlfn.UNICHAR(8595)</f>
        <v>↓</v>
      </c>
      <c r="L13" s="50">
        <f t="shared" si="1"/>
        <v>23.436024191999994</v>
      </c>
      <c r="M13" s="44"/>
      <c r="N13" s="50">
        <f t="shared" si="2"/>
        <v>23.436024191999994</v>
      </c>
      <c r="O13" s="46">
        <v>70</v>
      </c>
      <c r="P13" s="46">
        <v>70</v>
      </c>
      <c r="Q13" s="49">
        <f t="shared" si="3"/>
        <v>0</v>
      </c>
      <c r="R13" s="46"/>
      <c r="S13" s="46"/>
      <c r="T13" s="51">
        <f t="shared" si="4"/>
        <v>0</v>
      </c>
    </row>
    <row r="14" spans="1:20" x14ac:dyDescent="0.3">
      <c r="A14" s="53" t="s">
        <v>108</v>
      </c>
      <c r="B14" s="46">
        <v>3</v>
      </c>
      <c r="C14" s="67" t="s">
        <v>175</v>
      </c>
      <c r="D14" s="46" t="s">
        <v>90</v>
      </c>
      <c r="E14" s="44"/>
      <c r="F14" s="54">
        <f>10.7639 *(7.3867)</f>
        <v>79.509700129999999</v>
      </c>
      <c r="G14" s="44">
        <v>78</v>
      </c>
      <c r="H14" s="46">
        <v>95</v>
      </c>
      <c r="I14" s="49">
        <f t="shared" si="0"/>
        <v>17</v>
      </c>
      <c r="J14" s="46">
        <v>0.17100000000000001</v>
      </c>
      <c r="K14" s="46" t="str">
        <f>_xlfn.UNICHAR(8593)</f>
        <v>↑</v>
      </c>
      <c r="L14" s="50">
        <f t="shared" si="1"/>
        <v>231.13469827791002</v>
      </c>
      <c r="M14" s="44"/>
      <c r="N14" s="50">
        <f t="shared" si="2"/>
        <v>231.13469827791002</v>
      </c>
      <c r="O14" s="46">
        <v>70</v>
      </c>
      <c r="P14" s="46">
        <v>70</v>
      </c>
      <c r="Q14" s="49">
        <f t="shared" si="3"/>
        <v>0</v>
      </c>
      <c r="R14" s="46"/>
      <c r="S14" s="46"/>
      <c r="T14" s="51">
        <f t="shared" si="4"/>
        <v>0</v>
      </c>
    </row>
    <row r="15" spans="1:20" x14ac:dyDescent="0.3">
      <c r="A15" s="53" t="s">
        <v>436</v>
      </c>
      <c r="B15" s="46">
        <v>1</v>
      </c>
      <c r="C15" s="67" t="s">
        <v>175</v>
      </c>
      <c r="D15" s="46" t="s">
        <v>90</v>
      </c>
      <c r="E15" s="44"/>
      <c r="F15" s="54">
        <f>10.7639 *(0)</f>
        <v>0</v>
      </c>
      <c r="G15" s="44">
        <v>78</v>
      </c>
      <c r="H15" s="46">
        <v>78</v>
      </c>
      <c r="I15" s="49">
        <f t="shared" si="0"/>
        <v>0</v>
      </c>
      <c r="J15" s="46">
        <v>0.17100000000000001</v>
      </c>
      <c r="K15" s="46" t="str">
        <f>_xlfn.UNICHAR(8593)</f>
        <v>↑</v>
      </c>
      <c r="L15" s="50">
        <f t="shared" si="1"/>
        <v>0</v>
      </c>
      <c r="M15" s="44"/>
      <c r="N15" s="50">
        <f t="shared" si="2"/>
        <v>0</v>
      </c>
      <c r="O15" s="46">
        <v>70</v>
      </c>
      <c r="P15" s="46">
        <v>70</v>
      </c>
      <c r="Q15" s="49">
        <f t="shared" si="3"/>
        <v>0</v>
      </c>
      <c r="R15" s="46"/>
      <c r="S15" s="46"/>
      <c r="T15" s="51">
        <f t="shared" si="4"/>
        <v>0</v>
      </c>
    </row>
    <row r="16" spans="1:20" x14ac:dyDescent="0.3">
      <c r="A16" s="53" t="s">
        <v>340</v>
      </c>
      <c r="B16" s="46">
        <v>1</v>
      </c>
      <c r="C16" s="67" t="s">
        <v>175</v>
      </c>
      <c r="D16" s="46" t="s">
        <v>90</v>
      </c>
      <c r="E16" s="44"/>
      <c r="F16" s="54">
        <f>10.7639 *(2.189)</f>
        <v>23.5621771</v>
      </c>
      <c r="G16" s="44">
        <v>78</v>
      </c>
      <c r="H16" s="46">
        <v>120</v>
      </c>
      <c r="I16" s="49">
        <f t="shared" si="0"/>
        <v>42</v>
      </c>
      <c r="J16" s="46">
        <v>0.17100000000000001</v>
      </c>
      <c r="K16" s="46" t="str">
        <f>_xlfn.UNICHAR(8593)</f>
        <v>↑</v>
      </c>
      <c r="L16" s="50">
        <f t="shared" si="1"/>
        <v>169.22355593220001</v>
      </c>
      <c r="M16" s="44"/>
      <c r="N16" s="50">
        <f t="shared" si="2"/>
        <v>169.22355593220001</v>
      </c>
      <c r="O16" s="46">
        <v>70</v>
      </c>
      <c r="P16" s="46">
        <v>70</v>
      </c>
      <c r="Q16" s="49">
        <f t="shared" si="3"/>
        <v>0</v>
      </c>
      <c r="R16" s="46"/>
      <c r="S16" s="46"/>
      <c r="T16" s="51">
        <f t="shared" si="4"/>
        <v>0</v>
      </c>
    </row>
    <row r="17" spans="1:20" x14ac:dyDescent="0.3">
      <c r="A17" s="53" t="s">
        <v>180</v>
      </c>
      <c r="B17" s="46">
        <v>1</v>
      </c>
      <c r="C17" s="67" t="s">
        <v>175</v>
      </c>
      <c r="D17" s="46" t="s">
        <v>90</v>
      </c>
      <c r="E17" s="44" t="s">
        <v>450</v>
      </c>
      <c r="F17" s="54">
        <f>10.7639 *(0.343)</f>
        <v>3.6920177000000001</v>
      </c>
      <c r="G17" s="44">
        <v>78</v>
      </c>
      <c r="H17" s="46">
        <v>85</v>
      </c>
      <c r="I17" s="49">
        <f t="shared" si="0"/>
        <v>7</v>
      </c>
      <c r="J17" s="46">
        <v>0.17100000000000001</v>
      </c>
      <c r="K17" s="46" t="str">
        <f>_xlfn.UNICHAR(8593)</f>
        <v>↑</v>
      </c>
      <c r="L17" s="50">
        <f t="shared" si="1"/>
        <v>4.4193451869000002</v>
      </c>
      <c r="M17" s="44"/>
      <c r="N17" s="50">
        <f t="shared" si="2"/>
        <v>4.4193451869000002</v>
      </c>
      <c r="O17" s="46">
        <v>70</v>
      </c>
      <c r="P17" s="46">
        <v>70</v>
      </c>
      <c r="Q17" s="49">
        <f t="shared" si="3"/>
        <v>0</v>
      </c>
      <c r="R17" s="46"/>
      <c r="S17" s="46"/>
      <c r="T17" s="51">
        <f t="shared" si="4"/>
        <v>0</v>
      </c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1236.1945826330102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(0.6*0.5))*0</f>
        <v>0</v>
      </c>
      <c r="G20" s="44"/>
      <c r="H20" s="44"/>
      <c r="I20" s="44"/>
      <c r="J20" s="44"/>
      <c r="K20" s="44"/>
      <c r="L20" s="46">
        <f>F20*160</f>
        <v>0</v>
      </c>
      <c r="M20" s="44"/>
      <c r="N20" s="50">
        <f>L20+M20</f>
        <v>0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(10)</f>
        <v>107.639</v>
      </c>
      <c r="G21" s="44"/>
      <c r="H21" s="44"/>
      <c r="I21" s="44"/>
      <c r="J21" s="44"/>
      <c r="K21" s="44"/>
      <c r="L21" s="44">
        <f>4*F21</f>
        <v>430.55599999999998</v>
      </c>
      <c r="M21" s="44"/>
      <c r="N21" s="50">
        <f>L21+M21</f>
        <v>430.55599999999998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2466.7505826330103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2466.7505826330103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48">
        <f>$F$21</f>
        <v>107.639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49">
        <f>F35*F36</f>
        <v>953.49510925200002</v>
      </c>
      <c r="G37" s="44" t="s">
        <v>124</v>
      </c>
    </row>
    <row r="38" spans="1:20" x14ac:dyDescent="0.3">
      <c r="E38" s="44" t="s">
        <v>125</v>
      </c>
      <c r="F38" s="56">
        <f>F37/30</f>
        <v>31.783170308399999</v>
      </c>
      <c r="G38" s="44" t="s">
        <v>126</v>
      </c>
    </row>
    <row r="39" spans="1:20" x14ac:dyDescent="0.3">
      <c r="E39" s="44" t="s">
        <v>127</v>
      </c>
      <c r="F39" s="50">
        <f>SUM($L$5:$L$28)</f>
        <v>1981.7505826330103</v>
      </c>
      <c r="G39" s="44" t="s">
        <v>128</v>
      </c>
    </row>
    <row r="40" spans="1:20" x14ac:dyDescent="0.3">
      <c r="E40" s="44" t="s">
        <v>129</v>
      </c>
      <c r="F40" s="49">
        <f>SUM($M$5:$M$28)</f>
        <v>485</v>
      </c>
      <c r="G40" s="44" t="s">
        <v>128</v>
      </c>
    </row>
    <row r="41" spans="1:20" x14ac:dyDescent="0.3">
      <c r="E41" s="44" t="s">
        <v>130</v>
      </c>
      <c r="F41" s="50">
        <f>$N$29</f>
        <v>2466.7505826330103</v>
      </c>
      <c r="G41" s="44" t="s">
        <v>128</v>
      </c>
    </row>
    <row r="42" spans="1:20" x14ac:dyDescent="0.3">
      <c r="E42" s="44" t="s">
        <v>131</v>
      </c>
      <c r="F42" s="50">
        <f>$T$29</f>
        <v>0</v>
      </c>
      <c r="G42" s="44" t="s">
        <v>128</v>
      </c>
    </row>
    <row r="43" spans="1:20" x14ac:dyDescent="0.3">
      <c r="E43" s="44" t="s">
        <v>132</v>
      </c>
      <c r="F43" s="56">
        <f>F39/(1.08*F33)</f>
        <v>73.398169727148527</v>
      </c>
      <c r="G43" s="44" t="s">
        <v>126</v>
      </c>
    </row>
    <row r="44" spans="1:20" x14ac:dyDescent="0.3">
      <c r="E44" s="44" t="s">
        <v>126</v>
      </c>
      <c r="F44" s="57">
        <f>ROUNDUP(F43,0)</f>
        <v>74</v>
      </c>
      <c r="G44" s="44" t="s">
        <v>126</v>
      </c>
    </row>
    <row r="45" spans="1:20" x14ac:dyDescent="0.3">
      <c r="E45" s="44" t="s">
        <v>133</v>
      </c>
      <c r="F45" s="50">
        <f>F44*0.0002930711</f>
        <v>2.1687261399999998E-2</v>
      </c>
      <c r="G45" s="44" t="s">
        <v>134</v>
      </c>
    </row>
    <row r="46" spans="1:20" x14ac:dyDescent="0.3">
      <c r="E46" s="44" t="s">
        <v>135</v>
      </c>
      <c r="F46" s="50">
        <f>F39/F41</f>
        <v>0.80338506721570901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orientation="landscape" horizontalDpi="300" verticalDpi="300"/>
  <rowBreaks count="5" manualBreakCount="5">
    <brk id="54" max="16383" man="1"/>
    <brk id="94" max="16383" man="1"/>
    <brk id="134" max="16383" man="1"/>
    <brk id="174" max="16383" man="1"/>
    <brk id="214" max="1638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F0"/>
  </sheetPr>
  <dimension ref="A1:T254"/>
  <sheetViews>
    <sheetView zoomScale="95" zoomScaleNormal="95" workbookViewId="0"/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451</v>
      </c>
      <c r="B2" s="11"/>
      <c r="C2" s="11">
        <v>1001</v>
      </c>
      <c r="D2" s="11"/>
      <c r="E2" s="43" t="s">
        <v>427</v>
      </c>
      <c r="F2" s="43" t="s">
        <v>410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419</v>
      </c>
      <c r="B5" s="46">
        <v>6</v>
      </c>
      <c r="C5" s="67" t="s">
        <v>104</v>
      </c>
      <c r="D5" s="46" t="s">
        <v>99</v>
      </c>
      <c r="E5" s="46" t="s">
        <v>393</v>
      </c>
      <c r="F5" s="48">
        <f>10.7639 * (1.4*2.7)</f>
        <v>40.687541999999993</v>
      </c>
      <c r="G5" s="44">
        <v>78</v>
      </c>
      <c r="H5" s="46">
        <v>85</v>
      </c>
      <c r="I5" s="49">
        <f t="shared" ref="I5:I13" si="0">H5-G5</f>
        <v>7</v>
      </c>
      <c r="J5" s="46">
        <v>0.313</v>
      </c>
      <c r="K5" s="46" t="str">
        <f>_xlfn.UNICHAR(8596)</f>
        <v>↔</v>
      </c>
      <c r="L5" s="50">
        <f t="shared" ref="L5:L13" si="1">F5*I5*J5</f>
        <v>89.146404521999983</v>
      </c>
      <c r="M5" s="49"/>
      <c r="N5" s="50">
        <f t="shared" ref="N5:N13" si="2">L5+M5</f>
        <v>89.146404521999983</v>
      </c>
      <c r="O5" s="46">
        <v>70</v>
      </c>
      <c r="P5" s="46">
        <v>70</v>
      </c>
      <c r="Q5" s="49">
        <f t="shared" ref="Q5:Q13" si="3">O5-P5</f>
        <v>0</v>
      </c>
      <c r="R5" s="46"/>
      <c r="S5" s="46"/>
      <c r="T5" s="51">
        <f t="shared" ref="T5:T13" si="4">F5*Q5*R5</f>
        <v>0</v>
      </c>
    </row>
    <row r="6" spans="1:20" x14ac:dyDescent="0.3">
      <c r="A6" s="53" t="s">
        <v>190</v>
      </c>
      <c r="B6" s="46">
        <v>6</v>
      </c>
      <c r="C6" s="67" t="s">
        <v>104</v>
      </c>
      <c r="D6" s="46" t="s">
        <v>99</v>
      </c>
      <c r="E6" s="46" t="s">
        <v>432</v>
      </c>
      <c r="F6" s="48">
        <f>10.7639 *(2.7*2.7)</f>
        <v>78.468831000000009</v>
      </c>
      <c r="G6" s="44">
        <v>78</v>
      </c>
      <c r="H6" s="46">
        <v>80</v>
      </c>
      <c r="I6" s="49">
        <f t="shared" si="0"/>
        <v>2</v>
      </c>
      <c r="J6" s="46">
        <v>0.313</v>
      </c>
      <c r="K6" s="46" t="str">
        <f>_xlfn.UNICHAR(8596)</f>
        <v>↔</v>
      </c>
      <c r="L6" s="50">
        <f t="shared" si="1"/>
        <v>49.121488206000002</v>
      </c>
      <c r="M6" s="49"/>
      <c r="N6" s="50">
        <f t="shared" si="2"/>
        <v>49.121488206000002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108</v>
      </c>
      <c r="B7" s="46">
        <v>3</v>
      </c>
      <c r="C7" s="47" t="s">
        <v>205</v>
      </c>
      <c r="D7" s="68" t="s">
        <v>99</v>
      </c>
      <c r="E7" s="46" t="s">
        <v>433</v>
      </c>
      <c r="F7" s="48">
        <f>10.7639 *(3.8*2.7)</f>
        <v>110.437614</v>
      </c>
      <c r="G7" s="44">
        <v>78</v>
      </c>
      <c r="H7" s="46">
        <v>95</v>
      </c>
      <c r="I7" s="49">
        <f t="shared" si="0"/>
        <v>17</v>
      </c>
      <c r="J7" s="46">
        <v>6.3E-2</v>
      </c>
      <c r="K7" s="46" t="str">
        <f>_xlfn.UNICHAR(8596)</f>
        <v>↔</v>
      </c>
      <c r="L7" s="50">
        <f t="shared" si="1"/>
        <v>118.278684594</v>
      </c>
      <c r="M7" s="49"/>
      <c r="N7" s="50">
        <f t="shared" si="2"/>
        <v>118.278684594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422</v>
      </c>
      <c r="B8" s="46">
        <v>6</v>
      </c>
      <c r="C8" s="67" t="s">
        <v>104</v>
      </c>
      <c r="D8" s="46" t="s">
        <v>99</v>
      </c>
      <c r="E8" s="46" t="s">
        <v>393</v>
      </c>
      <c r="F8" s="48">
        <f>10.7639 * (1.4*2.7)</f>
        <v>40.687541999999993</v>
      </c>
      <c r="G8" s="44">
        <v>78</v>
      </c>
      <c r="H8" s="46">
        <v>85</v>
      </c>
      <c r="I8" s="49">
        <f t="shared" si="0"/>
        <v>7</v>
      </c>
      <c r="J8" s="46">
        <v>0.313</v>
      </c>
      <c r="K8" s="46" t="str">
        <f>_xlfn.UNICHAR(8596)</f>
        <v>↔</v>
      </c>
      <c r="L8" s="50">
        <f t="shared" si="1"/>
        <v>89.146404521999983</v>
      </c>
      <c r="M8" s="49"/>
      <c r="N8" s="50">
        <f t="shared" si="2"/>
        <v>89.146404521999983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108</v>
      </c>
      <c r="B9" s="46">
        <v>3</v>
      </c>
      <c r="C9" s="67" t="s">
        <v>175</v>
      </c>
      <c r="D9" s="46" t="s">
        <v>90</v>
      </c>
      <c r="E9" s="46"/>
      <c r="F9" s="48">
        <f>10.7639 * (10.566)</f>
        <v>113.7313674</v>
      </c>
      <c r="G9" s="44">
        <v>78</v>
      </c>
      <c r="H9" s="46">
        <v>95</v>
      </c>
      <c r="I9" s="49">
        <f t="shared" si="0"/>
        <v>17</v>
      </c>
      <c r="J9" s="46">
        <v>0.17100000000000001</v>
      </c>
      <c r="K9" s="46" t="str">
        <f>_xlfn.UNICHAR(8593)</f>
        <v>↑</v>
      </c>
      <c r="L9" s="50">
        <f t="shared" si="1"/>
        <v>330.6170850318</v>
      </c>
      <c r="M9" s="49"/>
      <c r="N9" s="50">
        <f t="shared" si="2"/>
        <v>330.6170850318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436</v>
      </c>
      <c r="B10" s="46">
        <v>1</v>
      </c>
      <c r="C10" s="67" t="s">
        <v>175</v>
      </c>
      <c r="D10" s="46" t="s">
        <v>90</v>
      </c>
      <c r="E10" s="46"/>
      <c r="F10" s="48">
        <f>10.7639 * (7.654)</f>
        <v>82.386890600000001</v>
      </c>
      <c r="G10" s="44">
        <v>78</v>
      </c>
      <c r="H10" s="46">
        <v>78</v>
      </c>
      <c r="I10" s="49">
        <f t="shared" si="0"/>
        <v>0</v>
      </c>
      <c r="J10" s="46">
        <v>0.17100000000000001</v>
      </c>
      <c r="K10" s="46" t="str">
        <f>_xlfn.UNICHAR(8593)</f>
        <v>↑</v>
      </c>
      <c r="L10" s="50">
        <f t="shared" si="1"/>
        <v>0</v>
      </c>
      <c r="M10" s="44"/>
      <c r="N10" s="50">
        <f t="shared" si="2"/>
        <v>0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452</v>
      </c>
      <c r="B11" s="46">
        <v>2</v>
      </c>
      <c r="C11" s="67" t="s">
        <v>175</v>
      </c>
      <c r="D11" s="46" t="s">
        <v>106</v>
      </c>
      <c r="E11" s="46"/>
      <c r="F11" s="48">
        <f>10.7639 * (2.72)</f>
        <v>29.277808</v>
      </c>
      <c r="G11" s="44">
        <v>78</v>
      </c>
      <c r="H11" s="46">
        <v>85</v>
      </c>
      <c r="I11" s="49">
        <f t="shared" si="0"/>
        <v>7</v>
      </c>
      <c r="J11" s="46">
        <v>0.14399999999999999</v>
      </c>
      <c r="K11" s="46" t="str">
        <f>_xlfn.UNICHAR(8595)</f>
        <v>↓</v>
      </c>
      <c r="L11" s="50">
        <f t="shared" si="1"/>
        <v>29.512030463999999</v>
      </c>
      <c r="M11" s="44"/>
      <c r="N11" s="50">
        <f t="shared" si="2"/>
        <v>29.512030463999999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 t="s">
        <v>190</v>
      </c>
      <c r="B12" s="46">
        <v>2</v>
      </c>
      <c r="C12" s="67" t="s">
        <v>175</v>
      </c>
      <c r="D12" s="46" t="s">
        <v>106</v>
      </c>
      <c r="E12" s="44"/>
      <c r="F12" s="48">
        <f>10.7639 * (0.27)</f>
        <v>2.906253</v>
      </c>
      <c r="G12" s="44">
        <v>78</v>
      </c>
      <c r="H12" s="46">
        <v>80</v>
      </c>
      <c r="I12" s="49">
        <f t="shared" si="0"/>
        <v>2</v>
      </c>
      <c r="J12" s="46">
        <v>0.14399999999999999</v>
      </c>
      <c r="K12" s="46" t="str">
        <f>_xlfn.UNICHAR(8595)</f>
        <v>↓</v>
      </c>
      <c r="L12" s="50">
        <f t="shared" si="1"/>
        <v>0.83700086399999996</v>
      </c>
      <c r="M12" s="44"/>
      <c r="N12" s="50">
        <f t="shared" si="2"/>
        <v>0.83700086399999996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53" t="s">
        <v>337</v>
      </c>
      <c r="B13" s="46">
        <v>2</v>
      </c>
      <c r="C13" s="67" t="s">
        <v>175</v>
      </c>
      <c r="D13" s="46" t="s">
        <v>106</v>
      </c>
      <c r="E13" s="44"/>
      <c r="F13" s="48">
        <f>10.7639 * (1.81)</f>
        <v>19.482658999999998</v>
      </c>
      <c r="G13" s="44">
        <v>78</v>
      </c>
      <c r="H13" s="46">
        <v>85</v>
      </c>
      <c r="I13" s="49">
        <f t="shared" si="0"/>
        <v>7</v>
      </c>
      <c r="J13" s="46">
        <v>0.14399999999999999</v>
      </c>
      <c r="K13" s="46" t="str">
        <f>_xlfn.UNICHAR(8595)</f>
        <v>↓</v>
      </c>
      <c r="L13" s="50">
        <f t="shared" si="1"/>
        <v>19.638520271999994</v>
      </c>
      <c r="M13" s="44"/>
      <c r="N13" s="50">
        <f t="shared" si="2"/>
        <v>19.638520271999994</v>
      </c>
      <c r="O13" s="46">
        <v>70</v>
      </c>
      <c r="P13" s="46">
        <v>70</v>
      </c>
      <c r="Q13" s="49">
        <f t="shared" si="3"/>
        <v>0</v>
      </c>
      <c r="R13" s="46"/>
      <c r="S13" s="46"/>
      <c r="T13" s="51">
        <f t="shared" si="4"/>
        <v>0</v>
      </c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726.29761847579994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(0.6*0.5))*2</f>
        <v>6.4583399999999997</v>
      </c>
      <c r="G20" s="44"/>
      <c r="H20" s="44"/>
      <c r="I20" s="44"/>
      <c r="J20" s="44"/>
      <c r="K20" s="44"/>
      <c r="L20" s="46">
        <f>F20*160</f>
        <v>1033.3344</v>
      </c>
      <c r="M20" s="44"/>
      <c r="N20" s="50">
        <f>L20+M20</f>
        <v>1033.3344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(18.22)</f>
        <v>196.11825799999997</v>
      </c>
      <c r="G21" s="44"/>
      <c r="H21" s="44"/>
      <c r="I21" s="44"/>
      <c r="J21" s="44"/>
      <c r="K21" s="44"/>
      <c r="L21" s="44">
        <f>4*F21</f>
        <v>784.47303199999988</v>
      </c>
      <c r="M21" s="44"/>
      <c r="N21" s="48">
        <f>L21+M21</f>
        <v>784.47303199999988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3344.1050504757995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3344.1050504757995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x14ac:dyDescent="0.3">
      <c r="E33" s="44" t="s">
        <v>116</v>
      </c>
      <c r="F33" s="44">
        <v>25</v>
      </c>
      <c r="G33" s="26" t="s">
        <v>117</v>
      </c>
    </row>
    <row r="34" spans="1:20" x14ac:dyDescent="0.3">
      <c r="E34" s="44" t="s">
        <v>118</v>
      </c>
      <c r="F34" s="44">
        <f>15*1</f>
        <v>15</v>
      </c>
      <c r="G34" s="44"/>
    </row>
    <row r="35" spans="1:20" x14ac:dyDescent="0.3">
      <c r="E35" s="44" t="s">
        <v>119</v>
      </c>
      <c r="F35" s="76">
        <f>$F$21</f>
        <v>196.11825799999997</v>
      </c>
      <c r="G35" s="44" t="s">
        <v>120</v>
      </c>
    </row>
    <row r="36" spans="1:20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x14ac:dyDescent="0.3">
      <c r="E37" s="44" t="s">
        <v>123</v>
      </c>
      <c r="F37" s="51">
        <f>F35*F36</f>
        <v>1737.2680890571439</v>
      </c>
      <c r="G37" s="44" t="s">
        <v>124</v>
      </c>
    </row>
    <row r="38" spans="1:20" x14ac:dyDescent="0.3">
      <c r="E38" s="44" t="s">
        <v>125</v>
      </c>
      <c r="F38" s="57">
        <f>F37/30</f>
        <v>57.908936301904795</v>
      </c>
      <c r="G38" s="44" t="s">
        <v>126</v>
      </c>
    </row>
    <row r="39" spans="1:20" x14ac:dyDescent="0.3">
      <c r="E39" s="44" t="s">
        <v>127</v>
      </c>
      <c r="F39" s="51">
        <f>SUM($L$5:$L$28)</f>
        <v>2859.1050504757995</v>
      </c>
      <c r="G39" s="44" t="s">
        <v>128</v>
      </c>
    </row>
    <row r="40" spans="1:20" x14ac:dyDescent="0.3">
      <c r="E40" s="44" t="s">
        <v>129</v>
      </c>
      <c r="F40" s="51">
        <f>SUM($M$5:$M$28)</f>
        <v>485</v>
      </c>
      <c r="G40" s="44" t="s">
        <v>128</v>
      </c>
    </row>
    <row r="41" spans="1:20" x14ac:dyDescent="0.3">
      <c r="E41" s="44" t="s">
        <v>130</v>
      </c>
      <c r="F41" s="51">
        <f>$N$29</f>
        <v>3344.1050504757995</v>
      </c>
      <c r="G41" s="44" t="s">
        <v>128</v>
      </c>
    </row>
    <row r="42" spans="1:20" x14ac:dyDescent="0.3">
      <c r="E42" s="44" t="s">
        <v>131</v>
      </c>
      <c r="F42" s="51">
        <f>$T$29</f>
        <v>0</v>
      </c>
      <c r="G42" s="44" t="s">
        <v>128</v>
      </c>
    </row>
    <row r="43" spans="1:20" x14ac:dyDescent="0.3">
      <c r="E43" s="44" t="s">
        <v>132</v>
      </c>
      <c r="F43" s="57">
        <f>F39/(1.08*F33)</f>
        <v>105.89277964725183</v>
      </c>
      <c r="G43" s="44" t="s">
        <v>126</v>
      </c>
    </row>
    <row r="44" spans="1:20" x14ac:dyDescent="0.3">
      <c r="E44" s="44" t="s">
        <v>126</v>
      </c>
      <c r="F44" s="57">
        <f>ROUNDUP(F43,0)</f>
        <v>106</v>
      </c>
      <c r="G44" s="44" t="s">
        <v>126</v>
      </c>
    </row>
    <row r="45" spans="1:20" x14ac:dyDescent="0.3">
      <c r="E45" s="44" t="s">
        <v>133</v>
      </c>
      <c r="F45" s="50">
        <f>F44*0.0002930711</f>
        <v>3.1065536599999999E-2</v>
      </c>
      <c r="G45" s="44" t="s">
        <v>134</v>
      </c>
    </row>
    <row r="46" spans="1:20" x14ac:dyDescent="0.3">
      <c r="E46" s="44" t="s">
        <v>135</v>
      </c>
      <c r="F46" s="50">
        <f>F39/F41</f>
        <v>0.8549686709360419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F0"/>
  </sheetPr>
  <dimension ref="A1:T254"/>
  <sheetViews>
    <sheetView zoomScale="95" zoomScaleNormal="95" workbookViewId="0">
      <selection activeCell="E49" sqref="E49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customWidth="1"/>
    <col min="16" max="16" width="3.21875" style="40" customWidth="1"/>
    <col min="17" max="17" width="3.5546875" style="40" customWidth="1"/>
    <col min="18" max="18" width="7.44140625" style="40" customWidth="1"/>
    <col min="19" max="19" width="4.44140625" style="40" customWidth="1"/>
    <col min="20" max="20" width="5.5546875" style="40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453</v>
      </c>
      <c r="B2" s="11"/>
      <c r="C2" s="11">
        <v>1001</v>
      </c>
      <c r="D2" s="11"/>
      <c r="E2" s="43" t="s">
        <v>427</v>
      </c>
      <c r="F2" s="43" t="s">
        <v>203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89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45" t="s">
        <v>422</v>
      </c>
      <c r="B5" s="46">
        <v>6</v>
      </c>
      <c r="C5" s="67" t="s">
        <v>104</v>
      </c>
      <c r="D5" s="46" t="s">
        <v>99</v>
      </c>
      <c r="E5" s="46" t="s">
        <v>439</v>
      </c>
      <c r="F5" s="48">
        <f>10.7639 *(2.2*2.7)</f>
        <v>63.937566000000011</v>
      </c>
      <c r="G5" s="44">
        <v>78</v>
      </c>
      <c r="H5" s="46">
        <v>85</v>
      </c>
      <c r="I5" s="49">
        <f t="shared" ref="I5:I10" si="0">H5-G5</f>
        <v>7</v>
      </c>
      <c r="J5" s="46">
        <v>0.313</v>
      </c>
      <c r="K5" s="46" t="str">
        <f>_xlfn.UNICHAR(8596)</f>
        <v>↔</v>
      </c>
      <c r="L5" s="50">
        <f t="shared" ref="L5:L10" si="1">F5*I5*J5</f>
        <v>140.08720710600002</v>
      </c>
      <c r="M5" s="49"/>
      <c r="N5" s="50">
        <f t="shared" ref="N5:N10" si="2">L5+M5</f>
        <v>140.08720710600002</v>
      </c>
      <c r="O5" s="46">
        <v>70</v>
      </c>
      <c r="P5" s="46">
        <v>70</v>
      </c>
      <c r="Q5" s="49">
        <f t="shared" ref="Q5:Q10" si="3">O5-P5</f>
        <v>0</v>
      </c>
      <c r="R5" s="46"/>
      <c r="S5" s="46"/>
      <c r="T5" s="51">
        <f t="shared" ref="T5:T10" si="4">F5*Q5*R5</f>
        <v>0</v>
      </c>
    </row>
    <row r="6" spans="1:20" x14ac:dyDescent="0.3">
      <c r="A6" s="45" t="s">
        <v>451</v>
      </c>
      <c r="B6" s="46">
        <v>6</v>
      </c>
      <c r="C6" s="67" t="s">
        <v>104</v>
      </c>
      <c r="D6" s="46" t="s">
        <v>99</v>
      </c>
      <c r="E6" s="44"/>
      <c r="F6" s="54"/>
      <c r="G6" s="44">
        <v>78</v>
      </c>
      <c r="H6" s="46">
        <v>78</v>
      </c>
      <c r="I6" s="49">
        <f t="shared" si="0"/>
        <v>0</v>
      </c>
      <c r="J6" s="46">
        <v>0.313</v>
      </c>
      <c r="K6" s="46" t="str">
        <f>_xlfn.UNICHAR(8596)</f>
        <v>↔</v>
      </c>
      <c r="L6" s="50">
        <f t="shared" si="1"/>
        <v>0</v>
      </c>
      <c r="M6" s="49"/>
      <c r="N6" s="50">
        <f t="shared" si="2"/>
        <v>0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45" t="s">
        <v>108</v>
      </c>
      <c r="B7" s="46">
        <v>3</v>
      </c>
      <c r="C7" s="47" t="s">
        <v>205</v>
      </c>
      <c r="D7" s="68" t="s">
        <v>99</v>
      </c>
      <c r="E7" s="46" t="s">
        <v>454</v>
      </c>
      <c r="F7" s="48">
        <f>10.7639 *((3.8+2.2)*2.7)</f>
        <v>174.37518000000003</v>
      </c>
      <c r="G7" s="44">
        <v>78</v>
      </c>
      <c r="H7" s="46">
        <v>95</v>
      </c>
      <c r="I7" s="49">
        <f t="shared" si="0"/>
        <v>17</v>
      </c>
      <c r="J7" s="46">
        <v>6.3E-2</v>
      </c>
      <c r="K7" s="46" t="str">
        <f>_xlfn.UNICHAR(8596)</f>
        <v>↔</v>
      </c>
      <c r="L7" s="50">
        <f t="shared" si="1"/>
        <v>186.75581778000003</v>
      </c>
      <c r="M7" s="49"/>
      <c r="N7" s="50">
        <f t="shared" si="2"/>
        <v>186.75581778000003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45" t="s">
        <v>108</v>
      </c>
      <c r="B8" s="46">
        <v>3</v>
      </c>
      <c r="C8" s="67" t="s">
        <v>175</v>
      </c>
      <c r="D8" s="46" t="s">
        <v>90</v>
      </c>
      <c r="E8" s="46" t="s">
        <v>455</v>
      </c>
      <c r="F8" s="48">
        <f>10.7639 *(2.2*3.8)</f>
        <v>89.986203999999987</v>
      </c>
      <c r="G8" s="44">
        <v>78</v>
      </c>
      <c r="H8" s="46">
        <v>95</v>
      </c>
      <c r="I8" s="49">
        <f t="shared" si="0"/>
        <v>17</v>
      </c>
      <c r="J8" s="46">
        <v>0.17100000000000001</v>
      </c>
      <c r="K8" s="46" t="str">
        <f>_xlfn.UNICHAR(8593)</f>
        <v>↑</v>
      </c>
      <c r="L8" s="50">
        <f t="shared" si="1"/>
        <v>261.589895028</v>
      </c>
      <c r="M8" s="49"/>
      <c r="N8" s="50">
        <f t="shared" si="2"/>
        <v>261.589895028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45" t="s">
        <v>338</v>
      </c>
      <c r="B9" s="46">
        <v>2</v>
      </c>
      <c r="C9" s="67" t="s">
        <v>175</v>
      </c>
      <c r="D9" s="46" t="s">
        <v>106</v>
      </c>
      <c r="E9" s="46"/>
      <c r="F9" s="48"/>
      <c r="G9" s="44">
        <v>78</v>
      </c>
      <c r="H9" s="46">
        <v>78</v>
      </c>
      <c r="I9" s="49">
        <f t="shared" si="0"/>
        <v>0</v>
      </c>
      <c r="J9" s="46">
        <v>0.14399999999999999</v>
      </c>
      <c r="K9" s="46" t="str">
        <f>_xlfn.UNICHAR(8595)</f>
        <v>↓</v>
      </c>
      <c r="L9" s="50">
        <f t="shared" si="1"/>
        <v>0</v>
      </c>
      <c r="M9" s="49"/>
      <c r="N9" s="50">
        <f t="shared" si="2"/>
        <v>0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45" t="s">
        <v>424</v>
      </c>
      <c r="B10" s="46">
        <v>2</v>
      </c>
      <c r="C10" s="67" t="s">
        <v>175</v>
      </c>
      <c r="D10" s="46" t="s">
        <v>106</v>
      </c>
      <c r="E10" s="46"/>
      <c r="F10" s="48"/>
      <c r="G10" s="44">
        <v>78</v>
      </c>
      <c r="H10" s="46">
        <v>78</v>
      </c>
      <c r="I10" s="49">
        <f t="shared" si="0"/>
        <v>0</v>
      </c>
      <c r="J10" s="46">
        <v>0.14399999999999999</v>
      </c>
      <c r="K10" s="46" t="str">
        <f>_xlfn.UNICHAR(8595)</f>
        <v>↓</v>
      </c>
      <c r="L10" s="50">
        <f t="shared" si="1"/>
        <v>0</v>
      </c>
      <c r="M10" s="44"/>
      <c r="N10" s="50">
        <f t="shared" si="2"/>
        <v>0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/>
      <c r="B11" s="46"/>
      <c r="C11" s="67"/>
      <c r="D11" s="46"/>
      <c r="E11" s="46"/>
      <c r="F11" s="48"/>
      <c r="G11" s="44"/>
      <c r="H11" s="46"/>
      <c r="I11" s="49"/>
      <c r="J11" s="46"/>
      <c r="K11" s="46"/>
      <c r="L11" s="50"/>
      <c r="M11" s="44"/>
      <c r="N11" s="50"/>
      <c r="O11" s="46"/>
      <c r="P11" s="46"/>
      <c r="Q11" s="49"/>
      <c r="R11" s="46"/>
      <c r="S11" s="46"/>
      <c r="T11" s="51"/>
    </row>
    <row r="12" spans="1:20" x14ac:dyDescent="0.3">
      <c r="A12" s="53"/>
      <c r="B12" s="46"/>
      <c r="C12" s="67"/>
      <c r="D12" s="46"/>
      <c r="E12" s="44"/>
      <c r="F12" s="48"/>
      <c r="G12" s="44"/>
      <c r="H12" s="46"/>
      <c r="I12" s="49"/>
      <c r="J12" s="46"/>
      <c r="K12" s="46"/>
      <c r="L12" s="50"/>
      <c r="M12" s="44"/>
      <c r="N12" s="50"/>
      <c r="O12" s="46"/>
      <c r="P12" s="46"/>
      <c r="Q12" s="49"/>
      <c r="R12" s="46"/>
      <c r="S12" s="46"/>
      <c r="T12" s="51"/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588.43291991400008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(0.6*0.5))*2</f>
        <v>6.4583399999999997</v>
      </c>
      <c r="G20" s="44"/>
      <c r="H20" s="44"/>
      <c r="I20" s="44"/>
      <c r="J20" s="44"/>
      <c r="K20" s="44"/>
      <c r="L20" s="46">
        <f>F20*160</f>
        <v>1033.3344</v>
      </c>
      <c r="M20" s="44"/>
      <c r="N20" s="50">
        <f>L20+M20</f>
        <v>1033.3344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*(2.2*3.8)</f>
        <v>89.986203999999987</v>
      </c>
      <c r="G21" s="44"/>
      <c r="H21" s="44"/>
      <c r="I21" s="44"/>
      <c r="J21" s="44"/>
      <c r="K21" s="44"/>
      <c r="L21" s="44">
        <f>4*F21</f>
        <v>359.94481599999995</v>
      </c>
      <c r="M21" s="44"/>
      <c r="N21" s="48">
        <f>L21+M21</f>
        <v>359.94481599999995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50">
        <f>SUM(N19:N28)</f>
        <v>2781.7121359140001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115</v>
      </c>
      <c r="B30" s="44"/>
      <c r="C30" s="44"/>
      <c r="D30" s="44"/>
      <c r="E30" s="44"/>
      <c r="F30" s="44"/>
      <c r="G30" s="10">
        <f>N29+T29</f>
        <v>2781.7121359140001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hidden="1" x14ac:dyDescent="0.3">
      <c r="E33" s="44" t="s">
        <v>116</v>
      </c>
      <c r="F33" s="44">
        <v>25</v>
      </c>
      <c r="G33" s="26" t="s">
        <v>117</v>
      </c>
    </row>
    <row r="34" spans="1:20" hidden="1" x14ac:dyDescent="0.3">
      <c r="E34" s="44" t="s">
        <v>118</v>
      </c>
      <c r="F34" s="44">
        <f>15*1</f>
        <v>15</v>
      </c>
      <c r="G34" s="44"/>
    </row>
    <row r="35" spans="1:20" hidden="1" x14ac:dyDescent="0.3">
      <c r="E35" s="44" t="s">
        <v>119</v>
      </c>
      <c r="F35" s="48">
        <f>$F$21</f>
        <v>89.986203999999987</v>
      </c>
      <c r="G35" s="44" t="s">
        <v>120</v>
      </c>
    </row>
    <row r="36" spans="1:20" hidden="1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hidden="1" x14ac:dyDescent="0.3">
      <c r="E37" s="44" t="s">
        <v>123</v>
      </c>
      <c r="F37" s="49">
        <f>F35*F36</f>
        <v>797.12191133467195</v>
      </c>
      <c r="G37" s="44" t="s">
        <v>124</v>
      </c>
    </row>
    <row r="38" spans="1:20" hidden="1" x14ac:dyDescent="0.3">
      <c r="E38" s="44" t="s">
        <v>125</v>
      </c>
      <c r="F38" s="56">
        <f>F37/30</f>
        <v>26.570730377822397</v>
      </c>
      <c r="G38" s="44" t="s">
        <v>126</v>
      </c>
    </row>
    <row r="39" spans="1:20" hidden="1" x14ac:dyDescent="0.3">
      <c r="E39" s="44" t="s">
        <v>127</v>
      </c>
      <c r="F39" s="50">
        <f>SUM($L$5:$L$28)</f>
        <v>2296.7121359140001</v>
      </c>
      <c r="G39" s="44" t="s">
        <v>128</v>
      </c>
    </row>
    <row r="40" spans="1:20" hidden="1" x14ac:dyDescent="0.3">
      <c r="E40" s="44" t="s">
        <v>129</v>
      </c>
      <c r="F40" s="49">
        <f>SUM($M$5:$M$28)</f>
        <v>485</v>
      </c>
      <c r="G40" s="44" t="s">
        <v>128</v>
      </c>
    </row>
    <row r="41" spans="1:20" hidden="1" x14ac:dyDescent="0.3">
      <c r="E41" s="44" t="s">
        <v>130</v>
      </c>
      <c r="F41" s="50">
        <f>$N$29</f>
        <v>2781.7121359140001</v>
      </c>
      <c r="G41" s="44" t="s">
        <v>128</v>
      </c>
    </row>
    <row r="42" spans="1:20" hidden="1" x14ac:dyDescent="0.3">
      <c r="E42" s="44" t="s">
        <v>131</v>
      </c>
      <c r="F42" s="50">
        <f>$T$29</f>
        <v>0</v>
      </c>
      <c r="G42" s="44" t="s">
        <v>128</v>
      </c>
    </row>
    <row r="43" spans="1:20" hidden="1" x14ac:dyDescent="0.3">
      <c r="E43" s="44" t="s">
        <v>132</v>
      </c>
      <c r="F43" s="56">
        <f>F39/(1.08*F33)</f>
        <v>85.06341244125926</v>
      </c>
      <c r="G43" s="44" t="s">
        <v>126</v>
      </c>
    </row>
    <row r="44" spans="1:20" hidden="1" x14ac:dyDescent="0.3">
      <c r="E44" s="44" t="s">
        <v>126</v>
      </c>
      <c r="F44" s="57">
        <f>ROUNDUP(F43,0)</f>
        <v>86</v>
      </c>
      <c r="G44" s="44" t="s">
        <v>126</v>
      </c>
    </row>
    <row r="45" spans="1:20" hidden="1" x14ac:dyDescent="0.3">
      <c r="E45" s="44" t="s">
        <v>133</v>
      </c>
      <c r="F45" s="50">
        <f>F44*0.0002930711</f>
        <v>2.5204114599999997E-2</v>
      </c>
      <c r="G45" s="44" t="s">
        <v>134</v>
      </c>
    </row>
    <row r="46" spans="1:20" hidden="1" x14ac:dyDescent="0.3">
      <c r="E46" s="44" t="s">
        <v>135</v>
      </c>
      <c r="F46" s="50">
        <f>F39/F41</f>
        <v>0.82564694824518881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160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F0"/>
  </sheetPr>
  <dimension ref="A1:V256"/>
  <sheetViews>
    <sheetView zoomScale="95" zoomScaleNormal="95" workbookViewId="0">
      <selection activeCell="F20" sqref="F20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customWidth="1"/>
    <col min="8" max="8" width="12.44140625" style="40" customWidth="1"/>
    <col min="9" max="9" width="6.1093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hidden="1" customWidth="1"/>
    <col min="16" max="16" width="3.21875" style="40" hidden="1" customWidth="1"/>
    <col min="17" max="17" width="3.5546875" style="40" hidden="1" customWidth="1"/>
    <col min="18" max="18" width="7.44140625" style="40" hidden="1" customWidth="1"/>
    <col min="19" max="19" width="4.44140625" style="40" hidden="1" customWidth="1"/>
    <col min="20" max="20" width="5.5546875" style="40" hidden="1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456</v>
      </c>
      <c r="B2" s="11"/>
      <c r="C2" s="11">
        <v>1001</v>
      </c>
      <c r="D2" s="11"/>
      <c r="E2" s="43" t="s">
        <v>427</v>
      </c>
      <c r="F2" s="43" t="s">
        <v>410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457</v>
      </c>
      <c r="J3" s="13" t="s">
        <v>90</v>
      </c>
      <c r="K3" s="13"/>
      <c r="L3" s="13" t="s">
        <v>458</v>
      </c>
      <c r="M3" s="13" t="s">
        <v>459</v>
      </c>
      <c r="N3" s="13" t="s">
        <v>460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461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108</v>
      </c>
      <c r="B5" s="46">
        <v>3</v>
      </c>
      <c r="C5" s="47" t="s">
        <v>205</v>
      </c>
      <c r="D5" s="68" t="s">
        <v>99</v>
      </c>
      <c r="E5" s="46" t="s">
        <v>441</v>
      </c>
      <c r="F5" s="48">
        <f>10.7639 *((3.8+4.25)*2.7)</f>
        <v>233.95336650000002</v>
      </c>
      <c r="G5" s="44">
        <v>78</v>
      </c>
      <c r="H5" s="46">
        <v>95</v>
      </c>
      <c r="I5" s="49">
        <f t="shared" ref="I5:I10" si="0">H5-G5</f>
        <v>17</v>
      </c>
      <c r="J5" s="46">
        <v>7.2999999999999995E-2</v>
      </c>
      <c r="K5" s="46" t="str">
        <f>_xlfn.UNICHAR(8596)</f>
        <v>↔</v>
      </c>
      <c r="L5" s="50">
        <f t="shared" ref="L5:L10" si="1">F5*I5*J5</f>
        <v>290.33612782649999</v>
      </c>
      <c r="M5" s="49"/>
      <c r="N5" s="50">
        <f t="shared" ref="N5:N10" si="2">L5+M5</f>
        <v>290.33612782649999</v>
      </c>
      <c r="O5" s="46">
        <v>70</v>
      </c>
      <c r="P5" s="46">
        <v>70</v>
      </c>
      <c r="Q5" s="49">
        <f t="shared" ref="Q5:Q10" si="3">O5-P5</f>
        <v>0</v>
      </c>
      <c r="R5" s="46"/>
      <c r="S5" s="46"/>
      <c r="T5" s="51">
        <f t="shared" ref="T5:T10" si="4">F5*Q5*R5</f>
        <v>0</v>
      </c>
    </row>
    <row r="6" spans="1:20" x14ac:dyDescent="0.3">
      <c r="A6" s="53" t="s">
        <v>190</v>
      </c>
      <c r="B6" s="46">
        <v>6</v>
      </c>
      <c r="C6" s="67" t="s">
        <v>104</v>
      </c>
      <c r="D6" s="46" t="s">
        <v>99</v>
      </c>
      <c r="E6" s="46" t="s">
        <v>462</v>
      </c>
      <c r="F6" s="48">
        <f>10.7639 *((1.2+1)*2.7)</f>
        <v>63.937566000000011</v>
      </c>
      <c r="G6" s="44">
        <v>78</v>
      </c>
      <c r="H6" s="46">
        <v>80</v>
      </c>
      <c r="I6" s="49">
        <f t="shared" si="0"/>
        <v>2</v>
      </c>
      <c r="J6" s="46">
        <v>0.313</v>
      </c>
      <c r="K6" s="46" t="str">
        <f>_xlfn.UNICHAR(8596)</f>
        <v>↔</v>
      </c>
      <c r="L6" s="50">
        <f t="shared" si="1"/>
        <v>40.024916316000009</v>
      </c>
      <c r="M6" s="49"/>
      <c r="N6" s="50">
        <f t="shared" si="2"/>
        <v>40.024916316000009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419</v>
      </c>
      <c r="B7" s="46">
        <v>6</v>
      </c>
      <c r="C7" s="67" t="s">
        <v>104</v>
      </c>
      <c r="D7" s="46" t="s">
        <v>99</v>
      </c>
      <c r="E7" s="46" t="s">
        <v>393</v>
      </c>
      <c r="F7" s="48">
        <f>10.7639 *(1.4*2.7)</f>
        <v>40.687541999999993</v>
      </c>
      <c r="G7" s="44">
        <v>78</v>
      </c>
      <c r="H7" s="46">
        <v>85</v>
      </c>
      <c r="I7" s="49">
        <f t="shared" si="0"/>
        <v>7</v>
      </c>
      <c r="J7" s="46">
        <v>0.313</v>
      </c>
      <c r="K7" s="46" t="str">
        <f>_xlfn.UNICHAR(8596)</f>
        <v>↔</v>
      </c>
      <c r="L7" s="50">
        <f t="shared" si="1"/>
        <v>89.146404521999983</v>
      </c>
      <c r="M7" s="49"/>
      <c r="N7" s="50">
        <f t="shared" si="2"/>
        <v>89.146404521999983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x14ac:dyDescent="0.3">
      <c r="A8" s="53" t="s">
        <v>108</v>
      </c>
      <c r="B8" s="46">
        <v>1</v>
      </c>
      <c r="C8" s="67" t="s">
        <v>175</v>
      </c>
      <c r="D8" s="46" t="s">
        <v>106</v>
      </c>
      <c r="E8" s="46"/>
      <c r="F8" s="48">
        <f>10.7639 *(6.429)</f>
        <v>69.201113100000001</v>
      </c>
      <c r="G8" s="44">
        <v>78</v>
      </c>
      <c r="H8" s="46">
        <v>95</v>
      </c>
      <c r="I8" s="49">
        <f t="shared" si="0"/>
        <v>17</v>
      </c>
      <c r="J8" s="46">
        <v>0.17100000000000001</v>
      </c>
      <c r="K8" s="46" t="str">
        <f>_xlfn.UNICHAR(8595)</f>
        <v>↓</v>
      </c>
      <c r="L8" s="50">
        <f t="shared" si="1"/>
        <v>201.1676357817</v>
      </c>
      <c r="M8" s="49"/>
      <c r="N8" s="50">
        <f t="shared" si="2"/>
        <v>201.1676357817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190</v>
      </c>
      <c r="B9" s="46">
        <v>2</v>
      </c>
      <c r="C9" s="67" t="s">
        <v>175</v>
      </c>
      <c r="D9" s="46" t="s">
        <v>90</v>
      </c>
      <c r="E9" s="46"/>
      <c r="F9" s="48">
        <f>10.7639 *(0.39)</f>
        <v>4.197921</v>
      </c>
      <c r="G9" s="44">
        <v>78</v>
      </c>
      <c r="H9" s="46">
        <v>80</v>
      </c>
      <c r="I9" s="49">
        <f t="shared" si="0"/>
        <v>2</v>
      </c>
      <c r="J9" s="46">
        <v>0.17100000000000001</v>
      </c>
      <c r="K9" s="46" t="str">
        <f>_xlfn.UNICHAR(8593)</f>
        <v>↑</v>
      </c>
      <c r="L9" s="50">
        <f t="shared" si="1"/>
        <v>1.4356889820000001</v>
      </c>
      <c r="M9" s="49"/>
      <c r="N9" s="50">
        <f t="shared" si="2"/>
        <v>1.4356889820000001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x14ac:dyDescent="0.3">
      <c r="A10" s="53" t="s">
        <v>344</v>
      </c>
      <c r="B10" s="46">
        <v>2</v>
      </c>
      <c r="C10" s="67" t="s">
        <v>175</v>
      </c>
      <c r="D10" s="46" t="s">
        <v>90</v>
      </c>
      <c r="E10" s="46"/>
      <c r="F10" s="48">
        <f>10.7639 * (1.365)</f>
        <v>14.6927235</v>
      </c>
      <c r="G10" s="44">
        <v>78</v>
      </c>
      <c r="H10" s="46">
        <v>85</v>
      </c>
      <c r="I10" s="49">
        <f t="shared" si="0"/>
        <v>7</v>
      </c>
      <c r="J10" s="46">
        <v>0.17100000000000001</v>
      </c>
      <c r="K10" s="46" t="str">
        <f>_xlfn.UNICHAR(8593)</f>
        <v>↑</v>
      </c>
      <c r="L10" s="50">
        <f t="shared" si="1"/>
        <v>17.5871900295</v>
      </c>
      <c r="M10" s="44"/>
      <c r="N10" s="50">
        <f t="shared" si="2"/>
        <v>17.5871900295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/>
      <c r="B11" s="46"/>
      <c r="C11" s="67"/>
      <c r="D11" s="46"/>
      <c r="E11" s="46"/>
      <c r="F11" s="48"/>
      <c r="G11" s="44"/>
      <c r="H11" s="46"/>
      <c r="I11" s="49"/>
      <c r="J11" s="46"/>
      <c r="K11" s="46"/>
      <c r="L11" s="50"/>
      <c r="M11" s="44"/>
      <c r="N11" s="50"/>
      <c r="O11" s="46"/>
      <c r="P11" s="46"/>
      <c r="Q11" s="49"/>
      <c r="R11" s="46"/>
      <c r="S11" s="46"/>
      <c r="T11" s="51"/>
    </row>
    <row r="12" spans="1:20" x14ac:dyDescent="0.3">
      <c r="A12" s="53"/>
      <c r="B12" s="46"/>
      <c r="C12" s="67"/>
      <c r="D12" s="46"/>
      <c r="E12" s="44"/>
      <c r="F12" s="48"/>
      <c r="G12" s="44"/>
      <c r="H12" s="46"/>
      <c r="I12" s="49"/>
      <c r="J12" s="46"/>
      <c r="K12" s="46"/>
      <c r="L12" s="50"/>
      <c r="M12" s="44"/>
      <c r="N12" s="50"/>
      <c r="O12" s="46"/>
      <c r="P12" s="46"/>
      <c r="Q12" s="49"/>
      <c r="R12" s="46"/>
      <c r="S12" s="46"/>
      <c r="T12" s="51"/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2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2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2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639.69796345769998</v>
      </c>
      <c r="O19" s="44"/>
      <c r="P19" s="44"/>
      <c r="Q19" s="44"/>
      <c r="R19" s="44"/>
      <c r="S19" s="44"/>
      <c r="T19" s="50">
        <f>SUM(T5:T18)</f>
        <v>0</v>
      </c>
    </row>
    <row r="20" spans="1:22" x14ac:dyDescent="0.3">
      <c r="A20" s="53" t="s">
        <v>110</v>
      </c>
      <c r="B20" s="44"/>
      <c r="C20" s="44"/>
      <c r="D20" s="44"/>
      <c r="E20" s="44"/>
      <c r="F20" s="46">
        <f>(10.7639 * (0.6*0.5))*3</f>
        <v>9.6875099999999996</v>
      </c>
      <c r="G20" s="44"/>
      <c r="H20" s="44"/>
      <c r="I20" s="44"/>
      <c r="J20" s="44"/>
      <c r="K20" s="44"/>
      <c r="L20" s="46">
        <f>F20*160</f>
        <v>1550.0016000000001</v>
      </c>
      <c r="M20" s="44"/>
      <c r="N20" s="50">
        <f>L20+M20</f>
        <v>1550.0016000000001</v>
      </c>
      <c r="O20" s="44"/>
      <c r="P20" s="44"/>
      <c r="Q20" s="44"/>
      <c r="R20" s="44"/>
      <c r="S20" s="44"/>
      <c r="T20" s="50"/>
    </row>
    <row r="21" spans="1:22" x14ac:dyDescent="0.3">
      <c r="A21" s="53" t="s">
        <v>111</v>
      </c>
      <c r="B21" s="44">
        <v>7</v>
      </c>
      <c r="C21" s="44"/>
      <c r="D21" s="44"/>
      <c r="E21" s="44"/>
      <c r="F21" s="48">
        <f>10.7639 * (19.22)</f>
        <v>206.88215799999998</v>
      </c>
      <c r="G21" s="44"/>
      <c r="H21" s="44"/>
      <c r="I21" s="44"/>
      <c r="J21" s="44"/>
      <c r="K21" s="44"/>
      <c r="L21" s="46">
        <f>4*F21</f>
        <v>827.5286319999999</v>
      </c>
      <c r="M21" s="44"/>
      <c r="N21" s="50">
        <f>L21+M21</f>
        <v>827.5286319999999</v>
      </c>
      <c r="O21" s="44"/>
      <c r="P21" s="44"/>
      <c r="Q21" s="44"/>
      <c r="R21" s="44"/>
      <c r="S21" s="44"/>
      <c r="T21" s="54"/>
    </row>
    <row r="22" spans="1:22" x14ac:dyDescent="0.3">
      <c r="A22" s="53" t="s">
        <v>111</v>
      </c>
      <c r="B22" s="44">
        <v>7</v>
      </c>
      <c r="C22" s="44"/>
      <c r="D22" s="44"/>
      <c r="E22" s="44"/>
      <c r="F22" s="48">
        <f>10.7639 * (19.22)</f>
        <v>206.88215799999998</v>
      </c>
      <c r="G22" s="44"/>
      <c r="H22" s="44"/>
      <c r="I22" s="44"/>
      <c r="J22" s="44"/>
      <c r="K22" s="44"/>
      <c r="L22" s="46">
        <f>V22*3.412*0.9</f>
        <v>61.415999999999997</v>
      </c>
      <c r="M22" s="44"/>
      <c r="N22" s="54"/>
      <c r="O22" s="44"/>
      <c r="P22" s="44"/>
      <c r="Q22" s="44"/>
      <c r="R22" s="44"/>
      <c r="S22" s="44"/>
      <c r="T22" s="54"/>
      <c r="U22" s="41">
        <f>F22/10.7639*150</f>
        <v>2883</v>
      </c>
      <c r="V22" s="41">
        <v>20</v>
      </c>
    </row>
    <row r="23" spans="1:22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2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2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2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2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2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2" x14ac:dyDescent="0.3">
      <c r="A29" s="52" t="s">
        <v>115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50">
        <f>SUM(L5:L28)</f>
        <v>3393.6441954577003</v>
      </c>
      <c r="M29" s="49">
        <f>SUM(M5:M28)</f>
        <v>485</v>
      </c>
      <c r="N29" s="50">
        <f>SUM(N19:N28)</f>
        <v>3817.2281954577002</v>
      </c>
      <c r="O29" s="44"/>
      <c r="P29" s="44"/>
      <c r="Q29" s="44"/>
      <c r="R29" s="44"/>
      <c r="S29" s="44"/>
      <c r="T29" s="50">
        <f>SUM(T19:T28)</f>
        <v>0</v>
      </c>
    </row>
    <row r="30" spans="1:22" x14ac:dyDescent="0.3">
      <c r="A30" s="52" t="s">
        <v>115</v>
      </c>
      <c r="B30" s="44"/>
      <c r="C30" s="44"/>
      <c r="D30" s="44"/>
      <c r="E30" s="44"/>
      <c r="F30" s="44"/>
      <c r="G30" s="10">
        <f>N29+T29</f>
        <v>3817.2281954577002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hidden="1" x14ac:dyDescent="0.3">
      <c r="E33" s="44" t="s">
        <v>116</v>
      </c>
      <c r="F33" s="44">
        <v>25</v>
      </c>
      <c r="G33" s="26" t="s">
        <v>117</v>
      </c>
    </row>
    <row r="34" spans="1:20" hidden="1" x14ac:dyDescent="0.3">
      <c r="E34" s="44" t="s">
        <v>118</v>
      </c>
      <c r="F34" s="44">
        <f>15*1</f>
        <v>15</v>
      </c>
      <c r="G34" s="44"/>
    </row>
    <row r="35" spans="1:20" hidden="1" x14ac:dyDescent="0.3">
      <c r="E35" s="44" t="s">
        <v>119</v>
      </c>
      <c r="F35" s="48">
        <f>$F$21</f>
        <v>206.88215799999998</v>
      </c>
      <c r="G35" s="44" t="s">
        <v>120</v>
      </c>
    </row>
    <row r="36" spans="1:20" hidden="1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hidden="1" x14ac:dyDescent="0.3">
      <c r="E37" s="44" t="s">
        <v>123</v>
      </c>
      <c r="F37" s="49">
        <f>F35*F36</f>
        <v>1832.617599982344</v>
      </c>
      <c r="G37" s="44" t="s">
        <v>124</v>
      </c>
    </row>
    <row r="38" spans="1:20" hidden="1" x14ac:dyDescent="0.3">
      <c r="E38" s="44" t="s">
        <v>125</v>
      </c>
      <c r="F38" s="56">
        <f>F37/30</f>
        <v>61.087253332744801</v>
      </c>
      <c r="G38" s="44" t="s">
        <v>126</v>
      </c>
    </row>
    <row r="39" spans="1:20" hidden="1" x14ac:dyDescent="0.3">
      <c r="E39" s="44" t="s">
        <v>127</v>
      </c>
      <c r="F39" s="50">
        <f>SUM($L$5:$L$28)</f>
        <v>3393.6441954577003</v>
      </c>
      <c r="G39" s="44" t="s">
        <v>128</v>
      </c>
    </row>
    <row r="40" spans="1:20" hidden="1" x14ac:dyDescent="0.3">
      <c r="E40" s="44" t="s">
        <v>129</v>
      </c>
      <c r="F40" s="49">
        <f>SUM($M$5:$M$28)</f>
        <v>485</v>
      </c>
      <c r="G40" s="44" t="s">
        <v>128</v>
      </c>
    </row>
    <row r="41" spans="1:20" hidden="1" x14ac:dyDescent="0.3">
      <c r="E41" s="44" t="s">
        <v>130</v>
      </c>
      <c r="F41" s="50">
        <f>$N$29</f>
        <v>3817.2281954577002</v>
      </c>
      <c r="G41" s="44" t="s">
        <v>128</v>
      </c>
    </row>
    <row r="42" spans="1:20" hidden="1" x14ac:dyDescent="0.3">
      <c r="E42" s="44" t="s">
        <v>131</v>
      </c>
      <c r="F42" s="50">
        <f>$T$29</f>
        <v>0</v>
      </c>
      <c r="G42" s="44" t="s">
        <v>128</v>
      </c>
    </row>
    <row r="43" spans="1:20" hidden="1" x14ac:dyDescent="0.3">
      <c r="E43" s="44" t="s">
        <v>132</v>
      </c>
      <c r="F43" s="56">
        <f>F39/(1.08*F33)</f>
        <v>125.69052575769261</v>
      </c>
      <c r="G43" s="44" t="s">
        <v>126</v>
      </c>
    </row>
    <row r="44" spans="1:20" hidden="1" x14ac:dyDescent="0.3">
      <c r="E44" s="44" t="s">
        <v>126</v>
      </c>
      <c r="F44" s="57">
        <f>ROUNDUP(F43,0)</f>
        <v>126</v>
      </c>
      <c r="G44" s="44" t="s">
        <v>126</v>
      </c>
    </row>
    <row r="45" spans="1:20" hidden="1" x14ac:dyDescent="0.3">
      <c r="E45" s="44" t="s">
        <v>133</v>
      </c>
      <c r="F45" s="50">
        <f>F44*0.0002930711</f>
        <v>3.6926958599999997E-2</v>
      </c>
      <c r="G45" s="44" t="s">
        <v>134</v>
      </c>
    </row>
    <row r="46" spans="1:20" hidden="1" x14ac:dyDescent="0.3">
      <c r="E46" s="44" t="s">
        <v>135</v>
      </c>
      <c r="F46" s="50">
        <f>F39/F41</f>
        <v>0.88903361855493934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147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152</v>
      </c>
      <c r="D50" s="44" t="s">
        <v>148</v>
      </c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156</v>
      </c>
      <c r="D51" s="44"/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 t="s">
        <v>463</v>
      </c>
      <c r="D52" s="44" t="s">
        <v>148</v>
      </c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ht="13.5" customHeight="1" x14ac:dyDescent="0.3">
      <c r="A57" s="60"/>
      <c r="B57" s="60"/>
      <c r="C57" s="60"/>
      <c r="D57" s="60"/>
      <c r="E57" s="62"/>
      <c r="F57" s="62"/>
      <c r="G57" s="60"/>
      <c r="H57" s="60"/>
      <c r="I57" s="60"/>
      <c r="J57" s="60"/>
      <c r="K57" s="60"/>
      <c r="L57" s="60"/>
      <c r="M57" s="60"/>
      <c r="N57" s="60"/>
      <c r="O57" s="66"/>
      <c r="P57" s="66"/>
      <c r="Q57" s="66"/>
      <c r="R57" s="66"/>
      <c r="S57" s="66"/>
      <c r="T57" s="66"/>
    </row>
    <row r="58" spans="1:20" x14ac:dyDescent="0.3">
      <c r="A58" s="41"/>
      <c r="B58" s="41"/>
      <c r="C58" s="41"/>
      <c r="D58" s="41"/>
      <c r="E58" s="39"/>
      <c r="F58" s="39"/>
      <c r="G58" s="60"/>
      <c r="H58" s="60"/>
      <c r="I58" s="60"/>
      <c r="J58" s="60"/>
      <c r="K58" s="60"/>
      <c r="L58" s="60"/>
      <c r="M58" s="60"/>
      <c r="N58" s="60"/>
      <c r="O58" s="66"/>
      <c r="P58" s="66"/>
      <c r="Q58" s="66"/>
      <c r="R58" s="66"/>
      <c r="S58" s="66"/>
      <c r="T58" s="66"/>
    </row>
    <row r="59" spans="1:20" x14ac:dyDescent="0.3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</row>
    <row r="60" spans="1:20" x14ac:dyDescent="0.3">
      <c r="A60" s="60"/>
      <c r="B60" s="60"/>
      <c r="C60" s="60"/>
      <c r="D60" s="60"/>
      <c r="E60" s="60"/>
      <c r="F60" s="60"/>
      <c r="G60" s="60"/>
      <c r="H60" s="60"/>
      <c r="I60" s="60"/>
      <c r="L60" s="60"/>
      <c r="M60" s="60"/>
      <c r="N60" s="60"/>
      <c r="O60" s="60"/>
      <c r="P60" s="60"/>
      <c r="Q60" s="60"/>
      <c r="T60" s="60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F68" s="61"/>
      <c r="L68" s="61"/>
    </row>
    <row r="69" spans="1:20" x14ac:dyDescent="0.3">
      <c r="F69" s="61"/>
      <c r="L69" s="61"/>
    </row>
    <row r="70" spans="1:20" x14ac:dyDescent="0.3">
      <c r="A70" s="62"/>
      <c r="N70" s="61"/>
    </row>
    <row r="71" spans="1:20" x14ac:dyDescent="0.3">
      <c r="F71" s="61"/>
    </row>
    <row r="74" spans="1:20" x14ac:dyDescent="0.3">
      <c r="A74" s="62"/>
    </row>
    <row r="75" spans="1:20" x14ac:dyDescent="0.3">
      <c r="A75" s="62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</row>
    <row r="89" spans="1:20" x14ac:dyDescent="0.3">
      <c r="A89" s="41"/>
      <c r="B89" s="41"/>
      <c r="C89" s="41"/>
      <c r="D89" s="41"/>
      <c r="E89" s="41"/>
      <c r="F89" s="41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E93" s="39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</row>
    <row r="94" spans="1:20" x14ac:dyDescent="0.3">
      <c r="E94" s="39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</row>
    <row r="95" spans="1:20" x14ac:dyDescent="0.3">
      <c r="A95" s="65"/>
      <c r="B95" s="65"/>
      <c r="C95" s="65"/>
      <c r="D95" s="65"/>
      <c r="E95" s="65"/>
      <c r="F95" s="65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</row>
    <row r="96" spans="1:20" x14ac:dyDescent="0.3">
      <c r="A96" s="65"/>
      <c r="B96" s="65"/>
      <c r="C96" s="65"/>
      <c r="D96" s="65"/>
      <c r="E96" s="65"/>
      <c r="F96" s="65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39"/>
      <c r="S96" s="41"/>
      <c r="T96" s="41"/>
    </row>
    <row r="97" spans="1:20" ht="13.5" customHeight="1" x14ac:dyDescent="0.3">
      <c r="A97" s="60"/>
      <c r="B97" s="60"/>
      <c r="C97" s="60"/>
      <c r="D97" s="60"/>
      <c r="E97" s="62"/>
      <c r="F97" s="62"/>
      <c r="G97" s="60"/>
      <c r="H97" s="60"/>
      <c r="I97" s="60"/>
      <c r="J97" s="60"/>
      <c r="K97" s="60"/>
      <c r="L97" s="60"/>
      <c r="M97" s="60"/>
      <c r="N97" s="60"/>
      <c r="O97" s="66"/>
      <c r="P97" s="66"/>
      <c r="Q97" s="66"/>
      <c r="R97" s="66"/>
      <c r="S97" s="66"/>
      <c r="T97" s="66"/>
    </row>
    <row r="98" spans="1:20" x14ac:dyDescent="0.3">
      <c r="A98" s="41"/>
      <c r="B98" s="41"/>
      <c r="C98" s="41"/>
      <c r="D98" s="41"/>
      <c r="E98" s="39"/>
      <c r="F98" s="39"/>
      <c r="G98" s="60"/>
      <c r="H98" s="60"/>
      <c r="I98" s="60"/>
      <c r="J98" s="60"/>
      <c r="K98" s="60"/>
      <c r="L98" s="60"/>
      <c r="M98" s="60"/>
      <c r="N98" s="60"/>
      <c r="O98" s="66"/>
      <c r="P98" s="66"/>
      <c r="Q98" s="66"/>
      <c r="R98" s="66"/>
      <c r="S98" s="66"/>
      <c r="T98" s="66"/>
    </row>
    <row r="99" spans="1:20" x14ac:dyDescent="0.3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</row>
    <row r="100" spans="1:20" x14ac:dyDescent="0.3">
      <c r="A100" s="60"/>
      <c r="B100" s="60"/>
      <c r="C100" s="60"/>
      <c r="D100" s="60"/>
      <c r="E100" s="60"/>
      <c r="F100" s="60"/>
      <c r="G100" s="60"/>
      <c r="H100" s="60"/>
      <c r="I100" s="60"/>
      <c r="L100" s="60"/>
      <c r="M100" s="60"/>
      <c r="N100" s="60"/>
      <c r="O100" s="60"/>
      <c r="P100" s="60"/>
      <c r="Q100" s="60"/>
      <c r="T100" s="60"/>
    </row>
    <row r="129" spans="1:20" x14ac:dyDescent="0.3">
      <c r="A129" s="41"/>
      <c r="B129" s="41"/>
      <c r="C129" s="41"/>
      <c r="D129" s="41"/>
      <c r="E129" s="41"/>
      <c r="F129" s="41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E133" s="39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</row>
    <row r="134" spans="1:20" x14ac:dyDescent="0.3">
      <c r="E134" s="39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</row>
    <row r="135" spans="1:20" x14ac:dyDescent="0.3">
      <c r="A135" s="65"/>
      <c r="B135" s="65"/>
      <c r="C135" s="65"/>
      <c r="D135" s="65"/>
      <c r="E135" s="65"/>
      <c r="F135" s="65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</row>
    <row r="136" spans="1:20" x14ac:dyDescent="0.3">
      <c r="A136" s="65"/>
      <c r="B136" s="65"/>
      <c r="C136" s="65"/>
      <c r="D136" s="65"/>
      <c r="E136" s="65"/>
      <c r="F136" s="65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39"/>
      <c r="S136" s="41"/>
      <c r="T136" s="41"/>
    </row>
    <row r="137" spans="1:20" ht="13.5" customHeight="1" x14ac:dyDescent="0.3">
      <c r="A137" s="60"/>
      <c r="B137" s="60"/>
      <c r="C137" s="60"/>
      <c r="D137" s="60"/>
      <c r="E137" s="62"/>
      <c r="F137" s="62"/>
      <c r="G137" s="60"/>
      <c r="H137" s="60"/>
      <c r="I137" s="60"/>
      <c r="J137" s="60"/>
      <c r="K137" s="60"/>
      <c r="L137" s="60"/>
      <c r="M137" s="60"/>
      <c r="N137" s="60"/>
      <c r="O137" s="66"/>
      <c r="P137" s="66"/>
      <c r="Q137" s="66"/>
      <c r="R137" s="66"/>
      <c r="S137" s="66"/>
      <c r="T137" s="66"/>
    </row>
    <row r="138" spans="1:20" x14ac:dyDescent="0.3">
      <c r="A138" s="41"/>
      <c r="B138" s="41"/>
      <c r="C138" s="41"/>
      <c r="D138" s="41"/>
      <c r="E138" s="39"/>
      <c r="F138" s="39"/>
      <c r="G138" s="60"/>
      <c r="H138" s="60"/>
      <c r="I138" s="60"/>
      <c r="J138" s="60"/>
      <c r="K138" s="60"/>
      <c r="L138" s="60"/>
      <c r="M138" s="60"/>
      <c r="N138" s="60"/>
      <c r="O138" s="66"/>
      <c r="P138" s="66"/>
      <c r="Q138" s="66"/>
      <c r="R138" s="66"/>
      <c r="S138" s="66"/>
      <c r="T138" s="66"/>
    </row>
    <row r="139" spans="1:20" x14ac:dyDescent="0.3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</row>
    <row r="140" spans="1:20" x14ac:dyDescent="0.3">
      <c r="A140" s="60"/>
      <c r="B140" s="60"/>
      <c r="C140" s="60"/>
      <c r="D140" s="60"/>
      <c r="E140" s="60"/>
      <c r="F140" s="60"/>
      <c r="G140" s="60"/>
      <c r="H140" s="60"/>
      <c r="I140" s="60"/>
      <c r="L140" s="60"/>
      <c r="M140" s="60"/>
      <c r="N140" s="60"/>
      <c r="O140" s="60"/>
      <c r="P140" s="60"/>
      <c r="Q140" s="60"/>
      <c r="T140" s="60"/>
    </row>
    <row r="169" spans="1:20" x14ac:dyDescent="0.3">
      <c r="A169" s="41"/>
      <c r="B169" s="41"/>
      <c r="C169" s="41"/>
      <c r="D169" s="41"/>
      <c r="E169" s="41"/>
      <c r="F169" s="41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E173" s="39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</row>
    <row r="174" spans="1:20" x14ac:dyDescent="0.3">
      <c r="E174" s="39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</row>
    <row r="175" spans="1:20" x14ac:dyDescent="0.3">
      <c r="A175" s="65"/>
      <c r="B175" s="65"/>
      <c r="C175" s="65"/>
      <c r="D175" s="65"/>
      <c r="E175" s="65"/>
      <c r="F175" s="65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</row>
    <row r="176" spans="1:20" x14ac:dyDescent="0.3">
      <c r="A176" s="65"/>
      <c r="B176" s="65"/>
      <c r="C176" s="65"/>
      <c r="D176" s="65"/>
      <c r="E176" s="65"/>
      <c r="F176" s="65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39"/>
      <c r="S176" s="41"/>
      <c r="T176" s="41"/>
    </row>
    <row r="177" spans="1:20" x14ac:dyDescent="0.3">
      <c r="A177" s="60"/>
      <c r="B177" s="60"/>
      <c r="C177" s="60"/>
      <c r="D177" s="60"/>
      <c r="E177" s="62"/>
      <c r="F177" s="62"/>
      <c r="G177" s="60"/>
      <c r="H177" s="60"/>
      <c r="I177" s="60"/>
      <c r="J177" s="60"/>
      <c r="K177" s="60"/>
      <c r="L177" s="60"/>
      <c r="M177" s="60"/>
      <c r="N177" s="60"/>
      <c r="O177" s="66"/>
      <c r="P177" s="66"/>
      <c r="Q177" s="66"/>
      <c r="R177" s="66"/>
      <c r="S177" s="66"/>
      <c r="T177" s="66"/>
    </row>
    <row r="178" spans="1:20" x14ac:dyDescent="0.3">
      <c r="A178" s="41"/>
      <c r="B178" s="41"/>
      <c r="C178" s="41"/>
      <c r="D178" s="41"/>
      <c r="E178" s="39"/>
      <c r="F178" s="39"/>
      <c r="G178" s="60"/>
      <c r="H178" s="60"/>
      <c r="I178" s="60"/>
      <c r="J178" s="60"/>
      <c r="K178" s="60"/>
      <c r="L178" s="60"/>
      <c r="M178" s="60"/>
      <c r="N178" s="60"/>
      <c r="O178" s="66"/>
      <c r="P178" s="66"/>
      <c r="Q178" s="66"/>
      <c r="R178" s="66"/>
      <c r="S178" s="66"/>
      <c r="T178" s="66"/>
    </row>
    <row r="179" spans="1:20" x14ac:dyDescent="0.3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</row>
    <row r="180" spans="1:20" x14ac:dyDescent="0.3">
      <c r="A180" s="60"/>
      <c r="B180" s="60"/>
      <c r="C180" s="60"/>
      <c r="D180" s="60"/>
      <c r="E180" s="60"/>
      <c r="F180" s="60"/>
      <c r="G180" s="60"/>
      <c r="H180" s="60"/>
      <c r="I180" s="60"/>
      <c r="L180" s="60"/>
      <c r="M180" s="60"/>
      <c r="N180" s="60"/>
      <c r="O180" s="60"/>
      <c r="P180" s="60"/>
      <c r="Q180" s="60"/>
      <c r="T180" s="60"/>
    </row>
    <row r="209" spans="1:20" x14ac:dyDescent="0.3">
      <c r="A209" s="41"/>
      <c r="B209" s="41"/>
      <c r="C209" s="41"/>
      <c r="D209" s="41"/>
      <c r="E209" s="41"/>
      <c r="F209" s="41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E213" s="39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</row>
    <row r="214" spans="1:20" x14ac:dyDescent="0.3">
      <c r="E214" s="39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</row>
    <row r="215" spans="1:20" x14ac:dyDescent="0.3">
      <c r="A215" s="65"/>
      <c r="B215" s="65"/>
      <c r="C215" s="65"/>
      <c r="D215" s="65"/>
      <c r="E215" s="65"/>
      <c r="F215" s="65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</row>
    <row r="216" spans="1:20" x14ac:dyDescent="0.3">
      <c r="A216" s="65"/>
      <c r="B216" s="65"/>
      <c r="C216" s="65"/>
      <c r="D216" s="65"/>
      <c r="E216" s="65"/>
      <c r="F216" s="65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39"/>
      <c r="S216" s="41"/>
      <c r="T216" s="41"/>
    </row>
    <row r="217" spans="1:20" x14ac:dyDescent="0.3">
      <c r="A217" s="60"/>
      <c r="B217" s="60"/>
      <c r="C217" s="60"/>
      <c r="D217" s="60"/>
      <c r="E217" s="62"/>
      <c r="F217" s="62"/>
      <c r="G217" s="60"/>
      <c r="H217" s="60"/>
      <c r="I217" s="60"/>
      <c r="J217" s="60"/>
      <c r="K217" s="60"/>
      <c r="L217" s="60"/>
      <c r="M217" s="60"/>
      <c r="N217" s="60"/>
      <c r="O217" s="66"/>
      <c r="P217" s="66"/>
      <c r="Q217" s="66"/>
      <c r="R217" s="66"/>
      <c r="S217" s="66"/>
      <c r="T217" s="66"/>
    </row>
    <row r="218" spans="1:20" x14ac:dyDescent="0.3">
      <c r="A218" s="41"/>
      <c r="B218" s="41"/>
      <c r="C218" s="41"/>
      <c r="D218" s="41"/>
      <c r="E218" s="39"/>
      <c r="F218" s="39"/>
      <c r="G218" s="60"/>
      <c r="H218" s="60"/>
      <c r="I218" s="60"/>
      <c r="J218" s="60"/>
      <c r="K218" s="60"/>
      <c r="L218" s="60"/>
      <c r="M218" s="60"/>
      <c r="N218" s="60"/>
      <c r="O218" s="66"/>
      <c r="P218" s="66"/>
      <c r="Q218" s="66"/>
      <c r="R218" s="66"/>
      <c r="S218" s="66"/>
      <c r="T218" s="66"/>
    </row>
    <row r="219" spans="1:20" x14ac:dyDescent="0.3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</row>
    <row r="220" spans="1:20" x14ac:dyDescent="0.3">
      <c r="A220" s="60"/>
      <c r="B220" s="60"/>
      <c r="C220" s="60"/>
      <c r="D220" s="60"/>
      <c r="E220" s="60"/>
      <c r="F220" s="60"/>
      <c r="G220" s="60"/>
      <c r="H220" s="60"/>
      <c r="I220" s="60"/>
      <c r="L220" s="60"/>
      <c r="M220" s="60"/>
      <c r="N220" s="60"/>
      <c r="O220" s="60"/>
      <c r="P220" s="60"/>
      <c r="Q220" s="60"/>
      <c r="T220" s="60"/>
    </row>
    <row r="249" spans="1:20" x14ac:dyDescent="0.3">
      <c r="A249" s="41"/>
      <c r="B249" s="41"/>
      <c r="C249" s="41"/>
      <c r="D249" s="41"/>
      <c r="E249" s="41"/>
      <c r="F249" s="41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E253" s="39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</row>
    <row r="254" spans="1:20" x14ac:dyDescent="0.3">
      <c r="E254" s="39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</row>
    <row r="255" spans="1:20" x14ac:dyDescent="0.3">
      <c r="A255" s="65"/>
      <c r="B255" s="65"/>
      <c r="C255" s="65"/>
      <c r="D255" s="65"/>
      <c r="E255" s="65"/>
      <c r="F255" s="65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</row>
    <row r="256" spans="1:20" x14ac:dyDescent="0.3">
      <c r="A256" s="65"/>
      <c r="B256" s="65"/>
      <c r="C256" s="65"/>
      <c r="D256" s="65"/>
      <c r="E256" s="65"/>
      <c r="F256" s="65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39"/>
      <c r="S256" s="41"/>
      <c r="T256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5" manualBreakCount="5">
    <brk id="56" max="16383" man="1"/>
    <brk id="96" max="16383" man="1"/>
    <brk id="136" max="16383" man="1"/>
    <brk id="176" max="16383" man="1"/>
    <brk id="216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99FF99"/>
  </sheetPr>
  <dimension ref="A1:T254"/>
  <sheetViews>
    <sheetView zoomScale="95" zoomScaleNormal="95" workbookViewId="0">
      <selection activeCell="K7" sqref="K7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hidden="1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8.77734375" style="40" customWidth="1"/>
    <col min="13" max="13" width="5.109375" style="40" customWidth="1"/>
    <col min="14" max="14" width="9.77734375" style="40" customWidth="1"/>
    <col min="15" max="15" width="3" style="40" hidden="1" customWidth="1"/>
    <col min="16" max="16" width="3.21875" style="40" hidden="1" customWidth="1"/>
    <col min="17" max="17" width="3.5546875" style="40" hidden="1" customWidth="1"/>
    <col min="18" max="18" width="7.44140625" style="40" hidden="1" customWidth="1"/>
    <col min="19" max="19" width="4.44140625" style="40" hidden="1" customWidth="1"/>
    <col min="20" max="20" width="5.5546875" style="40" hidden="1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464</v>
      </c>
      <c r="B2" s="11"/>
      <c r="C2" s="11">
        <v>1001</v>
      </c>
      <c r="D2" s="11"/>
      <c r="E2" s="43" t="s">
        <v>427</v>
      </c>
      <c r="F2" s="43" t="s">
        <v>443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457</v>
      </c>
      <c r="J3" s="13" t="s">
        <v>90</v>
      </c>
      <c r="K3" s="13"/>
      <c r="L3" s="13" t="s">
        <v>458</v>
      </c>
      <c r="M3" s="13" t="s">
        <v>459</v>
      </c>
      <c r="N3" s="13" t="s">
        <v>460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x14ac:dyDescent="0.3">
      <c r="A5" s="53" t="s">
        <v>419</v>
      </c>
      <c r="B5" s="46">
        <v>6</v>
      </c>
      <c r="C5" s="67" t="s">
        <v>104</v>
      </c>
      <c r="D5" s="46" t="s">
        <v>99</v>
      </c>
      <c r="E5" s="46" t="s">
        <v>359</v>
      </c>
      <c r="F5" s="48">
        <f>10.7639*(1.1*2.7)</f>
        <v>31.968783000000006</v>
      </c>
      <c r="G5" s="44">
        <v>78</v>
      </c>
      <c r="H5" s="46">
        <v>85</v>
      </c>
      <c r="I5" s="49">
        <f>H5-G5</f>
        <v>7</v>
      </c>
      <c r="J5" s="46">
        <v>0.313</v>
      </c>
      <c r="K5" s="46" t="str">
        <f>_xlfn.UNICHAR(8596)</f>
        <v>↔</v>
      </c>
      <c r="L5" s="50">
        <f>F5*I5*J5</f>
        <v>70.043603553000011</v>
      </c>
      <c r="M5" s="49"/>
      <c r="N5" s="50">
        <f>L5+M5</f>
        <v>70.043603553000011</v>
      </c>
      <c r="O5" s="46">
        <v>70</v>
      </c>
      <c r="P5" s="46">
        <v>70</v>
      </c>
      <c r="Q5" s="49">
        <f>O5-P5</f>
        <v>0</v>
      </c>
      <c r="R5" s="46"/>
      <c r="S5" s="46"/>
      <c r="T5" s="51">
        <f>F5*Q5*R5</f>
        <v>0</v>
      </c>
    </row>
    <row r="6" spans="1:20" x14ac:dyDescent="0.3">
      <c r="A6" s="53" t="s">
        <v>108</v>
      </c>
      <c r="B6" s="46">
        <v>6</v>
      </c>
      <c r="C6" s="47" t="s">
        <v>205</v>
      </c>
      <c r="D6" s="68" t="s">
        <v>99</v>
      </c>
      <c r="E6" s="46" t="s">
        <v>439</v>
      </c>
      <c r="F6" s="48">
        <f>10.7639*(2.2*2.7)</f>
        <v>63.937566000000011</v>
      </c>
      <c r="G6" s="44">
        <v>78</v>
      </c>
      <c r="H6" s="46">
        <v>95</v>
      </c>
      <c r="I6" s="49">
        <f>H6-G6</f>
        <v>17</v>
      </c>
      <c r="J6" s="46">
        <v>6.3E-2</v>
      </c>
      <c r="K6" s="46" t="str">
        <f>_xlfn.UNICHAR(8596)</f>
        <v>↔</v>
      </c>
      <c r="L6" s="50">
        <f>F6*I6*J6</f>
        <v>68.477133186000003</v>
      </c>
      <c r="M6" s="49"/>
      <c r="N6" s="50">
        <f>L6+M6</f>
        <v>68.477133186000003</v>
      </c>
      <c r="O6" s="46">
        <v>70</v>
      </c>
      <c r="P6" s="46">
        <v>70</v>
      </c>
      <c r="Q6" s="49">
        <f>O6-P6</f>
        <v>0</v>
      </c>
      <c r="R6" s="46"/>
      <c r="S6" s="46"/>
      <c r="T6" s="50">
        <f>F6*Q6*R6</f>
        <v>0</v>
      </c>
    </row>
    <row r="7" spans="1:20" x14ac:dyDescent="0.3">
      <c r="A7" s="53" t="s">
        <v>108</v>
      </c>
      <c r="B7" s="46">
        <v>6</v>
      </c>
      <c r="C7" s="67" t="s">
        <v>175</v>
      </c>
      <c r="D7" s="46" t="s">
        <v>106</v>
      </c>
      <c r="E7" s="44"/>
      <c r="F7" s="48">
        <f>10.7639 *(0.057)</f>
        <v>0.61354229999999998</v>
      </c>
      <c r="G7" s="44">
        <v>78</v>
      </c>
      <c r="H7" s="46">
        <v>95</v>
      </c>
      <c r="I7" s="49">
        <f>H7-G7</f>
        <v>17</v>
      </c>
      <c r="J7" s="46">
        <v>0.17100000000000001</v>
      </c>
      <c r="K7" s="46" t="str">
        <f>_xlfn.UNICHAR(8595)</f>
        <v>↓</v>
      </c>
      <c r="L7" s="50">
        <f>F7*I7*J7</f>
        <v>1.7835674661000003</v>
      </c>
      <c r="M7" s="49"/>
      <c r="N7" s="50">
        <f>L7+M7</f>
        <v>1.7835674661000003</v>
      </c>
      <c r="O7" s="46">
        <v>70</v>
      </c>
      <c r="P7" s="46">
        <v>70</v>
      </c>
      <c r="Q7" s="49">
        <f>O7-P7</f>
        <v>0</v>
      </c>
      <c r="R7" s="46"/>
      <c r="S7" s="46"/>
      <c r="T7" s="51">
        <f>F7*Q7*R7</f>
        <v>0</v>
      </c>
    </row>
    <row r="8" spans="1:20" x14ac:dyDescent="0.3">
      <c r="A8" s="53"/>
      <c r="B8" s="46"/>
      <c r="C8" s="67"/>
      <c r="D8" s="46"/>
      <c r="E8" s="46"/>
      <c r="F8" s="48"/>
      <c r="G8" s="44"/>
      <c r="H8" s="46"/>
      <c r="I8" s="49"/>
      <c r="J8" s="46"/>
      <c r="K8" s="46"/>
      <c r="L8" s="50"/>
      <c r="M8" s="49"/>
      <c r="N8" s="50"/>
      <c r="O8" s="46"/>
      <c r="P8" s="46"/>
      <c r="Q8" s="49"/>
      <c r="R8" s="46"/>
      <c r="S8" s="46"/>
      <c r="T8" s="51"/>
    </row>
    <row r="9" spans="1:20" x14ac:dyDescent="0.3">
      <c r="A9" s="53"/>
      <c r="B9" s="46"/>
      <c r="C9" s="67"/>
      <c r="D9" s="46"/>
      <c r="E9" s="46"/>
      <c r="F9" s="48"/>
      <c r="G9" s="44"/>
      <c r="H9" s="46"/>
      <c r="I9" s="49"/>
      <c r="J9" s="46"/>
      <c r="K9" s="46"/>
      <c r="L9" s="50"/>
      <c r="M9" s="49"/>
      <c r="N9" s="50"/>
      <c r="O9" s="46"/>
      <c r="P9" s="46"/>
      <c r="Q9" s="49"/>
      <c r="R9" s="46"/>
      <c r="S9" s="46"/>
      <c r="T9" s="51"/>
    </row>
    <row r="10" spans="1:20" x14ac:dyDescent="0.3">
      <c r="A10" s="53"/>
      <c r="B10" s="46"/>
      <c r="C10" s="67"/>
      <c r="D10" s="46"/>
      <c r="E10" s="46"/>
      <c r="F10" s="48"/>
      <c r="G10" s="44"/>
      <c r="H10" s="46"/>
      <c r="I10" s="49"/>
      <c r="J10" s="46"/>
      <c r="K10" s="46"/>
      <c r="L10" s="50"/>
      <c r="M10" s="44"/>
      <c r="N10" s="50"/>
      <c r="O10" s="46"/>
      <c r="P10" s="46"/>
      <c r="Q10" s="49"/>
      <c r="R10" s="46"/>
      <c r="S10" s="46"/>
      <c r="T10" s="51"/>
    </row>
    <row r="11" spans="1:20" x14ac:dyDescent="0.3">
      <c r="A11" s="53"/>
      <c r="B11" s="46"/>
      <c r="C11" s="67"/>
      <c r="D11" s="46"/>
      <c r="E11" s="46"/>
      <c r="F11" s="48"/>
      <c r="G11" s="44"/>
      <c r="H11" s="46"/>
      <c r="I11" s="49"/>
      <c r="J11" s="46"/>
      <c r="K11" s="46"/>
      <c r="L11" s="50"/>
      <c r="M11" s="44"/>
      <c r="N11" s="50"/>
      <c r="O11" s="46"/>
      <c r="P11" s="46"/>
      <c r="Q11" s="49"/>
      <c r="R11" s="46"/>
      <c r="S11" s="46"/>
      <c r="T11" s="51"/>
    </row>
    <row r="12" spans="1:20" x14ac:dyDescent="0.3">
      <c r="A12" s="53"/>
      <c r="B12" s="46"/>
      <c r="C12" s="67"/>
      <c r="D12" s="46"/>
      <c r="E12" s="44"/>
      <c r="F12" s="48"/>
      <c r="G12" s="44"/>
      <c r="H12" s="46"/>
      <c r="I12" s="49"/>
      <c r="J12" s="46"/>
      <c r="K12" s="46"/>
      <c r="L12" s="50"/>
      <c r="M12" s="44"/>
      <c r="N12" s="50"/>
      <c r="O12" s="46"/>
      <c r="P12" s="46"/>
      <c r="Q12" s="49"/>
      <c r="R12" s="46"/>
      <c r="S12" s="46"/>
      <c r="T12" s="51"/>
    </row>
    <row r="13" spans="1:20" x14ac:dyDescent="0.3">
      <c r="A13" s="53"/>
      <c r="B13" s="46"/>
      <c r="C13" s="67"/>
      <c r="D13" s="46"/>
      <c r="E13" s="44"/>
      <c r="F13" s="48"/>
      <c r="G13" s="44"/>
      <c r="H13" s="46"/>
      <c r="I13" s="49"/>
      <c r="J13" s="46"/>
      <c r="K13" s="46"/>
      <c r="L13" s="50"/>
      <c r="M13" s="44"/>
      <c r="N13" s="50"/>
      <c r="O13" s="46"/>
      <c r="P13" s="46"/>
      <c r="Q13" s="49"/>
      <c r="R13" s="46"/>
      <c r="S13" s="46"/>
      <c r="T13" s="51"/>
    </row>
    <row r="14" spans="1:20" x14ac:dyDescent="0.3">
      <c r="A14" s="53"/>
      <c r="B14" s="46"/>
      <c r="C14" s="67"/>
      <c r="D14" s="46"/>
      <c r="E14" s="44"/>
      <c r="F14" s="48"/>
      <c r="G14" s="44"/>
      <c r="H14" s="46"/>
      <c r="I14" s="49"/>
      <c r="J14" s="46"/>
      <c r="K14" s="46"/>
      <c r="L14" s="50"/>
      <c r="M14" s="44"/>
      <c r="N14" s="50"/>
      <c r="O14" s="46"/>
      <c r="P14" s="46"/>
      <c r="Q14" s="49"/>
      <c r="R14" s="46"/>
      <c r="S14" s="46"/>
      <c r="T14" s="51"/>
    </row>
    <row r="15" spans="1:20" x14ac:dyDescent="0.3">
      <c r="A15" s="53"/>
      <c r="B15" s="46"/>
      <c r="C15" s="67"/>
      <c r="D15" s="46"/>
      <c r="E15" s="44"/>
      <c r="F15" s="48"/>
      <c r="G15" s="44"/>
      <c r="H15" s="46"/>
      <c r="I15" s="49"/>
      <c r="J15" s="46"/>
      <c r="K15" s="46"/>
      <c r="L15" s="50"/>
      <c r="M15" s="44"/>
      <c r="N15" s="50"/>
      <c r="O15" s="46"/>
      <c r="P15" s="46"/>
      <c r="Q15" s="49"/>
      <c r="R15" s="46"/>
      <c r="S15" s="46"/>
      <c r="T15" s="51"/>
    </row>
    <row r="16" spans="1:20" x14ac:dyDescent="0.3">
      <c r="A16" s="53"/>
      <c r="B16" s="46"/>
      <c r="C16" s="67"/>
      <c r="D16" s="46"/>
      <c r="E16" s="44"/>
      <c r="F16" s="48"/>
      <c r="G16" s="44"/>
      <c r="H16" s="46"/>
      <c r="I16" s="49"/>
      <c r="J16" s="46"/>
      <c r="K16" s="46"/>
      <c r="L16" s="50"/>
      <c r="M16" s="44"/>
      <c r="N16" s="50"/>
      <c r="O16" s="46"/>
      <c r="P16" s="46"/>
      <c r="Q16" s="49"/>
      <c r="R16" s="46"/>
      <c r="S16" s="46"/>
      <c r="T16" s="51"/>
    </row>
    <row r="17" spans="1:20" x14ac:dyDescent="0.3">
      <c r="A17" s="53"/>
      <c r="B17" s="46"/>
      <c r="C17" s="67"/>
      <c r="D17" s="46"/>
      <c r="E17" s="44"/>
      <c r="F17" s="48"/>
      <c r="G17" s="44"/>
      <c r="H17" s="46"/>
      <c r="I17" s="49"/>
      <c r="J17" s="46"/>
      <c r="K17" s="46"/>
      <c r="L17" s="50"/>
      <c r="M17" s="44"/>
      <c r="N17" s="50"/>
      <c r="O17" s="46"/>
      <c r="P17" s="46"/>
      <c r="Q17" s="49"/>
      <c r="R17" s="46"/>
      <c r="S17" s="46"/>
      <c r="T17" s="51"/>
    </row>
    <row r="18" spans="1:20" x14ac:dyDescent="0.3">
      <c r="B18" s="68"/>
      <c r="C18" s="67"/>
      <c r="D18" s="68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140.30430420510004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(0.6*0.5))*3</f>
        <v>9.6875099999999996</v>
      </c>
      <c r="G20" s="44"/>
      <c r="H20" s="44"/>
      <c r="I20" s="44"/>
      <c r="J20" s="44"/>
      <c r="K20" s="44"/>
      <c r="L20" s="46">
        <f>F20*160</f>
        <v>1550.0016000000001</v>
      </c>
      <c r="M20" s="44"/>
      <c r="N20" s="50">
        <f>L20+M20</f>
        <v>1550.0016000000001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(8.0575)</f>
        <v>86.730124249999989</v>
      </c>
      <c r="G21" s="44"/>
      <c r="H21" s="44"/>
      <c r="I21" s="44"/>
      <c r="J21" s="44"/>
      <c r="K21" s="44"/>
      <c r="L21" s="46">
        <f>4*F21</f>
        <v>346.92049699999995</v>
      </c>
      <c r="M21" s="44"/>
      <c r="N21" s="48">
        <f>L21+M21</f>
        <v>346.92049699999995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1*315</f>
        <v>315</v>
      </c>
      <c r="M26" s="46">
        <f>1*485</f>
        <v>485</v>
      </c>
      <c r="N26" s="51">
        <f>L26+M26</f>
        <v>800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465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50">
        <f>SUM(L5:L28)</f>
        <v>2352.2264012051</v>
      </c>
      <c r="M29" s="49">
        <f>SUM(M5:M28)</f>
        <v>485</v>
      </c>
      <c r="N29" s="50">
        <f>SUM(N19:N28)</f>
        <v>2837.2264012051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465</v>
      </c>
      <c r="B30" s="44"/>
      <c r="C30" s="44"/>
      <c r="D30" s="44"/>
      <c r="E30" s="44"/>
      <c r="F30" s="44"/>
      <c r="G30" s="10">
        <f>N29+T29</f>
        <v>2837.2264012051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hidden="1" x14ac:dyDescent="0.3">
      <c r="E33" s="44" t="s">
        <v>116</v>
      </c>
      <c r="F33" s="44">
        <v>25</v>
      </c>
      <c r="G33" s="26" t="s">
        <v>117</v>
      </c>
    </row>
    <row r="34" spans="1:20" hidden="1" x14ac:dyDescent="0.3">
      <c r="E34" s="44" t="s">
        <v>118</v>
      </c>
      <c r="F34" s="44">
        <f>15*1</f>
        <v>15</v>
      </c>
      <c r="G34" s="44"/>
    </row>
    <row r="35" spans="1:20" hidden="1" x14ac:dyDescent="0.3">
      <c r="E35" s="44" t="s">
        <v>119</v>
      </c>
      <c r="F35" s="48">
        <f>$F$21</f>
        <v>86.730124249999989</v>
      </c>
      <c r="G35" s="44" t="s">
        <v>120</v>
      </c>
    </row>
    <row r="36" spans="1:20" hidden="1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hidden="1" x14ac:dyDescent="0.3">
      <c r="E37" s="44" t="s">
        <v>123</v>
      </c>
      <c r="F37" s="49">
        <f>F35*F36</f>
        <v>768.27868427979899</v>
      </c>
      <c r="G37" s="44" t="s">
        <v>124</v>
      </c>
    </row>
    <row r="38" spans="1:20" hidden="1" x14ac:dyDescent="0.3">
      <c r="E38" s="44" t="s">
        <v>125</v>
      </c>
      <c r="F38" s="56">
        <f>F37/30</f>
        <v>25.6092894759933</v>
      </c>
      <c r="G38" s="44" t="s">
        <v>126</v>
      </c>
    </row>
    <row r="39" spans="1:20" hidden="1" x14ac:dyDescent="0.3">
      <c r="E39" s="44" t="s">
        <v>127</v>
      </c>
      <c r="F39" s="50">
        <f>SUM($L$5:$L$28)</f>
        <v>2352.2264012051</v>
      </c>
      <c r="G39" s="44" t="s">
        <v>128</v>
      </c>
    </row>
    <row r="40" spans="1:20" hidden="1" x14ac:dyDescent="0.3">
      <c r="E40" s="44" t="s">
        <v>129</v>
      </c>
      <c r="F40" s="49">
        <f>SUM($M$5:$M$28)</f>
        <v>485</v>
      </c>
      <c r="G40" s="44" t="s">
        <v>128</v>
      </c>
    </row>
    <row r="41" spans="1:20" hidden="1" x14ac:dyDescent="0.3">
      <c r="E41" s="44" t="s">
        <v>130</v>
      </c>
      <c r="F41" s="50">
        <f>$N$29</f>
        <v>2837.2264012051</v>
      </c>
      <c r="G41" s="44" t="s">
        <v>128</v>
      </c>
    </row>
    <row r="42" spans="1:20" hidden="1" x14ac:dyDescent="0.3">
      <c r="E42" s="44" t="s">
        <v>131</v>
      </c>
      <c r="F42" s="50">
        <f>$T$29</f>
        <v>0</v>
      </c>
      <c r="G42" s="44" t="s">
        <v>128</v>
      </c>
    </row>
    <row r="43" spans="1:20" hidden="1" x14ac:dyDescent="0.3">
      <c r="E43" s="44" t="s">
        <v>132</v>
      </c>
      <c r="F43" s="56">
        <f>F39/(1.08*F33)</f>
        <v>87.119496340929629</v>
      </c>
      <c r="G43" s="44" t="s">
        <v>126</v>
      </c>
    </row>
    <row r="44" spans="1:20" hidden="1" x14ac:dyDescent="0.3">
      <c r="E44" s="44" t="s">
        <v>126</v>
      </c>
      <c r="F44" s="57">
        <f>ROUNDUP(F43,0)</f>
        <v>88</v>
      </c>
      <c r="G44" s="44" t="s">
        <v>126</v>
      </c>
    </row>
    <row r="45" spans="1:20" hidden="1" x14ac:dyDescent="0.3">
      <c r="E45" s="44" t="s">
        <v>133</v>
      </c>
      <c r="F45" s="50">
        <f>F44*0.0002930711</f>
        <v>2.5790256799999998E-2</v>
      </c>
      <c r="G45" s="44" t="s">
        <v>134</v>
      </c>
    </row>
    <row r="46" spans="1:20" hidden="1" x14ac:dyDescent="0.3">
      <c r="E46" s="44" t="s">
        <v>135</v>
      </c>
      <c r="F46" s="50">
        <f>F39/F41</f>
        <v>0.82905840725505786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152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156</v>
      </c>
      <c r="D50" s="44"/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463</v>
      </c>
      <c r="D51" s="44" t="s">
        <v>148</v>
      </c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/>
      <c r="D52" s="44"/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7" t="s">
        <v>165</v>
      </c>
      <c r="B55" s="7"/>
      <c r="C55" s="7"/>
      <c r="D55" s="7" t="s">
        <v>166</v>
      </c>
      <c r="E55" s="7"/>
      <c r="F55" s="7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7"/>
      <c r="B56" s="7"/>
      <c r="C56" s="7"/>
      <c r="D56" s="7"/>
      <c r="E56" s="7"/>
      <c r="F56" s="7"/>
      <c r="G56" s="6" t="s">
        <v>168</v>
      </c>
      <c r="H56" s="6"/>
      <c r="I56" s="6"/>
      <c r="J56" s="6"/>
      <c r="K56" s="6" t="s">
        <v>169</v>
      </c>
      <c r="L56" s="6"/>
      <c r="M56" s="6"/>
      <c r="N56" s="6"/>
      <c r="O56" s="6"/>
      <c r="P56" s="6"/>
      <c r="Q56" s="6"/>
      <c r="R56" s="53" t="s">
        <v>170</v>
      </c>
      <c r="S56" s="6"/>
      <c r="T56" s="6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7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99FF99"/>
  </sheetPr>
  <dimension ref="A1:T254"/>
  <sheetViews>
    <sheetView zoomScale="95" zoomScaleNormal="95" workbookViewId="0">
      <selection activeCell="D20" sqref="D20"/>
    </sheetView>
  </sheetViews>
  <sheetFormatPr defaultColWidth="8.88671875" defaultRowHeight="13.8" x14ac:dyDescent="0.3"/>
  <cols>
    <col min="1" max="1" width="35.5546875" style="39" customWidth="1"/>
    <col min="2" max="2" width="11.44140625" style="40" customWidth="1"/>
    <col min="3" max="3" width="25.6640625" style="40" customWidth="1"/>
    <col min="4" max="4" width="12.6640625" style="40" customWidth="1"/>
    <col min="5" max="5" width="26.33203125" style="40" customWidth="1"/>
    <col min="6" max="6" width="18.77734375" style="40" customWidth="1"/>
    <col min="7" max="7" width="6.109375" style="40" hidden="1" customWidth="1"/>
    <col min="8" max="8" width="4" style="40" customWidth="1"/>
    <col min="9" max="9" width="3.5546875" style="40" customWidth="1"/>
    <col min="10" max="10" width="7.44140625" style="40" customWidth="1"/>
    <col min="11" max="11" width="4.44140625" style="40" customWidth="1"/>
    <col min="12" max="12" width="9.77734375" style="40" customWidth="1"/>
    <col min="13" max="13" width="5.109375" style="40" customWidth="1"/>
    <col min="14" max="14" width="14.109375" style="40" customWidth="1"/>
    <col min="15" max="15" width="3" style="40" hidden="1" customWidth="1"/>
    <col min="16" max="16" width="3.21875" style="40" hidden="1" customWidth="1"/>
    <col min="17" max="17" width="3.5546875" style="40" hidden="1" customWidth="1"/>
    <col min="18" max="18" width="7.44140625" style="40" hidden="1" customWidth="1"/>
    <col min="19" max="19" width="4.44140625" style="40" hidden="1" customWidth="1"/>
    <col min="20" max="20" width="5.5546875" style="40" hidden="1" customWidth="1"/>
    <col min="21" max="16384" width="8.88671875" style="41"/>
  </cols>
  <sheetData>
    <row r="1" spans="1:20" s="39" customFormat="1" ht="13.5" customHeight="1" x14ac:dyDescent="0.3">
      <c r="A1" s="14" t="s">
        <v>72</v>
      </c>
      <c r="B1" s="14"/>
      <c r="C1" s="14" t="s">
        <v>73</v>
      </c>
      <c r="D1" s="14"/>
      <c r="E1" s="42" t="s">
        <v>74</v>
      </c>
      <c r="F1" s="42" t="s">
        <v>75</v>
      </c>
      <c r="G1" s="13" t="s">
        <v>76</v>
      </c>
      <c r="H1" s="13"/>
      <c r="I1" s="13"/>
      <c r="J1" s="13"/>
      <c r="K1" s="13"/>
      <c r="L1" s="13"/>
      <c r="M1" s="13"/>
      <c r="N1" s="13"/>
      <c r="O1" s="12" t="s">
        <v>77</v>
      </c>
      <c r="P1" s="12"/>
      <c r="Q1" s="12"/>
      <c r="R1" s="12"/>
      <c r="S1" s="12"/>
      <c r="T1" s="12"/>
    </row>
    <row r="2" spans="1:20" s="39" customFormat="1" x14ac:dyDescent="0.3">
      <c r="A2" s="11" t="s">
        <v>436</v>
      </c>
      <c r="B2" s="11"/>
      <c r="C2" s="11">
        <v>1001</v>
      </c>
      <c r="D2" s="11"/>
      <c r="E2" s="43" t="s">
        <v>466</v>
      </c>
      <c r="F2" s="43" t="s">
        <v>358</v>
      </c>
      <c r="G2" s="13"/>
      <c r="H2" s="13"/>
      <c r="I2" s="13"/>
      <c r="J2" s="13"/>
      <c r="K2" s="13"/>
      <c r="L2" s="13"/>
      <c r="M2" s="13"/>
      <c r="N2" s="13"/>
      <c r="O2" s="12"/>
      <c r="P2" s="12"/>
      <c r="Q2" s="12"/>
      <c r="R2" s="12"/>
      <c r="S2" s="12"/>
      <c r="T2" s="12"/>
    </row>
    <row r="3" spans="1:20" s="40" customFormat="1" x14ac:dyDescent="0.3">
      <c r="A3" s="13" t="s">
        <v>81</v>
      </c>
      <c r="B3" s="13" t="s">
        <v>82</v>
      </c>
      <c r="C3" s="13" t="s">
        <v>83</v>
      </c>
      <c r="D3" s="13" t="s">
        <v>84</v>
      </c>
      <c r="E3" s="13" t="s">
        <v>85</v>
      </c>
      <c r="F3" s="13" t="s">
        <v>86</v>
      </c>
      <c r="G3" s="13" t="s">
        <v>87</v>
      </c>
      <c r="H3" s="13" t="s">
        <v>88</v>
      </c>
      <c r="I3" s="13" t="s">
        <v>457</v>
      </c>
      <c r="J3" s="13" t="s">
        <v>90</v>
      </c>
      <c r="K3" s="13"/>
      <c r="L3" s="13" t="s">
        <v>91</v>
      </c>
      <c r="M3" s="13" t="s">
        <v>92</v>
      </c>
      <c r="N3" s="13" t="s">
        <v>93</v>
      </c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94</v>
      </c>
    </row>
    <row r="4" spans="1:20" s="40" customFormat="1" x14ac:dyDescent="0.3">
      <c r="A4" s="13"/>
      <c r="B4" s="13"/>
      <c r="C4" s="13"/>
      <c r="D4" s="13"/>
      <c r="E4" s="13"/>
      <c r="F4" s="13"/>
      <c r="G4" s="13"/>
      <c r="H4" s="13"/>
      <c r="I4" s="13"/>
      <c r="J4" s="44" t="s">
        <v>95</v>
      </c>
      <c r="K4" s="44" t="s">
        <v>96</v>
      </c>
      <c r="L4" s="13"/>
      <c r="M4" s="13"/>
      <c r="N4" s="13"/>
      <c r="O4" s="13"/>
      <c r="P4" s="13"/>
      <c r="Q4" s="13"/>
      <c r="R4" s="44" t="s">
        <v>95</v>
      </c>
      <c r="S4" s="44" t="s">
        <v>96</v>
      </c>
      <c r="T4" s="13"/>
    </row>
    <row r="5" spans="1:20" ht="41.4" x14ac:dyDescent="0.3">
      <c r="A5" s="53" t="s">
        <v>108</v>
      </c>
      <c r="B5" s="46">
        <v>3</v>
      </c>
      <c r="C5" s="47" t="s">
        <v>205</v>
      </c>
      <c r="D5" s="68" t="s">
        <v>99</v>
      </c>
      <c r="E5" s="77" t="s">
        <v>467</v>
      </c>
      <c r="F5" s="48">
        <f>10.7639 *((2.8 + 7.6 + 8.0718/2 + 7.8/2 + 4.8 + 5)*2*2.9)</f>
        <v>1756.5416812579999</v>
      </c>
      <c r="G5" s="44">
        <v>78</v>
      </c>
      <c r="H5" s="46">
        <v>95</v>
      </c>
      <c r="I5" s="49">
        <f t="shared" ref="I5:I17" si="0">H5-G5</f>
        <v>17</v>
      </c>
      <c r="J5" s="46">
        <v>7.2999999999999995E-2</v>
      </c>
      <c r="K5" s="46" t="str">
        <f>_xlfn.UNICHAR(8596)</f>
        <v>↔</v>
      </c>
      <c r="L5" s="50">
        <f t="shared" ref="L5:L17" si="1">F5*I5*J5</f>
        <v>2179.8682264411777</v>
      </c>
      <c r="M5" s="49"/>
      <c r="N5" s="50">
        <f t="shared" ref="N5:N17" si="2">L5+M5</f>
        <v>2179.8682264411777</v>
      </c>
      <c r="O5" s="46">
        <v>70</v>
      </c>
      <c r="P5" s="46">
        <v>70</v>
      </c>
      <c r="Q5" s="49">
        <f t="shared" ref="Q5:Q17" si="3">O5-P5</f>
        <v>0</v>
      </c>
      <c r="R5" s="46"/>
      <c r="S5" s="46"/>
      <c r="T5" s="51">
        <f t="shared" ref="T5:T17" si="4">F5*Q5*R5</f>
        <v>0</v>
      </c>
    </row>
    <row r="6" spans="1:20" x14ac:dyDescent="0.3">
      <c r="A6" s="53" t="s">
        <v>468</v>
      </c>
      <c r="B6" s="46">
        <v>2</v>
      </c>
      <c r="C6" s="67" t="s">
        <v>175</v>
      </c>
      <c r="D6" s="46" t="s">
        <v>90</v>
      </c>
      <c r="E6" s="44"/>
      <c r="F6" s="48">
        <f>10.7639 *(6.329)</f>
        <v>68.124723099999997</v>
      </c>
      <c r="G6" s="44">
        <v>78</v>
      </c>
      <c r="H6" s="46">
        <v>95</v>
      </c>
      <c r="I6" s="49">
        <f t="shared" si="0"/>
        <v>17</v>
      </c>
      <c r="J6" s="46">
        <v>0.14399999999999999</v>
      </c>
      <c r="K6" s="46" t="str">
        <f t="shared" ref="K6:K16" si="5">_xlfn.UNICHAR(8593)</f>
        <v>↑</v>
      </c>
      <c r="L6" s="50">
        <f t="shared" si="1"/>
        <v>166.76932214879997</v>
      </c>
      <c r="M6" s="49"/>
      <c r="N6" s="50">
        <f t="shared" si="2"/>
        <v>166.76932214879997</v>
      </c>
      <c r="O6" s="46">
        <v>70</v>
      </c>
      <c r="P6" s="46">
        <v>70</v>
      </c>
      <c r="Q6" s="49">
        <f t="shared" si="3"/>
        <v>0</v>
      </c>
      <c r="R6" s="46"/>
      <c r="S6" s="46"/>
      <c r="T6" s="50">
        <f t="shared" si="4"/>
        <v>0</v>
      </c>
    </row>
    <row r="7" spans="1:20" x14ac:dyDescent="0.3">
      <c r="A7" s="53" t="s">
        <v>469</v>
      </c>
      <c r="B7" s="46">
        <v>2</v>
      </c>
      <c r="C7" s="67" t="s">
        <v>175</v>
      </c>
      <c r="D7" s="46" t="s">
        <v>90</v>
      </c>
      <c r="E7" s="44"/>
      <c r="F7" s="48">
        <f>10.7639 *(6.329)</f>
        <v>68.124723099999997</v>
      </c>
      <c r="G7" s="44">
        <v>78</v>
      </c>
      <c r="H7" s="46">
        <v>95</v>
      </c>
      <c r="I7" s="49">
        <f t="shared" si="0"/>
        <v>17</v>
      </c>
      <c r="J7" s="46">
        <v>0.14399999999999999</v>
      </c>
      <c r="K7" s="46" t="str">
        <f t="shared" si="5"/>
        <v>↑</v>
      </c>
      <c r="L7" s="50">
        <f t="shared" si="1"/>
        <v>166.76932214879997</v>
      </c>
      <c r="M7" s="49"/>
      <c r="N7" s="50">
        <f t="shared" si="2"/>
        <v>166.76932214879997</v>
      </c>
      <c r="O7" s="46">
        <v>70</v>
      </c>
      <c r="P7" s="46">
        <v>70</v>
      </c>
      <c r="Q7" s="49">
        <f t="shared" si="3"/>
        <v>0</v>
      </c>
      <c r="R7" s="46"/>
      <c r="S7" s="46"/>
      <c r="T7" s="51">
        <f t="shared" si="4"/>
        <v>0</v>
      </c>
    </row>
    <row r="8" spans="1:20" hidden="1" x14ac:dyDescent="0.3">
      <c r="A8" s="53" t="s">
        <v>440</v>
      </c>
      <c r="B8" s="46">
        <v>2</v>
      </c>
      <c r="C8" s="67" t="s">
        <v>175</v>
      </c>
      <c r="D8" s="46" t="s">
        <v>90</v>
      </c>
      <c r="E8" s="46"/>
      <c r="F8" s="54"/>
      <c r="G8" s="44">
        <v>78</v>
      </c>
      <c r="H8" s="46">
        <v>78</v>
      </c>
      <c r="I8" s="49">
        <f t="shared" si="0"/>
        <v>0</v>
      </c>
      <c r="J8" s="46">
        <v>0.14399999999999999</v>
      </c>
      <c r="K8" s="46" t="str">
        <f t="shared" si="5"/>
        <v>↑</v>
      </c>
      <c r="L8" s="50">
        <f t="shared" si="1"/>
        <v>0</v>
      </c>
      <c r="M8" s="49"/>
      <c r="N8" s="50">
        <f t="shared" si="2"/>
        <v>0</v>
      </c>
      <c r="O8" s="46">
        <v>70</v>
      </c>
      <c r="P8" s="46">
        <v>70</v>
      </c>
      <c r="Q8" s="49">
        <f t="shared" si="3"/>
        <v>0</v>
      </c>
      <c r="R8" s="46"/>
      <c r="S8" s="46"/>
      <c r="T8" s="51">
        <f t="shared" si="4"/>
        <v>0</v>
      </c>
    </row>
    <row r="9" spans="1:20" x14ac:dyDescent="0.3">
      <c r="A9" s="53" t="s">
        <v>385</v>
      </c>
      <c r="B9" s="46">
        <v>2</v>
      </c>
      <c r="C9" s="67" t="s">
        <v>175</v>
      </c>
      <c r="D9" s="46" t="s">
        <v>90</v>
      </c>
      <c r="E9" s="44"/>
      <c r="F9" s="48">
        <f>10.7639 *(3.08)</f>
        <v>33.152811999999997</v>
      </c>
      <c r="G9" s="44">
        <v>78</v>
      </c>
      <c r="H9" s="46">
        <v>85</v>
      </c>
      <c r="I9" s="49">
        <f t="shared" si="0"/>
        <v>7</v>
      </c>
      <c r="J9" s="46">
        <v>0.14399999999999999</v>
      </c>
      <c r="K9" s="46" t="str">
        <f t="shared" si="5"/>
        <v>↑</v>
      </c>
      <c r="L9" s="50">
        <f t="shared" si="1"/>
        <v>33.418034495999997</v>
      </c>
      <c r="M9" s="44"/>
      <c r="N9" s="50">
        <f t="shared" si="2"/>
        <v>33.418034495999997</v>
      </c>
      <c r="O9" s="46">
        <v>70</v>
      </c>
      <c r="P9" s="46">
        <v>70</v>
      </c>
      <c r="Q9" s="49">
        <f t="shared" si="3"/>
        <v>0</v>
      </c>
      <c r="R9" s="46"/>
      <c r="S9" s="46"/>
      <c r="T9" s="51">
        <f t="shared" si="4"/>
        <v>0</v>
      </c>
    </row>
    <row r="10" spans="1:20" hidden="1" x14ac:dyDescent="0.3">
      <c r="A10" s="53" t="s">
        <v>381</v>
      </c>
      <c r="B10" s="46">
        <v>2</v>
      </c>
      <c r="C10" s="67" t="s">
        <v>175</v>
      </c>
      <c r="D10" s="46" t="s">
        <v>90</v>
      </c>
      <c r="E10" s="44"/>
      <c r="F10" s="54"/>
      <c r="G10" s="44">
        <v>78</v>
      </c>
      <c r="H10" s="46">
        <v>85</v>
      </c>
      <c r="I10" s="49">
        <f t="shared" si="0"/>
        <v>7</v>
      </c>
      <c r="J10" s="46">
        <v>0.14399999999999999</v>
      </c>
      <c r="K10" s="46" t="str">
        <f t="shared" si="5"/>
        <v>↑</v>
      </c>
      <c r="L10" s="50">
        <f t="shared" si="1"/>
        <v>0</v>
      </c>
      <c r="M10" s="44"/>
      <c r="N10" s="50">
        <f t="shared" si="2"/>
        <v>0</v>
      </c>
      <c r="O10" s="46">
        <v>70</v>
      </c>
      <c r="P10" s="46">
        <v>70</v>
      </c>
      <c r="Q10" s="49">
        <f t="shared" si="3"/>
        <v>0</v>
      </c>
      <c r="R10" s="46"/>
      <c r="S10" s="46"/>
      <c r="T10" s="51">
        <f t="shared" si="4"/>
        <v>0</v>
      </c>
    </row>
    <row r="11" spans="1:20" x14ac:dyDescent="0.3">
      <c r="A11" s="53" t="s">
        <v>190</v>
      </c>
      <c r="B11" s="46">
        <v>2</v>
      </c>
      <c r="C11" s="67" t="s">
        <v>175</v>
      </c>
      <c r="D11" s="46" t="s">
        <v>90</v>
      </c>
      <c r="E11" s="44"/>
      <c r="F11" s="48">
        <f>10.7639 *(18.249)</f>
        <v>196.43041109999999</v>
      </c>
      <c r="G11" s="44">
        <v>78</v>
      </c>
      <c r="H11" s="46">
        <v>80</v>
      </c>
      <c r="I11" s="49">
        <f t="shared" si="0"/>
        <v>2</v>
      </c>
      <c r="J11" s="46">
        <v>0.14399999999999999</v>
      </c>
      <c r="K11" s="46" t="str">
        <f t="shared" si="5"/>
        <v>↑</v>
      </c>
      <c r="L11" s="50">
        <f t="shared" si="1"/>
        <v>56.571958396799992</v>
      </c>
      <c r="M11" s="44"/>
      <c r="N11" s="50">
        <f t="shared" si="2"/>
        <v>56.571958396799992</v>
      </c>
      <c r="O11" s="46">
        <v>70</v>
      </c>
      <c r="P11" s="46">
        <v>70</v>
      </c>
      <c r="Q11" s="49">
        <f t="shared" si="3"/>
        <v>0</v>
      </c>
      <c r="R11" s="46"/>
      <c r="S11" s="46"/>
      <c r="T11" s="51">
        <f t="shared" si="4"/>
        <v>0</v>
      </c>
    </row>
    <row r="12" spans="1:20" x14ac:dyDescent="0.3">
      <c r="A12" s="53" t="s">
        <v>210</v>
      </c>
      <c r="B12" s="46">
        <v>2</v>
      </c>
      <c r="C12" s="67" t="s">
        <v>175</v>
      </c>
      <c r="D12" s="46" t="s">
        <v>90</v>
      </c>
      <c r="E12" s="44"/>
      <c r="F12" s="48">
        <f>10.7639 *(7.77)</f>
        <v>83.635502999999986</v>
      </c>
      <c r="G12" s="44">
        <v>78</v>
      </c>
      <c r="H12" s="46">
        <v>85</v>
      </c>
      <c r="I12" s="49">
        <f t="shared" si="0"/>
        <v>7</v>
      </c>
      <c r="J12" s="46">
        <v>0.14399999999999999</v>
      </c>
      <c r="K12" s="46" t="str">
        <f t="shared" si="5"/>
        <v>↑</v>
      </c>
      <c r="L12" s="50">
        <f t="shared" si="1"/>
        <v>84.304587023999986</v>
      </c>
      <c r="M12" s="44"/>
      <c r="N12" s="50">
        <f t="shared" si="2"/>
        <v>84.304587023999986</v>
      </c>
      <c r="O12" s="46">
        <v>70</v>
      </c>
      <c r="P12" s="46">
        <v>70</v>
      </c>
      <c r="Q12" s="49">
        <f t="shared" si="3"/>
        <v>0</v>
      </c>
      <c r="R12" s="46"/>
      <c r="S12" s="46"/>
      <c r="T12" s="51">
        <f t="shared" si="4"/>
        <v>0</v>
      </c>
    </row>
    <row r="13" spans="1:20" x14ac:dyDescent="0.3">
      <c r="A13" s="53" t="s">
        <v>470</v>
      </c>
      <c r="B13" s="46">
        <v>2</v>
      </c>
      <c r="C13" s="67" t="s">
        <v>175</v>
      </c>
      <c r="D13" s="46" t="s">
        <v>90</v>
      </c>
      <c r="E13" s="44" t="s">
        <v>471</v>
      </c>
      <c r="F13" s="48">
        <f>10.7639 *(1.9*1)</f>
        <v>20.451409999999999</v>
      </c>
      <c r="G13" s="44">
        <v>78</v>
      </c>
      <c r="H13" s="46">
        <v>120</v>
      </c>
      <c r="I13" s="49">
        <f t="shared" si="0"/>
        <v>42</v>
      </c>
      <c r="J13" s="46">
        <v>0.14399999999999999</v>
      </c>
      <c r="K13" s="46" t="str">
        <f t="shared" si="5"/>
        <v>↑</v>
      </c>
      <c r="L13" s="50">
        <f t="shared" si="1"/>
        <v>123.69012767999999</v>
      </c>
      <c r="M13" s="44"/>
      <c r="N13" s="50">
        <f t="shared" si="2"/>
        <v>123.69012767999999</v>
      </c>
      <c r="O13" s="46">
        <v>70</v>
      </c>
      <c r="P13" s="46">
        <v>70</v>
      </c>
      <c r="Q13" s="49">
        <f t="shared" si="3"/>
        <v>0</v>
      </c>
      <c r="R13" s="46"/>
      <c r="S13" s="46"/>
      <c r="T13" s="51">
        <f t="shared" si="4"/>
        <v>0</v>
      </c>
    </row>
    <row r="14" spans="1:20" x14ac:dyDescent="0.3">
      <c r="A14" s="53" t="s">
        <v>340</v>
      </c>
      <c r="B14" s="46">
        <v>2</v>
      </c>
      <c r="C14" s="67" t="s">
        <v>175</v>
      </c>
      <c r="D14" s="46" t="s">
        <v>90</v>
      </c>
      <c r="E14" s="44"/>
      <c r="F14" s="54">
        <f>10.7639 *(2.4*2.7)</f>
        <v>69.750072000000003</v>
      </c>
      <c r="G14" s="44">
        <v>78</v>
      </c>
      <c r="H14" s="46">
        <v>120</v>
      </c>
      <c r="I14" s="49">
        <f t="shared" si="0"/>
        <v>42</v>
      </c>
      <c r="J14" s="46">
        <v>0.14399999999999999</v>
      </c>
      <c r="K14" s="46" t="str">
        <f t="shared" si="5"/>
        <v>↑</v>
      </c>
      <c r="L14" s="50">
        <f t="shared" si="1"/>
        <v>421.848435456</v>
      </c>
      <c r="M14" s="44"/>
      <c r="N14" s="50">
        <f t="shared" si="2"/>
        <v>421.848435456</v>
      </c>
      <c r="O14" s="46">
        <v>70</v>
      </c>
      <c r="P14" s="46">
        <v>70</v>
      </c>
      <c r="Q14" s="49">
        <f t="shared" si="3"/>
        <v>0</v>
      </c>
      <c r="R14" s="46"/>
      <c r="S14" s="46"/>
      <c r="T14" s="51">
        <f t="shared" si="4"/>
        <v>0</v>
      </c>
    </row>
    <row r="15" spans="1:20" x14ac:dyDescent="0.3">
      <c r="A15" s="53" t="s">
        <v>419</v>
      </c>
      <c r="B15" s="46">
        <v>2</v>
      </c>
      <c r="C15" s="67" t="s">
        <v>175</v>
      </c>
      <c r="D15" s="46" t="s">
        <v>90</v>
      </c>
      <c r="E15" s="44" t="s">
        <v>472</v>
      </c>
      <c r="F15" s="48">
        <f>10.7639 *(1.4*2.2)</f>
        <v>33.152811999999997</v>
      </c>
      <c r="G15" s="44">
        <v>78</v>
      </c>
      <c r="H15" s="46">
        <v>85</v>
      </c>
      <c r="I15" s="49">
        <f t="shared" si="0"/>
        <v>7</v>
      </c>
      <c r="J15" s="46">
        <v>0.14399999999999999</v>
      </c>
      <c r="K15" s="46" t="str">
        <f t="shared" si="5"/>
        <v>↑</v>
      </c>
      <c r="L15" s="50">
        <f t="shared" si="1"/>
        <v>33.418034495999997</v>
      </c>
      <c r="M15" s="44"/>
      <c r="N15" s="50">
        <f t="shared" si="2"/>
        <v>33.418034495999997</v>
      </c>
      <c r="O15" s="46">
        <v>70</v>
      </c>
      <c r="P15" s="46">
        <v>70</v>
      </c>
      <c r="Q15" s="49">
        <f t="shared" si="3"/>
        <v>0</v>
      </c>
      <c r="R15" s="46"/>
      <c r="S15" s="46"/>
      <c r="T15" s="51">
        <f t="shared" si="4"/>
        <v>0</v>
      </c>
    </row>
    <row r="16" spans="1:20" x14ac:dyDescent="0.3">
      <c r="A16" s="53" t="s">
        <v>422</v>
      </c>
      <c r="B16" s="46">
        <v>2</v>
      </c>
      <c r="C16" s="67" t="s">
        <v>175</v>
      </c>
      <c r="D16" s="46" t="s">
        <v>90</v>
      </c>
      <c r="E16" s="44"/>
      <c r="F16" s="54">
        <f>10.7639 *(0.616)</f>
        <v>6.6305623999999996</v>
      </c>
      <c r="G16" s="44">
        <v>78</v>
      </c>
      <c r="H16" s="46">
        <v>85</v>
      </c>
      <c r="I16" s="49">
        <f t="shared" si="0"/>
        <v>7</v>
      </c>
      <c r="J16" s="46">
        <v>0.14399999999999999</v>
      </c>
      <c r="K16" s="46" t="str">
        <f t="shared" si="5"/>
        <v>↑</v>
      </c>
      <c r="L16" s="50">
        <f t="shared" si="1"/>
        <v>6.6836068991999991</v>
      </c>
      <c r="M16" s="44"/>
      <c r="N16" s="50">
        <f t="shared" si="2"/>
        <v>6.6836068991999991</v>
      </c>
      <c r="O16" s="46">
        <v>70</v>
      </c>
      <c r="P16" s="46">
        <v>70</v>
      </c>
      <c r="Q16" s="49">
        <f t="shared" si="3"/>
        <v>0</v>
      </c>
      <c r="R16" s="46"/>
      <c r="S16" s="46"/>
      <c r="T16" s="51">
        <f t="shared" si="4"/>
        <v>0</v>
      </c>
    </row>
    <row r="17" spans="1:20" x14ac:dyDescent="0.3">
      <c r="A17" s="53" t="s">
        <v>108</v>
      </c>
      <c r="B17" s="46">
        <v>1</v>
      </c>
      <c r="C17" s="67" t="s">
        <v>175</v>
      </c>
      <c r="D17" s="46" t="s">
        <v>106</v>
      </c>
      <c r="E17" s="44"/>
      <c r="F17" s="54">
        <f>10.7639 *(0.616)</f>
        <v>6.6305623999999996</v>
      </c>
      <c r="G17" s="44">
        <v>78</v>
      </c>
      <c r="H17" s="46">
        <v>95</v>
      </c>
      <c r="I17" s="49">
        <f t="shared" si="0"/>
        <v>17</v>
      </c>
      <c r="J17" s="46">
        <v>0.17100000000000001</v>
      </c>
      <c r="K17" s="46" t="str">
        <f>_xlfn.UNICHAR(8595)</f>
        <v>↓</v>
      </c>
      <c r="L17" s="50">
        <f t="shared" si="1"/>
        <v>19.275044896800001</v>
      </c>
      <c r="M17" s="44"/>
      <c r="N17" s="50">
        <f t="shared" si="2"/>
        <v>19.275044896800001</v>
      </c>
      <c r="O17" s="46">
        <v>70</v>
      </c>
      <c r="P17" s="46">
        <v>70</v>
      </c>
      <c r="Q17" s="49">
        <f t="shared" si="3"/>
        <v>0</v>
      </c>
      <c r="R17" s="46"/>
      <c r="S17" s="46"/>
      <c r="T17" s="51">
        <f t="shared" si="4"/>
        <v>0</v>
      </c>
    </row>
    <row r="18" spans="1:20" x14ac:dyDescent="0.3">
      <c r="A18" s="53"/>
      <c r="B18" s="46"/>
      <c r="C18" s="67"/>
      <c r="D18" s="46"/>
      <c r="E18" s="46"/>
      <c r="F18" s="48"/>
      <c r="G18" s="44"/>
      <c r="H18" s="46"/>
      <c r="I18" s="49"/>
      <c r="J18" s="46"/>
      <c r="K18" s="46"/>
      <c r="L18" s="50"/>
      <c r="M18" s="44"/>
      <c r="N18" s="50"/>
      <c r="O18" s="46"/>
      <c r="P18" s="46"/>
      <c r="Q18" s="49"/>
      <c r="R18" s="46"/>
      <c r="S18" s="46"/>
      <c r="T18" s="51"/>
    </row>
    <row r="19" spans="1:20" x14ac:dyDescent="0.3">
      <c r="A19" s="52" t="s">
        <v>109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50">
        <f>SUM(N5:N18)</f>
        <v>3292.6167000835771</v>
      </c>
      <c r="O19" s="44"/>
      <c r="P19" s="44"/>
      <c r="Q19" s="44"/>
      <c r="R19" s="44"/>
      <c r="S19" s="44"/>
      <c r="T19" s="50">
        <f>SUM(T5:T18)</f>
        <v>0</v>
      </c>
    </row>
    <row r="20" spans="1:20" x14ac:dyDescent="0.3">
      <c r="A20" s="53" t="s">
        <v>110</v>
      </c>
      <c r="B20" s="44"/>
      <c r="C20" s="44"/>
      <c r="D20" s="44"/>
      <c r="E20" s="44"/>
      <c r="F20" s="46">
        <f>(10.7639 * (1.8*8*1) * (1.8*2.8*2) * (1.8*3.9*2) * (1.8*4.8*2) * (1.8*(2.3+1.8)*1))*1</f>
        <v>2797434.240605474</v>
      </c>
      <c r="G20" s="44"/>
      <c r="H20" s="44"/>
      <c r="I20" s="44"/>
      <c r="J20" s="44"/>
      <c r="K20" s="44"/>
      <c r="L20" s="46">
        <f>F20/160</f>
        <v>17483.964003784211</v>
      </c>
      <c r="M20" s="44"/>
      <c r="N20" s="50">
        <f>L20+M20</f>
        <v>17483.964003784211</v>
      </c>
      <c r="O20" s="44"/>
      <c r="P20" s="44"/>
      <c r="Q20" s="44"/>
      <c r="R20" s="44"/>
      <c r="S20" s="44"/>
      <c r="T20" s="50"/>
    </row>
    <row r="21" spans="1:20" x14ac:dyDescent="0.3">
      <c r="A21" s="53" t="s">
        <v>111</v>
      </c>
      <c r="B21" s="44">
        <v>7</v>
      </c>
      <c r="C21" s="44"/>
      <c r="D21" s="44"/>
      <c r="E21" s="44"/>
      <c r="F21" s="48">
        <f>10.7639 * (174.99)</f>
        <v>1883.5748610000001</v>
      </c>
      <c r="G21" s="44"/>
      <c r="H21" s="44"/>
      <c r="I21" s="44"/>
      <c r="J21" s="44"/>
      <c r="K21" s="44"/>
      <c r="L21" s="46">
        <f>16*F21</f>
        <v>30137.197776000001</v>
      </c>
      <c r="M21" s="44"/>
      <c r="N21" s="48">
        <f>L21+M21</f>
        <v>30137.197776000001</v>
      </c>
      <c r="O21" s="44"/>
      <c r="P21" s="44"/>
      <c r="Q21" s="44"/>
      <c r="R21" s="44"/>
      <c r="S21" s="44"/>
      <c r="T21" s="54"/>
    </row>
    <row r="22" spans="1:20" x14ac:dyDescent="0.3">
      <c r="A22" s="5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54"/>
      <c r="O22" s="44"/>
      <c r="P22" s="44"/>
      <c r="Q22" s="44"/>
      <c r="R22" s="44"/>
      <c r="S22" s="44"/>
      <c r="T22" s="54"/>
    </row>
    <row r="23" spans="1:20" x14ac:dyDescent="0.3">
      <c r="A23" s="5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54"/>
      <c r="O23" s="44"/>
      <c r="P23" s="44"/>
      <c r="Q23" s="44"/>
      <c r="R23" s="44"/>
      <c r="S23" s="44"/>
      <c r="T23" s="54"/>
    </row>
    <row r="24" spans="1:20" x14ac:dyDescent="0.3">
      <c r="A24" s="5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54"/>
      <c r="O24" s="44"/>
      <c r="P24" s="44"/>
      <c r="Q24" s="44"/>
      <c r="R24" s="44"/>
      <c r="S24" s="44"/>
      <c r="T24" s="54"/>
    </row>
    <row r="25" spans="1:20" x14ac:dyDescent="0.3">
      <c r="A25" s="5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">
      <c r="A26" s="53" t="s">
        <v>114</v>
      </c>
      <c r="B26" s="44">
        <v>9</v>
      </c>
      <c r="C26" s="44"/>
      <c r="D26" s="44"/>
      <c r="E26" s="44"/>
      <c r="F26" s="44"/>
      <c r="G26" s="44"/>
      <c r="H26" s="44"/>
      <c r="I26" s="44"/>
      <c r="J26" s="44"/>
      <c r="K26" s="44"/>
      <c r="L26" s="46">
        <f>4*315</f>
        <v>1260</v>
      </c>
      <c r="M26" s="46">
        <f>4*485</f>
        <v>1940</v>
      </c>
      <c r="N26" s="51">
        <f>L26+M26</f>
        <v>3200</v>
      </c>
      <c r="O26" s="44"/>
      <c r="P26" s="44"/>
      <c r="Q26" s="44"/>
      <c r="R26" s="44"/>
      <c r="S26" s="44"/>
      <c r="T26" s="54"/>
    </row>
    <row r="27" spans="1:20" x14ac:dyDescent="0.3">
      <c r="A27" s="53" t="s">
        <v>201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69"/>
      <c r="O27" s="44"/>
      <c r="P27" s="44"/>
      <c r="Q27" s="44"/>
      <c r="R27" s="44"/>
      <c r="S27" s="44"/>
      <c r="T27" s="54"/>
    </row>
    <row r="28" spans="1:20" x14ac:dyDescent="0.3">
      <c r="A28" s="5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69"/>
      <c r="O28" s="44"/>
      <c r="P28" s="44"/>
      <c r="Q28" s="44"/>
      <c r="R28" s="44"/>
      <c r="S28" s="44"/>
      <c r="T28" s="54"/>
    </row>
    <row r="29" spans="1:20" x14ac:dyDescent="0.3">
      <c r="A29" s="52" t="s">
        <v>465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50">
        <f>SUM(L5:L28)</f>
        <v>52173.778479867789</v>
      </c>
      <c r="M29" s="49">
        <f>SUM(M5:M28)</f>
        <v>1940</v>
      </c>
      <c r="N29" s="50">
        <f>SUM(N19:N28)</f>
        <v>54113.778479867789</v>
      </c>
      <c r="O29" s="44"/>
      <c r="P29" s="44"/>
      <c r="Q29" s="44"/>
      <c r="R29" s="44"/>
      <c r="S29" s="44"/>
      <c r="T29" s="50">
        <f>SUM(T19:T28)</f>
        <v>0</v>
      </c>
    </row>
    <row r="30" spans="1:20" x14ac:dyDescent="0.3">
      <c r="A30" s="52" t="s">
        <v>465</v>
      </c>
      <c r="B30" s="44"/>
      <c r="C30" s="44"/>
      <c r="D30" s="44"/>
      <c r="E30" s="44"/>
      <c r="F30" s="44"/>
      <c r="G30" s="10">
        <f>N29+T29</f>
        <v>54113.778479867789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3" spans="1:20" ht="14.4" hidden="1" x14ac:dyDescent="0.3">
      <c r="E33" s="44" t="s">
        <v>116</v>
      </c>
      <c r="F33" s="44">
        <v>25</v>
      </c>
      <c r="G33" s="26" t="s">
        <v>117</v>
      </c>
    </row>
    <row r="34" spans="1:20" hidden="1" x14ac:dyDescent="0.3">
      <c r="E34" s="44" t="s">
        <v>118</v>
      </c>
      <c r="F34" s="44">
        <f>15*1</f>
        <v>15</v>
      </c>
      <c r="G34" s="44"/>
    </row>
    <row r="35" spans="1:20" hidden="1" x14ac:dyDescent="0.3">
      <c r="E35" s="44" t="s">
        <v>119</v>
      </c>
      <c r="F35" s="76">
        <f>$F$21</f>
        <v>1883.5748610000001</v>
      </c>
      <c r="G35" s="44" t="s">
        <v>120</v>
      </c>
    </row>
    <row r="36" spans="1:20" hidden="1" x14ac:dyDescent="0.3">
      <c r="E36" s="44" t="s">
        <v>121</v>
      </c>
      <c r="F36" s="48">
        <f>3.28084 * 2.7</f>
        <v>8.8582680000000007</v>
      </c>
      <c r="G36" s="44" t="s">
        <v>122</v>
      </c>
    </row>
    <row r="37" spans="1:20" hidden="1" x14ac:dyDescent="0.3">
      <c r="E37" s="44" t="s">
        <v>123</v>
      </c>
      <c r="F37" s="51">
        <f>F35*F36</f>
        <v>16685.210916800748</v>
      </c>
      <c r="G37" s="44" t="s">
        <v>124</v>
      </c>
    </row>
    <row r="38" spans="1:20" hidden="1" x14ac:dyDescent="0.3">
      <c r="E38" s="44" t="s">
        <v>473</v>
      </c>
      <c r="F38" s="57">
        <f>F37/30</f>
        <v>556.17369722669162</v>
      </c>
      <c r="G38" s="44" t="s">
        <v>126</v>
      </c>
    </row>
    <row r="39" spans="1:20" hidden="1" x14ac:dyDescent="0.3">
      <c r="E39" s="44" t="s">
        <v>127</v>
      </c>
      <c r="F39" s="51">
        <f>SUM($L$5:$L$28)</f>
        <v>52173.778479867789</v>
      </c>
      <c r="G39" s="44" t="s">
        <v>128</v>
      </c>
    </row>
    <row r="40" spans="1:20" hidden="1" x14ac:dyDescent="0.3">
      <c r="E40" s="44" t="s">
        <v>129</v>
      </c>
      <c r="F40" s="51">
        <f>SUM($M$5:$M$28)</f>
        <v>1940</v>
      </c>
      <c r="G40" s="44" t="s">
        <v>128</v>
      </c>
    </row>
    <row r="41" spans="1:20" hidden="1" x14ac:dyDescent="0.3">
      <c r="E41" s="44" t="s">
        <v>130</v>
      </c>
      <c r="F41" s="51">
        <f>$N$29</f>
        <v>54113.778479867789</v>
      </c>
      <c r="G41" s="44" t="s">
        <v>128</v>
      </c>
    </row>
    <row r="42" spans="1:20" hidden="1" x14ac:dyDescent="0.3">
      <c r="E42" s="44" t="s">
        <v>131</v>
      </c>
      <c r="F42" s="50">
        <f>$T$29</f>
        <v>0</v>
      </c>
      <c r="G42" s="44" t="s">
        <v>128</v>
      </c>
    </row>
    <row r="43" spans="1:20" hidden="1" x14ac:dyDescent="0.3">
      <c r="E43" s="44" t="s">
        <v>132</v>
      </c>
      <c r="F43" s="57">
        <f>F39/(1.08*F33)</f>
        <v>1932.3621659210291</v>
      </c>
      <c r="G43" s="44" t="s">
        <v>126</v>
      </c>
    </row>
    <row r="44" spans="1:20" hidden="1" x14ac:dyDescent="0.3">
      <c r="E44" s="44" t="s">
        <v>132</v>
      </c>
      <c r="F44" s="57">
        <f>ROUNDUP(F43,0)</f>
        <v>1933</v>
      </c>
      <c r="G44" s="44" t="s">
        <v>126</v>
      </c>
    </row>
    <row r="45" spans="1:20" hidden="1" x14ac:dyDescent="0.3">
      <c r="E45" s="44" t="s">
        <v>133</v>
      </c>
      <c r="F45" s="50">
        <f>F44*0.0002930711</f>
        <v>0.56650643629999997</v>
      </c>
      <c r="G45" s="44" t="s">
        <v>134</v>
      </c>
    </row>
    <row r="46" spans="1:20" hidden="1" x14ac:dyDescent="0.3">
      <c r="E46" s="44" t="s">
        <v>135</v>
      </c>
      <c r="F46" s="50">
        <f>F39/F41</f>
        <v>0.9641496111619382</v>
      </c>
      <c r="G46" s="44"/>
    </row>
    <row r="47" spans="1:20" ht="13.5" customHeight="1" x14ac:dyDescent="0.3">
      <c r="A47" s="9" t="s">
        <v>136</v>
      </c>
      <c r="B47" s="9"/>
      <c r="C47" s="9"/>
      <c r="D47" s="9"/>
      <c r="E47" s="9" t="s">
        <v>137</v>
      </c>
      <c r="F47" s="9"/>
      <c r="G47" s="8" t="s">
        <v>138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53" t="s">
        <v>139</v>
      </c>
      <c r="B48" s="44" t="s">
        <v>140</v>
      </c>
      <c r="C48" s="44" t="s">
        <v>141</v>
      </c>
      <c r="D48" s="44" t="s">
        <v>142</v>
      </c>
      <c r="E48" s="53" t="s">
        <v>143</v>
      </c>
      <c r="F48" s="44" t="s">
        <v>144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53" t="s">
        <v>145</v>
      </c>
      <c r="B49" s="44" t="s">
        <v>146</v>
      </c>
      <c r="C49" s="44" t="s">
        <v>152</v>
      </c>
      <c r="D49" s="44" t="s">
        <v>148</v>
      </c>
      <c r="E49" s="53" t="s">
        <v>149</v>
      </c>
      <c r="F49" s="44" t="s">
        <v>150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53" t="s">
        <v>151</v>
      </c>
      <c r="B50" s="44" t="s">
        <v>146</v>
      </c>
      <c r="C50" s="44" t="s">
        <v>156</v>
      </c>
      <c r="D50" s="44"/>
      <c r="E50" s="53" t="s">
        <v>153</v>
      </c>
      <c r="F50" s="44" t="s">
        <v>154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53" t="s">
        <v>155</v>
      </c>
      <c r="B51" s="44" t="s">
        <v>146</v>
      </c>
      <c r="C51" s="44" t="s">
        <v>463</v>
      </c>
      <c r="D51" s="44" t="s">
        <v>148</v>
      </c>
      <c r="E51" s="53" t="s">
        <v>157</v>
      </c>
      <c r="F51" s="44" t="s">
        <v>158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53" t="s">
        <v>159</v>
      </c>
      <c r="B52" s="44" t="s">
        <v>146</v>
      </c>
      <c r="C52" s="44"/>
      <c r="D52" s="44"/>
      <c r="E52" s="53" t="s">
        <v>161</v>
      </c>
      <c r="F52" s="44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53" t="s">
        <v>162</v>
      </c>
      <c r="B53" s="44" t="s">
        <v>163</v>
      </c>
      <c r="C53" s="44"/>
      <c r="D53" s="44"/>
      <c r="E53" s="53"/>
      <c r="F53" s="44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spans="1:20" x14ac:dyDescent="0.3">
      <c r="A54" s="53" t="s">
        <v>164</v>
      </c>
      <c r="B54" s="44" t="s">
        <v>163</v>
      </c>
      <c r="C54" s="44"/>
      <c r="D54" s="44"/>
      <c r="E54" s="53"/>
      <c r="F54" s="44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spans="1:20" ht="13.5" customHeight="1" x14ac:dyDescent="0.3">
      <c r="A55" s="160" t="s">
        <v>165</v>
      </c>
      <c r="B55" s="160"/>
      <c r="C55" s="160"/>
      <c r="D55" s="160" t="s">
        <v>166</v>
      </c>
      <c r="E55" s="160"/>
      <c r="F55" s="160"/>
      <c r="G55" s="6" t="s">
        <v>167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160"/>
      <c r="B56" s="160"/>
      <c r="C56" s="160"/>
      <c r="D56" s="160"/>
      <c r="E56" s="160"/>
      <c r="F56" s="160"/>
      <c r="G56" s="161" t="s">
        <v>168</v>
      </c>
      <c r="H56" s="161"/>
      <c r="I56" s="161"/>
      <c r="J56" s="161"/>
      <c r="K56" s="161" t="s">
        <v>169</v>
      </c>
      <c r="L56" s="161"/>
      <c r="M56" s="161"/>
      <c r="N56" s="161"/>
      <c r="O56" s="161"/>
      <c r="P56" s="161"/>
      <c r="Q56" s="161"/>
      <c r="R56" s="59" t="s">
        <v>170</v>
      </c>
      <c r="S56" s="161"/>
      <c r="T56" s="161"/>
    </row>
    <row r="57" spans="1:20" x14ac:dyDescent="0.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</row>
    <row r="58" spans="1:20" x14ac:dyDescent="0.3">
      <c r="A58" s="60"/>
      <c r="B58" s="60"/>
      <c r="C58" s="60"/>
      <c r="D58" s="60"/>
      <c r="E58" s="60"/>
      <c r="F58" s="60"/>
      <c r="G58" s="60"/>
      <c r="H58" s="60"/>
      <c r="I58" s="60"/>
      <c r="L58" s="60"/>
      <c r="M58" s="60"/>
      <c r="N58" s="60"/>
      <c r="O58" s="60"/>
      <c r="P58" s="60"/>
      <c r="Q58" s="60"/>
      <c r="T58" s="60"/>
    </row>
    <row r="59" spans="1:20" x14ac:dyDescent="0.3">
      <c r="F59" s="61"/>
      <c r="L59" s="61"/>
    </row>
    <row r="60" spans="1:20" x14ac:dyDescent="0.3">
      <c r="F60" s="61"/>
      <c r="L60" s="61"/>
    </row>
    <row r="61" spans="1:20" x14ac:dyDescent="0.3">
      <c r="F61" s="61"/>
      <c r="L61" s="61"/>
    </row>
    <row r="62" spans="1:20" x14ac:dyDescent="0.3">
      <c r="F62" s="61"/>
      <c r="L62" s="61"/>
    </row>
    <row r="63" spans="1:20" x14ac:dyDescent="0.3">
      <c r="F63" s="61"/>
      <c r="L63" s="61"/>
    </row>
    <row r="64" spans="1:20" x14ac:dyDescent="0.3">
      <c r="F64" s="61"/>
      <c r="L64" s="61"/>
    </row>
    <row r="65" spans="1:20" x14ac:dyDescent="0.3">
      <c r="F65" s="61"/>
      <c r="L65" s="61"/>
    </row>
    <row r="66" spans="1:20" x14ac:dyDescent="0.3">
      <c r="F66" s="61"/>
      <c r="L66" s="61"/>
    </row>
    <row r="67" spans="1:20" x14ac:dyDescent="0.3">
      <c r="F67" s="61"/>
      <c r="L67" s="61"/>
    </row>
    <row r="68" spans="1:20" x14ac:dyDescent="0.3">
      <c r="A68" s="62"/>
      <c r="N68" s="61"/>
    </row>
    <row r="69" spans="1:20" x14ac:dyDescent="0.3">
      <c r="F69" s="61"/>
    </row>
    <row r="72" spans="1:20" x14ac:dyDescent="0.3">
      <c r="A72" s="62"/>
    </row>
    <row r="73" spans="1:20" x14ac:dyDescent="0.3">
      <c r="A73" s="62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</row>
    <row r="87" spans="1:20" x14ac:dyDescent="0.3">
      <c r="A87" s="41"/>
      <c r="B87" s="41"/>
      <c r="C87" s="41"/>
      <c r="D87" s="41"/>
      <c r="E87" s="41"/>
      <c r="F87" s="41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spans="1:20" x14ac:dyDescent="0.3">
      <c r="E88" s="39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spans="1:20" x14ac:dyDescent="0.3">
      <c r="E89" s="39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spans="1:20" x14ac:dyDescent="0.3">
      <c r="E90" s="39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spans="1:20" x14ac:dyDescent="0.3">
      <c r="E91" s="39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spans="1:20" x14ac:dyDescent="0.3">
      <c r="E92" s="39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spans="1:20" x14ac:dyDescent="0.3">
      <c r="A93" s="65"/>
      <c r="B93" s="65"/>
      <c r="C93" s="65"/>
      <c r="D93" s="65"/>
      <c r="E93" s="65"/>
      <c r="F93" s="6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 spans="1:20" x14ac:dyDescent="0.3">
      <c r="A94" s="65"/>
      <c r="B94" s="65"/>
      <c r="C94" s="65"/>
      <c r="D94" s="65"/>
      <c r="E94" s="65"/>
      <c r="F94" s="6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39"/>
      <c r="S94" s="41"/>
      <c r="T94" s="41"/>
    </row>
    <row r="95" spans="1:20" ht="13.5" customHeight="1" x14ac:dyDescent="0.3">
      <c r="A95" s="60"/>
      <c r="B95" s="60"/>
      <c r="C95" s="60"/>
      <c r="D95" s="60"/>
      <c r="E95" s="62"/>
      <c r="F95" s="62"/>
      <c r="G95" s="60"/>
      <c r="H95" s="60"/>
      <c r="I95" s="60"/>
      <c r="J95" s="60"/>
      <c r="K95" s="60"/>
      <c r="L95" s="60"/>
      <c r="M95" s="60"/>
      <c r="N95" s="60"/>
      <c r="O95" s="66"/>
      <c r="P95" s="66"/>
      <c r="Q95" s="66"/>
      <c r="R95" s="66"/>
      <c r="S95" s="66"/>
      <c r="T95" s="66"/>
    </row>
    <row r="96" spans="1:20" x14ac:dyDescent="0.3">
      <c r="A96" s="41"/>
      <c r="B96" s="41"/>
      <c r="C96" s="41"/>
      <c r="D96" s="41"/>
      <c r="E96" s="39"/>
      <c r="F96" s="39"/>
      <c r="G96" s="60"/>
      <c r="H96" s="60"/>
      <c r="I96" s="60"/>
      <c r="J96" s="60"/>
      <c r="K96" s="60"/>
      <c r="L96" s="60"/>
      <c r="M96" s="60"/>
      <c r="N96" s="60"/>
      <c r="O96" s="66"/>
      <c r="P96" s="66"/>
      <c r="Q96" s="66"/>
      <c r="R96" s="66"/>
      <c r="S96" s="66"/>
      <c r="T96" s="66"/>
    </row>
    <row r="97" spans="1:20" x14ac:dyDescent="0.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</row>
    <row r="98" spans="1:20" x14ac:dyDescent="0.3">
      <c r="A98" s="60"/>
      <c r="B98" s="60"/>
      <c r="C98" s="60"/>
      <c r="D98" s="60"/>
      <c r="E98" s="60"/>
      <c r="F98" s="60"/>
      <c r="G98" s="60"/>
      <c r="H98" s="60"/>
      <c r="I98" s="60"/>
      <c r="L98" s="60"/>
      <c r="M98" s="60"/>
      <c r="N98" s="60"/>
      <c r="O98" s="60"/>
      <c r="P98" s="60"/>
      <c r="Q98" s="60"/>
      <c r="T98" s="60"/>
    </row>
    <row r="127" spans="5:20" s="41" customFormat="1" x14ac:dyDescent="0.3"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</row>
    <row r="128" spans="5:20" x14ac:dyDescent="0.3">
      <c r="E128" s="39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</row>
    <row r="129" spans="1:20" x14ac:dyDescent="0.3">
      <c r="E129" s="39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</row>
    <row r="130" spans="1:20" x14ac:dyDescent="0.3">
      <c r="E130" s="39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</row>
    <row r="131" spans="1:20" x14ac:dyDescent="0.3">
      <c r="E131" s="39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</row>
    <row r="132" spans="1:20" x14ac:dyDescent="0.3">
      <c r="E132" s="39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</row>
    <row r="133" spans="1:20" x14ac:dyDescent="0.3">
      <c r="A133" s="65"/>
      <c r="B133" s="65"/>
      <c r="C133" s="65"/>
      <c r="D133" s="65"/>
      <c r="E133" s="65"/>
      <c r="F133" s="6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</row>
    <row r="134" spans="1:20" x14ac:dyDescent="0.3">
      <c r="A134" s="65"/>
      <c r="B134" s="65"/>
      <c r="C134" s="65"/>
      <c r="D134" s="65"/>
      <c r="E134" s="65"/>
      <c r="F134" s="6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39"/>
      <c r="S134" s="41"/>
      <c r="T134" s="41"/>
    </row>
    <row r="135" spans="1:20" ht="13.5" customHeight="1" x14ac:dyDescent="0.3">
      <c r="A135" s="60"/>
      <c r="B135" s="60"/>
      <c r="C135" s="60"/>
      <c r="D135" s="60"/>
      <c r="E135" s="62"/>
      <c r="F135" s="62"/>
      <c r="G135" s="60"/>
      <c r="H135" s="60"/>
      <c r="I135" s="60"/>
      <c r="J135" s="60"/>
      <c r="K135" s="60"/>
      <c r="L135" s="60"/>
      <c r="M135" s="60"/>
      <c r="N135" s="60"/>
      <c r="O135" s="66"/>
      <c r="P135" s="66"/>
      <c r="Q135" s="66"/>
      <c r="R135" s="66"/>
      <c r="S135" s="66"/>
      <c r="T135" s="66"/>
    </row>
    <row r="136" spans="1:20" x14ac:dyDescent="0.3">
      <c r="A136" s="41"/>
      <c r="B136" s="41"/>
      <c r="C136" s="41"/>
      <c r="D136" s="41"/>
      <c r="E136" s="39"/>
      <c r="F136" s="39"/>
      <c r="G136" s="60"/>
      <c r="H136" s="60"/>
      <c r="I136" s="60"/>
      <c r="J136" s="60"/>
      <c r="K136" s="60"/>
      <c r="L136" s="60"/>
      <c r="M136" s="60"/>
      <c r="N136" s="60"/>
      <c r="O136" s="66"/>
      <c r="P136" s="66"/>
      <c r="Q136" s="66"/>
      <c r="R136" s="66"/>
      <c r="S136" s="66"/>
      <c r="T136" s="66"/>
    </row>
    <row r="137" spans="1:20" x14ac:dyDescent="0.3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</row>
    <row r="138" spans="1:20" x14ac:dyDescent="0.3">
      <c r="A138" s="60"/>
      <c r="B138" s="60"/>
      <c r="C138" s="60"/>
      <c r="D138" s="60"/>
      <c r="E138" s="60"/>
      <c r="F138" s="60"/>
      <c r="G138" s="60"/>
      <c r="H138" s="60"/>
      <c r="I138" s="60"/>
      <c r="L138" s="60"/>
      <c r="M138" s="60"/>
      <c r="N138" s="60"/>
      <c r="O138" s="60"/>
      <c r="P138" s="60"/>
      <c r="Q138" s="60"/>
      <c r="T138" s="60"/>
    </row>
    <row r="167" spans="1:20" x14ac:dyDescent="0.3">
      <c r="A167" s="41"/>
      <c r="B167" s="41"/>
      <c r="C167" s="41"/>
      <c r="D167" s="41"/>
      <c r="E167" s="41"/>
      <c r="F167" s="41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</row>
    <row r="168" spans="1:20" x14ac:dyDescent="0.3">
      <c r="E168" s="39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</row>
    <row r="169" spans="1:20" x14ac:dyDescent="0.3">
      <c r="E169" s="39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x14ac:dyDescent="0.3">
      <c r="E170" s="39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</row>
    <row r="171" spans="1:20" x14ac:dyDescent="0.3">
      <c r="E171" s="39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</row>
    <row r="172" spans="1:20" x14ac:dyDescent="0.3">
      <c r="E172" s="39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</row>
    <row r="173" spans="1:20" x14ac:dyDescent="0.3">
      <c r="A173" s="65"/>
      <c r="B173" s="65"/>
      <c r="C173" s="65"/>
      <c r="D173" s="65"/>
      <c r="E173" s="65"/>
      <c r="F173" s="65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</row>
    <row r="174" spans="1:20" x14ac:dyDescent="0.3">
      <c r="A174" s="65"/>
      <c r="B174" s="65"/>
      <c r="C174" s="65"/>
      <c r="D174" s="65"/>
      <c r="E174" s="65"/>
      <c r="F174" s="65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39"/>
      <c r="S174" s="41"/>
      <c r="T174" s="41"/>
    </row>
    <row r="175" spans="1:20" x14ac:dyDescent="0.3">
      <c r="A175" s="60"/>
      <c r="B175" s="60"/>
      <c r="C175" s="60"/>
      <c r="D175" s="60"/>
      <c r="E175" s="62"/>
      <c r="F175" s="62"/>
      <c r="G175" s="60"/>
      <c r="H175" s="60"/>
      <c r="I175" s="60"/>
      <c r="J175" s="60"/>
      <c r="K175" s="60"/>
      <c r="L175" s="60"/>
      <c r="M175" s="60"/>
      <c r="N175" s="60"/>
      <c r="O175" s="66"/>
      <c r="P175" s="66"/>
      <c r="Q175" s="66"/>
      <c r="R175" s="66"/>
      <c r="S175" s="66"/>
      <c r="T175" s="66"/>
    </row>
    <row r="176" spans="1:20" x14ac:dyDescent="0.3">
      <c r="A176" s="41"/>
      <c r="B176" s="41"/>
      <c r="C176" s="41"/>
      <c r="D176" s="41"/>
      <c r="E176" s="39"/>
      <c r="F176" s="39"/>
      <c r="G176" s="60"/>
      <c r="H176" s="60"/>
      <c r="I176" s="60"/>
      <c r="J176" s="60"/>
      <c r="K176" s="60"/>
      <c r="L176" s="60"/>
      <c r="M176" s="60"/>
      <c r="N176" s="60"/>
      <c r="O176" s="66"/>
      <c r="P176" s="66"/>
      <c r="Q176" s="66"/>
      <c r="R176" s="66"/>
      <c r="S176" s="66"/>
      <c r="T176" s="66"/>
    </row>
    <row r="177" spans="1:20" x14ac:dyDescent="0.3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</row>
    <row r="178" spans="1:20" x14ac:dyDescent="0.3">
      <c r="A178" s="60"/>
      <c r="B178" s="60"/>
      <c r="C178" s="60"/>
      <c r="D178" s="60"/>
      <c r="E178" s="60"/>
      <c r="F178" s="60"/>
      <c r="G178" s="60"/>
      <c r="H178" s="60"/>
      <c r="I178" s="60"/>
      <c r="L178" s="60"/>
      <c r="M178" s="60"/>
      <c r="N178" s="60"/>
      <c r="O178" s="60"/>
      <c r="P178" s="60"/>
      <c r="Q178" s="60"/>
      <c r="T178" s="60"/>
    </row>
    <row r="207" spans="5:20" s="41" customFormat="1" x14ac:dyDescent="0.3"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</row>
    <row r="208" spans="5:20" x14ac:dyDescent="0.3">
      <c r="E208" s="39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</row>
    <row r="209" spans="1:20" x14ac:dyDescent="0.3">
      <c r="E209" s="39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</row>
    <row r="210" spans="1:20" x14ac:dyDescent="0.3">
      <c r="E210" s="39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</row>
    <row r="211" spans="1:20" x14ac:dyDescent="0.3">
      <c r="E211" s="39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</row>
    <row r="212" spans="1:20" x14ac:dyDescent="0.3">
      <c r="E212" s="39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</row>
    <row r="213" spans="1:20" x14ac:dyDescent="0.3">
      <c r="A213" s="65"/>
      <c r="B213" s="65"/>
      <c r="C213" s="65"/>
      <c r="D213" s="65"/>
      <c r="E213" s="65"/>
      <c r="F213" s="65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spans="1:20" x14ac:dyDescent="0.3">
      <c r="A214" s="65"/>
      <c r="B214" s="65"/>
      <c r="C214" s="65"/>
      <c r="D214" s="65"/>
      <c r="E214" s="65"/>
      <c r="F214" s="65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39"/>
      <c r="S214" s="41"/>
      <c r="T214" s="41"/>
    </row>
    <row r="215" spans="1:20" x14ac:dyDescent="0.3">
      <c r="A215" s="60"/>
      <c r="B215" s="60"/>
      <c r="C215" s="60"/>
      <c r="D215" s="60"/>
      <c r="E215" s="62"/>
      <c r="F215" s="62"/>
      <c r="G215" s="60"/>
      <c r="H215" s="60"/>
      <c r="I215" s="60"/>
      <c r="J215" s="60"/>
      <c r="K215" s="60"/>
      <c r="L215" s="60"/>
      <c r="M215" s="60"/>
      <c r="N215" s="60"/>
      <c r="O215" s="66"/>
      <c r="P215" s="66"/>
      <c r="Q215" s="66"/>
      <c r="R215" s="66"/>
      <c r="S215" s="66"/>
      <c r="T215" s="66"/>
    </row>
    <row r="216" spans="1:20" x14ac:dyDescent="0.3">
      <c r="A216" s="41"/>
      <c r="B216" s="41"/>
      <c r="C216" s="41"/>
      <c r="D216" s="41"/>
      <c r="E216" s="39"/>
      <c r="F216" s="39"/>
      <c r="G216" s="60"/>
      <c r="H216" s="60"/>
      <c r="I216" s="60"/>
      <c r="J216" s="60"/>
      <c r="K216" s="60"/>
      <c r="L216" s="60"/>
      <c r="M216" s="60"/>
      <c r="N216" s="60"/>
      <c r="O216" s="66"/>
      <c r="P216" s="66"/>
      <c r="Q216" s="66"/>
      <c r="R216" s="66"/>
      <c r="S216" s="66"/>
      <c r="T216" s="66"/>
    </row>
    <row r="217" spans="1:20" x14ac:dyDescent="0.3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</row>
    <row r="218" spans="1:20" x14ac:dyDescent="0.3">
      <c r="A218" s="60"/>
      <c r="B218" s="60"/>
      <c r="C218" s="60"/>
      <c r="D218" s="60"/>
      <c r="E218" s="60"/>
      <c r="F218" s="60"/>
      <c r="G218" s="60"/>
      <c r="H218" s="60"/>
      <c r="I218" s="60"/>
      <c r="L218" s="60"/>
      <c r="M218" s="60"/>
      <c r="N218" s="60"/>
      <c r="O218" s="60"/>
      <c r="P218" s="60"/>
      <c r="Q218" s="60"/>
      <c r="T218" s="60"/>
    </row>
    <row r="247" spans="1:20" x14ac:dyDescent="0.3">
      <c r="A247" s="41"/>
      <c r="B247" s="41"/>
      <c r="C247" s="41"/>
      <c r="D247" s="41"/>
      <c r="E247" s="41"/>
      <c r="F247" s="41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</row>
    <row r="248" spans="1:20" x14ac:dyDescent="0.3">
      <c r="E248" s="39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</row>
    <row r="249" spans="1:20" x14ac:dyDescent="0.3">
      <c r="E249" s="39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</row>
    <row r="250" spans="1:20" x14ac:dyDescent="0.3">
      <c r="E250" s="39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</row>
    <row r="251" spans="1:20" x14ac:dyDescent="0.3">
      <c r="E251" s="39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</row>
    <row r="252" spans="1:20" x14ac:dyDescent="0.3">
      <c r="E252" s="39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</row>
    <row r="253" spans="1:20" x14ac:dyDescent="0.3">
      <c r="A253" s="65"/>
      <c r="B253" s="65"/>
      <c r="C253" s="65"/>
      <c r="D253" s="65"/>
      <c r="E253" s="65"/>
      <c r="F253" s="65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 spans="1:20" x14ac:dyDescent="0.3">
      <c r="A254" s="65"/>
      <c r="B254" s="65"/>
      <c r="C254" s="65"/>
      <c r="D254" s="65"/>
      <c r="E254" s="65"/>
      <c r="F254" s="65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39"/>
      <c r="S254" s="41"/>
      <c r="T254" s="41"/>
    </row>
  </sheetData>
  <mergeCells count="35">
    <mergeCell ref="A55:C56"/>
    <mergeCell ref="D55:F56"/>
    <mergeCell ref="G55:T55"/>
    <mergeCell ref="G56:J56"/>
    <mergeCell ref="K56:N56"/>
    <mergeCell ref="O56:Q56"/>
    <mergeCell ref="S56:T56"/>
    <mergeCell ref="Q3:Q4"/>
    <mergeCell ref="R3:S3"/>
    <mergeCell ref="T3:T4"/>
    <mergeCell ref="G30:T30"/>
    <mergeCell ref="A47:D47"/>
    <mergeCell ref="E47:F47"/>
    <mergeCell ref="G47:T52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  <mergeCell ref="A1:B1"/>
    <mergeCell ref="C1:D1"/>
    <mergeCell ref="G1:N2"/>
    <mergeCell ref="O1:T2"/>
    <mergeCell ref="A2:B2"/>
    <mergeCell ref="C2:D2"/>
  </mergeCells>
  <pageMargins left="0.7" right="0.7" top="0.75" bottom="0.75" header="0.511811023622047" footer="0.511811023622047"/>
  <pageSetup paperSize="3" scale="84" orientation="landscape" horizontalDpi="300" verticalDpi="300"/>
  <rowBreaks count="4" manualBreakCount="4">
    <brk id="94" max="16383" man="1"/>
    <brk id="134" max="16383" man="1"/>
    <brk id="174" max="16383" man="1"/>
    <brk id="214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V204"/>
  <sheetViews>
    <sheetView zoomScale="95" zoomScaleNormal="95" workbookViewId="0">
      <pane ySplit="2" topLeftCell="A3" activePane="bottomLeft" state="frozen"/>
      <selection pane="bottomLeft" activeCell="M20" sqref="M20"/>
    </sheetView>
  </sheetViews>
  <sheetFormatPr defaultColWidth="8.88671875" defaultRowHeight="15.6" x14ac:dyDescent="0.3"/>
  <cols>
    <col min="1" max="1" width="34.44140625" style="78" customWidth="1"/>
    <col min="2" max="2" width="11.6640625" style="78" customWidth="1"/>
    <col min="3" max="12" width="14.6640625" style="78" customWidth="1"/>
    <col min="13" max="13" width="14.21875" style="29" customWidth="1"/>
    <col min="14" max="14" width="12.44140625" style="29" customWidth="1"/>
    <col min="15" max="15" width="12" style="29" customWidth="1"/>
    <col min="16" max="16" width="19.5546875" style="29" customWidth="1"/>
    <col min="17" max="17" width="16" style="29" customWidth="1"/>
    <col min="18" max="18" width="12.77734375" style="29" customWidth="1"/>
    <col min="19" max="19" width="10.5546875" style="29" customWidth="1"/>
    <col min="20" max="20" width="12.44140625" style="78" customWidth="1"/>
    <col min="21" max="21" width="10.88671875" style="29" customWidth="1"/>
    <col min="22" max="22" width="14" style="78" customWidth="1"/>
    <col min="23" max="23" width="18.77734375" style="78" customWidth="1"/>
    <col min="24" max="16384" width="8.88671875" style="78"/>
  </cols>
  <sheetData>
    <row r="1" spans="1:22" ht="15" customHeight="1" x14ac:dyDescent="0.3">
      <c r="A1" s="164" t="s">
        <v>72</v>
      </c>
      <c r="B1" s="164" t="s">
        <v>474</v>
      </c>
      <c r="C1" s="164" t="s">
        <v>74</v>
      </c>
      <c r="D1" s="164" t="s">
        <v>75</v>
      </c>
      <c r="E1" s="164" t="s">
        <v>475</v>
      </c>
      <c r="F1" s="164" t="s">
        <v>476</v>
      </c>
      <c r="G1" s="164"/>
      <c r="H1" s="164"/>
      <c r="I1" s="164" t="s">
        <v>135</v>
      </c>
      <c r="J1" s="164" t="s">
        <v>477</v>
      </c>
      <c r="K1" s="164"/>
      <c r="L1" s="164"/>
      <c r="M1" s="164" t="s">
        <v>126</v>
      </c>
      <c r="N1" s="165" t="s">
        <v>478</v>
      </c>
      <c r="O1" s="165" t="s">
        <v>479</v>
      </c>
      <c r="P1" s="165" t="s">
        <v>480</v>
      </c>
      <c r="Q1" s="165" t="s">
        <v>481</v>
      </c>
      <c r="R1" s="164" t="s">
        <v>482</v>
      </c>
      <c r="S1" s="164"/>
      <c r="T1" s="165" t="s">
        <v>483</v>
      </c>
      <c r="U1" s="164" t="s">
        <v>484</v>
      </c>
      <c r="V1" s="165" t="s">
        <v>485</v>
      </c>
    </row>
    <row r="2" spans="1:22" x14ac:dyDescent="0.3">
      <c r="A2" s="164"/>
      <c r="B2" s="164"/>
      <c r="C2" s="164"/>
      <c r="D2" s="164"/>
      <c r="E2" s="164"/>
      <c r="F2" s="79" t="s">
        <v>486</v>
      </c>
      <c r="G2" s="79" t="s">
        <v>487</v>
      </c>
      <c r="H2" s="79" t="s">
        <v>465</v>
      </c>
      <c r="I2" s="164"/>
      <c r="J2" s="79" t="s">
        <v>473</v>
      </c>
      <c r="K2" s="79" t="s">
        <v>488</v>
      </c>
      <c r="L2" s="79" t="s">
        <v>489</v>
      </c>
      <c r="M2" s="164"/>
      <c r="N2" s="165"/>
      <c r="O2" s="165"/>
      <c r="P2" s="165"/>
      <c r="Q2" s="165"/>
      <c r="R2" s="164" t="s">
        <v>490</v>
      </c>
      <c r="S2" s="164"/>
      <c r="T2" s="165"/>
      <c r="U2" s="164"/>
      <c r="V2" s="165"/>
    </row>
    <row r="3" spans="1:22" x14ac:dyDescent="0.3">
      <c r="A3" s="33" t="s">
        <v>26</v>
      </c>
      <c r="B3" s="80"/>
      <c r="C3" s="166" t="s">
        <v>79</v>
      </c>
      <c r="D3" s="24"/>
      <c r="E3" s="24"/>
      <c r="F3" s="32"/>
      <c r="G3" s="24"/>
      <c r="H3" s="81"/>
      <c r="I3" s="82">
        <f>'VEGETABLE STORE'!F46</f>
        <v>0.97096788371240361</v>
      </c>
      <c r="J3" s="34">
        <f>'VEGETABLE STORE'!F38</f>
        <v>48.778775666432587</v>
      </c>
      <c r="K3" s="83">
        <f>15*1</f>
        <v>15</v>
      </c>
      <c r="L3" s="83">
        <f>15*1</f>
        <v>15</v>
      </c>
      <c r="M3" s="81">
        <f>'VEGETABLE STORE'!F44</f>
        <v>638</v>
      </c>
      <c r="N3" s="34">
        <f t="shared" ref="N3:N42" si="0">MAX(J3:L3)</f>
        <v>48.778775666432587</v>
      </c>
      <c r="O3" s="34">
        <f t="shared" ref="O3:O42" si="1">M3*0.47194745</f>
        <v>301.1024731</v>
      </c>
      <c r="P3" s="84"/>
      <c r="Q3" s="85"/>
      <c r="R3" s="86"/>
      <c r="S3" s="80"/>
      <c r="T3" s="32"/>
      <c r="U3" s="80"/>
      <c r="V3" s="80"/>
    </row>
    <row r="4" spans="1:22" x14ac:dyDescent="0.3">
      <c r="A4" s="33" t="s">
        <v>27</v>
      </c>
      <c r="B4" s="80"/>
      <c r="C4" s="166"/>
      <c r="D4" s="24"/>
      <c r="E4" s="24"/>
      <c r="F4" s="32"/>
      <c r="G4" s="24"/>
      <c r="H4" s="81"/>
      <c r="I4" s="82">
        <v>0</v>
      </c>
      <c r="J4" s="34">
        <f>'MEET FISH STORE'!F38</f>
        <v>33.372328823820006</v>
      </c>
      <c r="K4" s="83">
        <f>15*1</f>
        <v>15</v>
      </c>
      <c r="L4" s="83">
        <f>15*1</f>
        <v>15</v>
      </c>
      <c r="M4" s="81">
        <f>'MEET FISH STORE'!F44</f>
        <v>325</v>
      </c>
      <c r="N4" s="34">
        <f t="shared" si="0"/>
        <v>33.372328823820006</v>
      </c>
      <c r="O4" s="34">
        <f t="shared" si="1"/>
        <v>153.38292125000001</v>
      </c>
      <c r="P4" s="84"/>
      <c r="Q4" s="85"/>
      <c r="R4" s="86"/>
      <c r="S4" s="80"/>
      <c r="T4" s="32"/>
      <c r="U4" s="80"/>
      <c r="V4" s="80"/>
    </row>
    <row r="5" spans="1:22" x14ac:dyDescent="0.3">
      <c r="A5" s="33" t="s">
        <v>28</v>
      </c>
      <c r="B5" s="80"/>
      <c r="C5" s="166"/>
      <c r="D5" s="24"/>
      <c r="E5" s="24"/>
      <c r="F5" s="32"/>
      <c r="G5" s="24"/>
      <c r="H5" s="81"/>
      <c r="I5" s="82">
        <f>'ENGINE CONTROL ROOM'!F46</f>
        <v>0.96991558275390333</v>
      </c>
      <c r="J5" s="34">
        <f>'ENGINE CONTROL ROOM'!F38</f>
        <v>208.14798234971158</v>
      </c>
      <c r="K5" s="83">
        <f>15*2</f>
        <v>30</v>
      </c>
      <c r="L5" s="83">
        <f>15*2</f>
        <v>30</v>
      </c>
      <c r="M5" s="81">
        <f>'ENGINE CONTROL ROOM'!F44</f>
        <v>1738</v>
      </c>
      <c r="N5" s="34">
        <f t="shared" si="0"/>
        <v>208.14798234971158</v>
      </c>
      <c r="O5" s="34">
        <f t="shared" si="1"/>
        <v>820.24466810000001</v>
      </c>
      <c r="P5" s="84"/>
      <c r="Q5" s="85"/>
      <c r="R5" s="86"/>
      <c r="S5" s="80"/>
      <c r="T5" s="32"/>
      <c r="U5" s="80"/>
      <c r="V5" s="80"/>
    </row>
    <row r="6" spans="1:22" x14ac:dyDescent="0.3">
      <c r="A6" s="33" t="s">
        <v>29</v>
      </c>
      <c r="B6" s="80"/>
      <c r="C6" s="166"/>
      <c r="D6" s="24"/>
      <c r="E6" s="24"/>
      <c r="F6" s="32"/>
      <c r="G6" s="24"/>
      <c r="H6" s="81"/>
      <c r="I6" s="82">
        <f>'DRY PROVISION STORE'!F46</f>
        <v>0.98836698207539952</v>
      </c>
      <c r="J6" s="34">
        <f>'DRY PROVISION STORE'!F38</f>
        <v>153.4453322685182</v>
      </c>
      <c r="K6" s="83">
        <f t="shared" ref="K6:L9" si="2">15*1</f>
        <v>15</v>
      </c>
      <c r="L6" s="83">
        <f t="shared" si="2"/>
        <v>15</v>
      </c>
      <c r="M6" s="81">
        <f>'DRY PROVISION STORE'!F44</f>
        <v>1527</v>
      </c>
      <c r="N6" s="34">
        <f t="shared" si="0"/>
        <v>153.4453322685182</v>
      </c>
      <c r="O6" s="34">
        <f t="shared" si="1"/>
        <v>720.66375615000004</v>
      </c>
      <c r="P6" s="84"/>
      <c r="Q6" s="85"/>
      <c r="R6" s="86"/>
      <c r="S6" s="80"/>
      <c r="T6" s="32"/>
      <c r="U6" s="80"/>
      <c r="V6" s="80"/>
    </row>
    <row r="7" spans="1:22" x14ac:dyDescent="0.3">
      <c r="A7" s="25" t="s">
        <v>31</v>
      </c>
      <c r="B7" s="80"/>
      <c r="C7" s="166" t="s">
        <v>230</v>
      </c>
      <c r="D7" s="24"/>
      <c r="E7" s="24"/>
      <c r="F7" s="32"/>
      <c r="G7" s="24"/>
      <c r="H7" s="81"/>
      <c r="I7" s="82">
        <f>'CARGO CONTROL ROOM'!F46</f>
        <v>0.85675627595145842</v>
      </c>
      <c r="J7" s="34">
        <f>'CARGO CONTROL ROOM'!F38</f>
        <v>75.262547290291209</v>
      </c>
      <c r="K7" s="83">
        <f t="shared" si="2"/>
        <v>15</v>
      </c>
      <c r="L7" s="83">
        <f t="shared" si="2"/>
        <v>15</v>
      </c>
      <c r="M7" s="81">
        <f>'CARGO CONTROL ROOM'!F44</f>
        <v>215</v>
      </c>
      <c r="N7" s="34">
        <f t="shared" si="0"/>
        <v>75.262547290291209</v>
      </c>
      <c r="O7" s="34">
        <f t="shared" si="1"/>
        <v>101.46870174999999</v>
      </c>
      <c r="P7" s="84"/>
      <c r="Q7" s="85"/>
      <c r="R7" s="86"/>
      <c r="S7" s="80"/>
      <c r="T7" s="32"/>
      <c r="U7" s="80"/>
      <c r="V7" s="80"/>
    </row>
    <row r="8" spans="1:22" x14ac:dyDescent="0.3">
      <c r="A8" s="25" t="s">
        <v>32</v>
      </c>
      <c r="B8" s="80"/>
      <c r="C8" s="166"/>
      <c r="D8" s="24"/>
      <c r="E8" s="24"/>
      <c r="F8" s="32"/>
      <c r="G8" s="24"/>
      <c r="H8" s="81"/>
      <c r="I8" s="82">
        <f>'SHIP OFFICE'!F46</f>
        <v>0.89483850555288202</v>
      </c>
      <c r="J8" s="34">
        <f>'SHIP OFFICE'!F38</f>
        <v>94.014617772247192</v>
      </c>
      <c r="K8" s="83">
        <f t="shared" si="2"/>
        <v>15</v>
      </c>
      <c r="L8" s="83">
        <f t="shared" si="2"/>
        <v>15</v>
      </c>
      <c r="M8" s="81">
        <f>'SHIP OFFICE'!F44</f>
        <v>306</v>
      </c>
      <c r="N8" s="34">
        <f t="shared" si="0"/>
        <v>94.014617772247192</v>
      </c>
      <c r="O8" s="34">
        <f t="shared" si="1"/>
        <v>144.41591969999999</v>
      </c>
      <c r="P8" s="84"/>
      <c r="Q8" s="85"/>
      <c r="R8" s="86"/>
      <c r="S8" s="80"/>
      <c r="T8" s="32"/>
      <c r="U8" s="80"/>
      <c r="V8" s="80"/>
    </row>
    <row r="9" spans="1:22" x14ac:dyDescent="0.3">
      <c r="A9" s="25" t="s">
        <v>33</v>
      </c>
      <c r="B9" s="80"/>
      <c r="C9" s="166"/>
      <c r="D9" s="24"/>
      <c r="E9" s="24"/>
      <c r="F9" s="32"/>
      <c r="G9" s="24"/>
      <c r="H9" s="81"/>
      <c r="I9" s="82">
        <f>'DECK CHANGE ROOM'!F46</f>
        <v>0.69700304894642717</v>
      </c>
      <c r="J9" s="34">
        <f>'DECK CHANGE ROOM'!F38</f>
        <v>19.832698272441601</v>
      </c>
      <c r="K9" s="83">
        <f t="shared" si="2"/>
        <v>15</v>
      </c>
      <c r="L9" s="83">
        <f t="shared" si="2"/>
        <v>15</v>
      </c>
      <c r="M9" s="81">
        <f>'DECK CHANGE ROOM'!F44</f>
        <v>166</v>
      </c>
      <c r="N9" s="34">
        <f t="shared" si="0"/>
        <v>19.832698272441601</v>
      </c>
      <c r="O9" s="34">
        <f t="shared" si="1"/>
        <v>78.343276700000004</v>
      </c>
      <c r="P9" s="84"/>
      <c r="Q9" s="85"/>
      <c r="R9" s="86"/>
      <c r="S9" s="80"/>
      <c r="T9" s="32"/>
      <c r="U9" s="80"/>
      <c r="V9" s="80"/>
    </row>
    <row r="10" spans="1:22" x14ac:dyDescent="0.3">
      <c r="A10" s="25" t="s">
        <v>35</v>
      </c>
      <c r="B10" s="80"/>
      <c r="C10" s="166"/>
      <c r="D10" s="24"/>
      <c r="E10" s="24"/>
      <c r="F10" s="32"/>
      <c r="G10" s="24"/>
      <c r="H10" s="81"/>
      <c r="I10" s="82">
        <f>GALLEY!F46</f>
        <v>0.70397858914226752</v>
      </c>
      <c r="J10" s="34">
        <f>GALLEY!F38</f>
        <v>88.738611501052816</v>
      </c>
      <c r="K10" s="83">
        <f>15*2</f>
        <v>30</v>
      </c>
      <c r="L10" s="83">
        <f>15*2</f>
        <v>30</v>
      </c>
      <c r="M10" s="81">
        <f>GALLEY!F44</f>
        <v>1408</v>
      </c>
      <c r="N10" s="34">
        <f t="shared" si="0"/>
        <v>88.738611501052816</v>
      </c>
      <c r="O10" s="34">
        <f t="shared" si="1"/>
        <v>664.50200959999995</v>
      </c>
      <c r="P10" s="84"/>
      <c r="Q10" s="85"/>
      <c r="R10" s="86"/>
      <c r="S10" s="80"/>
      <c r="T10" s="32"/>
      <c r="U10" s="80"/>
      <c r="V10" s="80"/>
    </row>
    <row r="11" spans="1:22" x14ac:dyDescent="0.3">
      <c r="A11" s="25" t="s">
        <v>37</v>
      </c>
      <c r="B11" s="80"/>
      <c r="C11" s="166"/>
      <c r="D11" s="24"/>
      <c r="E11" s="24"/>
      <c r="F11" s="32"/>
      <c r="G11" s="24"/>
      <c r="H11" s="81"/>
      <c r="I11" s="82">
        <f>'CREW MESS'!F46</f>
        <v>0.77427156002679054</v>
      </c>
      <c r="J11" s="34">
        <f>'CREW MESS'!F38</f>
        <v>119.37758767835041</v>
      </c>
      <c r="K11" s="83">
        <f>15*5</f>
        <v>75</v>
      </c>
      <c r="L11" s="83">
        <f>15*5</f>
        <v>75</v>
      </c>
      <c r="M11" s="81">
        <f>'CREW MESS'!F44</f>
        <v>697</v>
      </c>
      <c r="N11" s="34">
        <f t="shared" si="0"/>
        <v>119.37758767835041</v>
      </c>
      <c r="O11" s="34">
        <f t="shared" si="1"/>
        <v>328.94737264999998</v>
      </c>
      <c r="P11" s="84"/>
      <c r="Q11" s="85"/>
      <c r="R11" s="86"/>
      <c r="S11" s="80"/>
      <c r="T11" s="32"/>
      <c r="U11" s="80"/>
      <c r="V11" s="80"/>
    </row>
    <row r="12" spans="1:22" x14ac:dyDescent="0.3">
      <c r="A12" s="25" t="s">
        <v>38</v>
      </c>
      <c r="B12" s="80"/>
      <c r="C12" s="166"/>
      <c r="D12" s="24"/>
      <c r="E12" s="24"/>
      <c r="F12" s="32"/>
      <c r="G12" s="24"/>
      <c r="H12" s="81"/>
      <c r="I12" s="82">
        <f>'CREW MESS'!F46</f>
        <v>0.77427156002679054</v>
      </c>
      <c r="J12" s="34">
        <f>'OFFICE MESS'!F38</f>
        <v>115.88143894442642</v>
      </c>
      <c r="K12" s="83">
        <f>15*5</f>
        <v>75</v>
      </c>
      <c r="L12" s="83">
        <f>15*5</f>
        <v>75</v>
      </c>
      <c r="M12" s="81">
        <f>'OFFICE MESS'!F44</f>
        <v>478</v>
      </c>
      <c r="N12" s="34">
        <f t="shared" si="0"/>
        <v>115.88143894442642</v>
      </c>
      <c r="O12" s="34">
        <f t="shared" si="1"/>
        <v>225.59088109999999</v>
      </c>
      <c r="P12" s="84"/>
      <c r="Q12" s="85"/>
      <c r="R12" s="86"/>
      <c r="S12" s="80"/>
      <c r="T12" s="32"/>
      <c r="U12" s="80"/>
      <c r="V12" s="80"/>
    </row>
    <row r="13" spans="1:22" x14ac:dyDescent="0.3">
      <c r="A13" s="37" t="s">
        <v>40</v>
      </c>
      <c r="B13" s="80"/>
      <c r="C13" s="167" t="s">
        <v>311</v>
      </c>
      <c r="D13" s="24"/>
      <c r="E13" s="24"/>
      <c r="F13" s="32"/>
      <c r="G13" s="24"/>
      <c r="H13" s="81"/>
      <c r="I13" s="82">
        <f>'MOTORMAN 2 CABIN'!F46</f>
        <v>0.85796240261680112</v>
      </c>
      <c r="J13" s="34">
        <f>'MOTORMAN 2 CABIN'!F38</f>
        <v>41.190988719686402</v>
      </c>
      <c r="K13" s="83">
        <f t="shared" ref="K13:L20" si="3">15*1</f>
        <v>15</v>
      </c>
      <c r="L13" s="83">
        <f t="shared" si="3"/>
        <v>15</v>
      </c>
      <c r="M13" s="81">
        <f>'MOTORMAN 2 CABIN'!F44</f>
        <v>109</v>
      </c>
      <c r="N13" s="34">
        <f t="shared" si="0"/>
        <v>41.190988719686402</v>
      </c>
      <c r="O13" s="34">
        <f t="shared" si="1"/>
        <v>51.44227205</v>
      </c>
      <c r="P13" s="84"/>
      <c r="Q13" s="85"/>
      <c r="R13" s="86"/>
      <c r="S13" s="80"/>
      <c r="T13" s="32"/>
      <c r="U13" s="80"/>
      <c r="V13" s="80"/>
    </row>
    <row r="14" spans="1:22" x14ac:dyDescent="0.3">
      <c r="A14" s="37" t="s">
        <v>41</v>
      </c>
      <c r="B14" s="80"/>
      <c r="C14" s="167"/>
      <c r="D14" s="24"/>
      <c r="E14" s="24"/>
      <c r="F14" s="32"/>
      <c r="G14" s="24"/>
      <c r="H14" s="81"/>
      <c r="I14" s="82">
        <f>'MOTORMAN 1 CABIN'!F46</f>
        <v>0.84943255894635283</v>
      </c>
      <c r="J14" s="34">
        <f>'MOTORMAN 1 CABIN'!F38</f>
        <v>39.6336133745748</v>
      </c>
      <c r="K14" s="83">
        <f t="shared" si="3"/>
        <v>15</v>
      </c>
      <c r="L14" s="83">
        <f t="shared" si="3"/>
        <v>15</v>
      </c>
      <c r="M14" s="81">
        <f>'MOTORMAN 1 CABIN'!F44</f>
        <v>102</v>
      </c>
      <c r="N14" s="34">
        <f t="shared" si="0"/>
        <v>39.6336133745748</v>
      </c>
      <c r="O14" s="34">
        <f t="shared" si="1"/>
        <v>48.138639900000001</v>
      </c>
      <c r="P14" s="84"/>
      <c r="Q14" s="85"/>
      <c r="R14" s="86"/>
      <c r="S14" s="80"/>
      <c r="T14" s="32"/>
      <c r="U14" s="80"/>
      <c r="V14" s="80"/>
    </row>
    <row r="15" spans="1:22" x14ac:dyDescent="0.3">
      <c r="A15" s="37" t="s">
        <v>42</v>
      </c>
      <c r="B15" s="80"/>
      <c r="C15" s="167"/>
      <c r="D15" s="24"/>
      <c r="E15" s="24"/>
      <c r="F15" s="32"/>
      <c r="G15" s="24"/>
      <c r="H15" s="81"/>
      <c r="I15" s="82">
        <f>'AB 2 CABIN'!F46</f>
        <v>0.79945116270727357</v>
      </c>
      <c r="J15" s="34">
        <f>'AB 2 CABIN'!F38</f>
        <v>46.180946458105197</v>
      </c>
      <c r="K15" s="83">
        <f t="shared" si="3"/>
        <v>15</v>
      </c>
      <c r="L15" s="83">
        <f t="shared" si="3"/>
        <v>15</v>
      </c>
      <c r="M15" s="81">
        <f>'AB 2 CABIN'!F44</f>
        <v>72</v>
      </c>
      <c r="N15" s="34">
        <f t="shared" si="0"/>
        <v>46.180946458105197</v>
      </c>
      <c r="O15" s="34">
        <f t="shared" si="1"/>
        <v>33.980216399999996</v>
      </c>
      <c r="P15" s="84"/>
      <c r="Q15" s="85"/>
      <c r="R15" s="86"/>
      <c r="S15" s="80"/>
      <c r="T15" s="32"/>
      <c r="U15" s="80"/>
      <c r="V15" s="80"/>
    </row>
    <row r="16" spans="1:22" x14ac:dyDescent="0.3">
      <c r="A16" s="37" t="s">
        <v>43</v>
      </c>
      <c r="B16" s="80"/>
      <c r="C16" s="167"/>
      <c r="D16" s="24"/>
      <c r="E16" s="24"/>
      <c r="F16" s="32"/>
      <c r="G16" s="24"/>
      <c r="H16" s="81"/>
      <c r="I16" s="82">
        <f>'AB 1 CABIN'!F46</f>
        <v>0.83676068605595011</v>
      </c>
      <c r="J16" s="34">
        <f>'AB 1 CABIN'!F38</f>
        <v>45.608849392553999</v>
      </c>
      <c r="K16" s="83">
        <f t="shared" si="3"/>
        <v>15</v>
      </c>
      <c r="L16" s="83">
        <f t="shared" si="3"/>
        <v>15</v>
      </c>
      <c r="M16" s="81">
        <f>'AB 1 CABIN'!F44</f>
        <v>93</v>
      </c>
      <c r="N16" s="34">
        <f t="shared" si="0"/>
        <v>45.608849392553999</v>
      </c>
      <c r="O16" s="34">
        <f t="shared" si="1"/>
        <v>43.891112849999999</v>
      </c>
      <c r="P16" s="84"/>
      <c r="Q16" s="85"/>
      <c r="R16" s="86"/>
      <c r="S16" s="80"/>
      <c r="T16" s="32"/>
      <c r="U16" s="80"/>
      <c r="V16" s="80"/>
    </row>
    <row r="17" spans="1:22" x14ac:dyDescent="0.3">
      <c r="A17" s="37" t="s">
        <v>44</v>
      </c>
      <c r="B17" s="80"/>
      <c r="C17" s="167"/>
      <c r="D17" s="24"/>
      <c r="E17" s="24"/>
      <c r="F17" s="32"/>
      <c r="G17" s="24"/>
      <c r="H17" s="81"/>
      <c r="I17" s="82">
        <f>HOSPITAL!F46</f>
        <v>0.86690557719054073</v>
      </c>
      <c r="J17" s="34">
        <f>HOSPITAL!F38</f>
        <v>54.635269760139607</v>
      </c>
      <c r="K17" s="83">
        <f t="shared" si="3"/>
        <v>15</v>
      </c>
      <c r="L17" s="83">
        <f t="shared" si="3"/>
        <v>15</v>
      </c>
      <c r="M17" s="81">
        <f>HOSPITAL!F44</f>
        <v>118</v>
      </c>
      <c r="N17" s="34">
        <f t="shared" si="0"/>
        <v>54.635269760139607</v>
      </c>
      <c r="O17" s="34">
        <f t="shared" si="1"/>
        <v>55.689799100000002</v>
      </c>
      <c r="P17" s="84"/>
      <c r="Q17" s="85"/>
      <c r="R17" s="86"/>
      <c r="S17" s="80"/>
      <c r="T17" s="32"/>
      <c r="U17" s="80"/>
      <c r="V17" s="80"/>
    </row>
    <row r="18" spans="1:22" x14ac:dyDescent="0.3">
      <c r="A18" s="37" t="s">
        <v>45</v>
      </c>
      <c r="B18" s="80"/>
      <c r="C18" s="167"/>
      <c r="D18" s="24"/>
      <c r="E18" s="24"/>
      <c r="F18" s="32"/>
      <c r="G18" s="24"/>
      <c r="H18" s="81"/>
      <c r="I18" s="82">
        <f>'OS CABIN'!F46</f>
        <v>0.85043368035987232</v>
      </c>
      <c r="J18" s="34">
        <f>'OS CABIN'!F38</f>
        <v>39.6336133745748</v>
      </c>
      <c r="K18" s="83">
        <f t="shared" si="3"/>
        <v>15</v>
      </c>
      <c r="L18" s="83">
        <f t="shared" si="3"/>
        <v>15</v>
      </c>
      <c r="M18" s="81">
        <f>'OS CABIN'!F44</f>
        <v>103</v>
      </c>
      <c r="N18" s="34">
        <f t="shared" si="0"/>
        <v>39.6336133745748</v>
      </c>
      <c r="O18" s="34">
        <f t="shared" si="1"/>
        <v>48.610587349999996</v>
      </c>
      <c r="P18" s="84"/>
      <c r="Q18" s="85"/>
      <c r="R18" s="86"/>
      <c r="S18" s="80"/>
      <c r="T18" s="32"/>
      <c r="U18" s="80"/>
      <c r="V18" s="80"/>
    </row>
    <row r="19" spans="1:22" x14ac:dyDescent="0.3">
      <c r="A19" s="37" t="s">
        <v>46</v>
      </c>
      <c r="B19" s="80"/>
      <c r="C19" s="167"/>
      <c r="D19" s="24"/>
      <c r="E19" s="24"/>
      <c r="F19" s="32"/>
      <c r="G19" s="24"/>
      <c r="H19" s="81"/>
      <c r="I19" s="82">
        <f>'MESSMAN CABIN'!F46</f>
        <v>0.78522877520716139</v>
      </c>
      <c r="J19" s="34">
        <f>'MESSMAN CABIN'!F38</f>
        <v>39.6336133745748</v>
      </c>
      <c r="K19" s="83">
        <f t="shared" si="3"/>
        <v>15</v>
      </c>
      <c r="L19" s="83">
        <f t="shared" si="3"/>
        <v>15</v>
      </c>
      <c r="M19" s="81">
        <f>'MESSMAN CABIN'!F44</f>
        <v>66</v>
      </c>
      <c r="N19" s="34">
        <f t="shared" si="0"/>
        <v>39.6336133745748</v>
      </c>
      <c r="O19" s="34">
        <f t="shared" si="1"/>
        <v>31.148531699999999</v>
      </c>
      <c r="P19" s="84"/>
      <c r="Q19" s="85"/>
      <c r="R19" s="86"/>
      <c r="S19" s="80"/>
      <c r="T19" s="32"/>
      <c r="U19" s="80"/>
      <c r="V19" s="80"/>
    </row>
    <row r="20" spans="1:22" x14ac:dyDescent="0.3">
      <c r="A20" s="37" t="s">
        <v>47</v>
      </c>
      <c r="B20" s="80"/>
      <c r="C20" s="167"/>
      <c r="D20" s="24"/>
      <c r="E20" s="24"/>
      <c r="F20" s="32"/>
      <c r="G20" s="24"/>
      <c r="H20" s="81"/>
      <c r="I20" s="82">
        <f>'FITTER CABIN'!F46</f>
        <v>0.8018298810730029</v>
      </c>
      <c r="J20" s="34">
        <f>'FITTER CABIN'!F38</f>
        <v>42.748364064798004</v>
      </c>
      <c r="K20" s="83">
        <f t="shared" si="3"/>
        <v>15</v>
      </c>
      <c r="L20" s="83">
        <f t="shared" si="3"/>
        <v>15</v>
      </c>
      <c r="M20" s="81">
        <f>'FITTER CABIN'!F44</f>
        <v>73</v>
      </c>
      <c r="N20" s="34">
        <f t="shared" si="0"/>
        <v>42.748364064798004</v>
      </c>
      <c r="O20" s="34">
        <f t="shared" si="1"/>
        <v>34.452163849999998</v>
      </c>
      <c r="P20" s="84"/>
      <c r="Q20" s="85"/>
      <c r="R20" s="86"/>
      <c r="S20" s="80"/>
      <c r="T20" s="32"/>
      <c r="U20" s="80"/>
      <c r="V20" s="80"/>
    </row>
    <row r="21" spans="1:22" x14ac:dyDescent="0.3">
      <c r="A21" s="37" t="s">
        <v>48</v>
      </c>
      <c r="B21" s="80"/>
      <c r="C21" s="167"/>
      <c r="D21" s="24"/>
      <c r="E21" s="24"/>
      <c r="F21" s="32"/>
      <c r="G21" s="24"/>
      <c r="H21" s="81"/>
      <c r="I21" s="82">
        <f>'SUEZ CREW'!F46</f>
        <v>0.67165574067310552</v>
      </c>
      <c r="J21" s="34">
        <f>'SUEZ CREW'!F38</f>
        <v>42.970846256956811</v>
      </c>
      <c r="K21" s="83">
        <f>15*3</f>
        <v>45</v>
      </c>
      <c r="L21" s="83">
        <f>15*3</f>
        <v>45</v>
      </c>
      <c r="M21" s="81">
        <f>'SUEZ CREW'!F44</f>
        <v>221</v>
      </c>
      <c r="N21" s="34">
        <f t="shared" si="0"/>
        <v>45</v>
      </c>
      <c r="O21" s="34">
        <f t="shared" si="1"/>
        <v>104.30038645</v>
      </c>
      <c r="P21" s="84"/>
      <c r="Q21" s="85"/>
      <c r="R21" s="86"/>
      <c r="S21" s="80"/>
      <c r="T21" s="32"/>
      <c r="U21" s="80"/>
      <c r="V21" s="80"/>
    </row>
    <row r="22" spans="1:22" x14ac:dyDescent="0.3">
      <c r="A22" s="37" t="s">
        <v>50</v>
      </c>
      <c r="B22" s="80"/>
      <c r="C22" s="166" t="s">
        <v>369</v>
      </c>
      <c r="D22" s="24"/>
      <c r="E22" s="24"/>
      <c r="F22" s="32"/>
      <c r="G22" s="24"/>
      <c r="H22" s="81"/>
      <c r="I22" s="82">
        <f>'2ND ENGINEER CABIN'!F46</f>
        <v>0.88297323411728579</v>
      </c>
      <c r="J22" s="34">
        <f>'2ND ENGINEER CABIN'!F38</f>
        <v>71.671049045442004</v>
      </c>
      <c r="K22" s="83">
        <f t="shared" ref="K22:L26" si="4">15*1</f>
        <v>15</v>
      </c>
      <c r="L22" s="83">
        <f t="shared" si="4"/>
        <v>15</v>
      </c>
      <c r="M22" s="81">
        <f>'2ND ENGINEER CABIN'!$F$44</f>
        <v>136</v>
      </c>
      <c r="N22" s="34">
        <f t="shared" si="0"/>
        <v>71.671049045442004</v>
      </c>
      <c r="O22" s="34">
        <f t="shared" si="1"/>
        <v>64.184853199999992</v>
      </c>
      <c r="P22" s="87">
        <v>2.2000000000000002</v>
      </c>
      <c r="Q22" s="85"/>
      <c r="R22" s="86"/>
      <c r="S22" s="80"/>
      <c r="T22" s="32"/>
      <c r="U22" s="80"/>
      <c r="V22" s="80"/>
    </row>
    <row r="23" spans="1:22" x14ac:dyDescent="0.3">
      <c r="A23" s="37" t="s">
        <v>51</v>
      </c>
      <c r="B23" s="80"/>
      <c r="C23" s="166"/>
      <c r="D23" s="24"/>
      <c r="E23" s="24"/>
      <c r="F23" s="32"/>
      <c r="G23" s="24"/>
      <c r="H23" s="81"/>
      <c r="I23" s="82">
        <f>'3RD ENGINEER CABIN'!F46</f>
        <v>0.83477719027678887</v>
      </c>
      <c r="J23" s="34">
        <f>'3RD ENGINEER CABIN'!F38</f>
        <v>48.087936676609203</v>
      </c>
      <c r="K23" s="83">
        <f t="shared" si="4"/>
        <v>15</v>
      </c>
      <c r="L23" s="83">
        <f t="shared" si="4"/>
        <v>15</v>
      </c>
      <c r="M23" s="81">
        <f>'3RD ENGINEER CABIN'!$F$44</f>
        <v>91</v>
      </c>
      <c r="N23" s="34">
        <f t="shared" si="0"/>
        <v>48.087936676609203</v>
      </c>
      <c r="O23" s="34">
        <f t="shared" si="1"/>
        <v>42.947217950000002</v>
      </c>
      <c r="P23" s="84"/>
      <c r="Q23" s="85"/>
      <c r="R23" s="86"/>
      <c r="S23" s="80"/>
      <c r="T23" s="32"/>
      <c r="U23" s="80"/>
      <c r="V23" s="80"/>
    </row>
    <row r="24" spans="1:22" x14ac:dyDescent="0.3">
      <c r="A24" s="37" t="s">
        <v>52</v>
      </c>
      <c r="B24" s="80"/>
      <c r="C24" s="166"/>
      <c r="D24" s="24"/>
      <c r="E24" s="24"/>
      <c r="F24" s="32"/>
      <c r="G24" s="24"/>
      <c r="H24" s="81"/>
      <c r="I24" s="82">
        <f>'ELECTRICIANMAN CABIN'!F46</f>
        <v>0.80847618480665817</v>
      </c>
      <c r="J24" s="34">
        <f>'ELECTRICIANMAN CABIN'!F38</f>
        <v>11.441941311024001</v>
      </c>
      <c r="K24" s="83">
        <f t="shared" si="4"/>
        <v>15</v>
      </c>
      <c r="L24" s="83">
        <f t="shared" si="4"/>
        <v>15</v>
      </c>
      <c r="M24" s="81">
        <f>'ELECTRICIANMAN CABIN'!$F$44</f>
        <v>76</v>
      </c>
      <c r="N24" s="34">
        <f t="shared" si="0"/>
        <v>15</v>
      </c>
      <c r="O24" s="34">
        <f t="shared" si="1"/>
        <v>35.868006199999996</v>
      </c>
      <c r="P24" s="84"/>
      <c r="Q24" s="85"/>
      <c r="R24" s="86"/>
      <c r="S24" s="80"/>
      <c r="T24" s="32"/>
      <c r="U24" s="80"/>
      <c r="V24" s="80"/>
    </row>
    <row r="25" spans="1:22" x14ac:dyDescent="0.3">
      <c r="A25" s="37" t="s">
        <v>53</v>
      </c>
      <c r="B25" s="80"/>
      <c r="C25" s="166"/>
      <c r="D25" s="24"/>
      <c r="E25" s="24"/>
      <c r="F25" s="32"/>
      <c r="G25" s="24"/>
      <c r="H25" s="81"/>
      <c r="I25" s="82">
        <f>'BOSUN CABIN'!F46</f>
        <v>0.87782608739546086</v>
      </c>
      <c r="J25" s="34">
        <f>'BOSUN CABIN'!F38</f>
        <v>49.708878362337607</v>
      </c>
      <c r="K25" s="83">
        <f t="shared" si="4"/>
        <v>15</v>
      </c>
      <c r="L25" s="83">
        <f t="shared" si="4"/>
        <v>15</v>
      </c>
      <c r="M25" s="81">
        <f>'BOSUN CABIN'!$F$44</f>
        <v>130</v>
      </c>
      <c r="N25" s="34">
        <f t="shared" si="0"/>
        <v>49.708878362337607</v>
      </c>
      <c r="O25" s="34">
        <f t="shared" si="1"/>
        <v>61.353168499999995</v>
      </c>
      <c r="P25" s="84"/>
      <c r="Q25" s="85"/>
      <c r="R25" s="86"/>
      <c r="S25" s="80"/>
      <c r="T25" s="32"/>
      <c r="U25" s="80"/>
      <c r="V25" s="80"/>
    </row>
    <row r="26" spans="1:22" x14ac:dyDescent="0.3">
      <c r="A26" s="37" t="s">
        <v>54</v>
      </c>
      <c r="B26" s="80"/>
      <c r="C26" s="166"/>
      <c r="D26" s="24"/>
      <c r="E26" s="24"/>
      <c r="F26" s="32"/>
      <c r="G26" s="24"/>
      <c r="H26" s="81"/>
      <c r="I26" s="82">
        <f>'OWNER CABIN'!F46</f>
        <v>0.90273851977949726</v>
      </c>
      <c r="J26" s="34">
        <f>'OWNER CABIN'!F38</f>
        <v>60.165541393801199</v>
      </c>
      <c r="K26" s="83">
        <f t="shared" si="4"/>
        <v>15</v>
      </c>
      <c r="L26" s="83">
        <f t="shared" si="4"/>
        <v>15</v>
      </c>
      <c r="M26" s="81">
        <f>'OWNER CABIN'!$F$44</f>
        <v>167</v>
      </c>
      <c r="N26" s="34">
        <f t="shared" si="0"/>
        <v>60.165541393801199</v>
      </c>
      <c r="O26" s="34">
        <f t="shared" si="1"/>
        <v>78.815224149999992</v>
      </c>
      <c r="P26" s="84"/>
      <c r="Q26" s="85"/>
      <c r="R26" s="86"/>
      <c r="S26" s="80"/>
      <c r="T26" s="32"/>
      <c r="U26" s="80"/>
      <c r="V26" s="80"/>
    </row>
    <row r="27" spans="1:22" x14ac:dyDescent="0.3">
      <c r="A27" s="37" t="s">
        <v>491</v>
      </c>
      <c r="B27" s="80"/>
      <c r="C27" s="166"/>
      <c r="D27" s="24"/>
      <c r="E27" s="24"/>
      <c r="F27" s="32"/>
      <c r="G27" s="24"/>
      <c r="H27" s="81"/>
      <c r="I27" s="82">
        <f>'GYM ROOM'!F46</f>
        <v>0.81742290775402815</v>
      </c>
      <c r="J27" s="34">
        <f>'GYM ROOM'!F38</f>
        <v>262.74114576582662</v>
      </c>
      <c r="K27" s="83">
        <f>15*2</f>
        <v>30</v>
      </c>
      <c r="L27" s="83">
        <f>15*2</f>
        <v>30</v>
      </c>
      <c r="M27" s="81">
        <f>'GYM ROOM'!$F$44</f>
        <v>242</v>
      </c>
      <c r="N27" s="34">
        <f t="shared" si="0"/>
        <v>262.74114576582662</v>
      </c>
      <c r="O27" s="34">
        <f t="shared" si="1"/>
        <v>114.2112829</v>
      </c>
      <c r="P27" s="84"/>
      <c r="Q27" s="85"/>
      <c r="R27" s="86"/>
      <c r="S27" s="80"/>
      <c r="T27" s="32"/>
      <c r="U27" s="80"/>
      <c r="V27" s="80"/>
    </row>
    <row r="28" spans="1:22" x14ac:dyDescent="0.3">
      <c r="A28" s="37" t="s">
        <v>342</v>
      </c>
      <c r="B28" s="80"/>
      <c r="C28" s="166"/>
      <c r="D28" s="24"/>
      <c r="E28" s="24"/>
      <c r="F28" s="32"/>
      <c r="G28" s="24"/>
      <c r="H28" s="81"/>
      <c r="I28" s="82">
        <f>'2ND OFFICER CABIN'!F46</f>
        <v>0.90688300607129935</v>
      </c>
      <c r="J28" s="34">
        <f>'2ND OFFICER CABIN'!F38</f>
        <v>69.128395420770005</v>
      </c>
      <c r="K28" s="83">
        <f t="shared" ref="K28:L41" si="5">15*1</f>
        <v>15</v>
      </c>
      <c r="L28" s="83">
        <f t="shared" si="5"/>
        <v>15</v>
      </c>
      <c r="M28" s="81">
        <f>'2ND OFFICER CABIN'!$F$44</f>
        <v>175</v>
      </c>
      <c r="N28" s="34">
        <f t="shared" si="0"/>
        <v>69.128395420770005</v>
      </c>
      <c r="O28" s="34">
        <f t="shared" si="1"/>
        <v>82.590803749999992</v>
      </c>
      <c r="P28" s="84"/>
      <c r="Q28" s="85"/>
      <c r="R28" s="86"/>
      <c r="S28" s="80"/>
      <c r="T28" s="32"/>
      <c r="U28" s="80"/>
      <c r="V28" s="80"/>
    </row>
    <row r="29" spans="1:22" x14ac:dyDescent="0.3">
      <c r="A29" s="37" t="s">
        <v>336</v>
      </c>
      <c r="B29" s="80"/>
      <c r="C29" s="166"/>
      <c r="D29" s="24"/>
      <c r="E29" s="24"/>
      <c r="F29" s="32"/>
      <c r="G29" s="24"/>
      <c r="H29" s="81"/>
      <c r="I29" s="82">
        <f>'3RD OFFICER CABIN'!F46</f>
        <v>0.8347824246888248</v>
      </c>
      <c r="J29" s="34">
        <f>'3RD OFFICER CABIN'!F38</f>
        <v>48.087936676609203</v>
      </c>
      <c r="K29" s="83">
        <f t="shared" si="5"/>
        <v>15</v>
      </c>
      <c r="L29" s="83">
        <f t="shared" si="5"/>
        <v>15</v>
      </c>
      <c r="M29" s="81">
        <f>'3RD OFFICER CABIN'!$F$44</f>
        <v>91</v>
      </c>
      <c r="N29" s="34">
        <f t="shared" si="0"/>
        <v>48.087936676609203</v>
      </c>
      <c r="O29" s="34">
        <f t="shared" si="1"/>
        <v>42.947217950000002</v>
      </c>
      <c r="P29" s="84"/>
      <c r="Q29" s="85"/>
      <c r="R29" s="86"/>
      <c r="S29" s="80"/>
      <c r="T29" s="32"/>
      <c r="U29" s="80"/>
      <c r="V29" s="80"/>
    </row>
    <row r="30" spans="1:22" x14ac:dyDescent="0.3">
      <c r="A30" s="37" t="s">
        <v>338</v>
      </c>
      <c r="B30" s="80"/>
      <c r="C30" s="166"/>
      <c r="D30" s="24"/>
      <c r="E30" s="24"/>
      <c r="F30" s="32"/>
      <c r="G30" s="24"/>
      <c r="H30" s="81"/>
      <c r="I30" s="82">
        <f>'PUMPMAN CABIN'!F46</f>
        <v>0.85724037351353211</v>
      </c>
      <c r="J30" s="34">
        <f>'PUMPMAN CABIN'!F38</f>
        <v>48.087936676609203</v>
      </c>
      <c r="K30" s="83">
        <f t="shared" si="5"/>
        <v>15</v>
      </c>
      <c r="L30" s="83">
        <f t="shared" si="5"/>
        <v>15</v>
      </c>
      <c r="M30" s="81">
        <f>'PUMPMAN CABIN'!$F$44</f>
        <v>108</v>
      </c>
      <c r="N30" s="34">
        <f t="shared" si="0"/>
        <v>48.087936676609203</v>
      </c>
      <c r="O30" s="34">
        <f t="shared" si="1"/>
        <v>50.970324599999998</v>
      </c>
      <c r="P30" s="84"/>
      <c r="Q30" s="85"/>
      <c r="R30" s="86"/>
      <c r="S30" s="80"/>
      <c r="T30" s="32"/>
      <c r="U30" s="80"/>
      <c r="V30" s="80"/>
    </row>
    <row r="31" spans="1:22" x14ac:dyDescent="0.3">
      <c r="A31" s="37" t="s">
        <v>424</v>
      </c>
      <c r="B31" s="80"/>
      <c r="C31" s="166"/>
      <c r="D31" s="24"/>
      <c r="E31" s="24"/>
      <c r="F31" s="32"/>
      <c r="G31" s="24"/>
      <c r="H31" s="81"/>
      <c r="I31" s="82">
        <f>'COOKMAN CABIN'!F46</f>
        <v>0.88514936451152992</v>
      </c>
      <c r="J31" s="34">
        <f>'COOKMAN CABIN'!F38</f>
        <v>49.708878362337607</v>
      </c>
      <c r="K31" s="83">
        <f t="shared" si="5"/>
        <v>15</v>
      </c>
      <c r="L31" s="83">
        <f t="shared" si="5"/>
        <v>15</v>
      </c>
      <c r="M31" s="81">
        <f>'COOKMAN CABIN'!$F$44</f>
        <v>139</v>
      </c>
      <c r="N31" s="34">
        <f t="shared" si="0"/>
        <v>49.708878362337607</v>
      </c>
      <c r="O31" s="34">
        <f t="shared" si="1"/>
        <v>65.600695549999998</v>
      </c>
      <c r="P31" s="84"/>
      <c r="Q31" s="85"/>
      <c r="R31" s="86"/>
      <c r="S31" s="80"/>
      <c r="T31" s="32"/>
      <c r="U31" s="80"/>
      <c r="V31" s="80"/>
    </row>
    <row r="32" spans="1:22" x14ac:dyDescent="0.3">
      <c r="A32" s="37" t="s">
        <v>440</v>
      </c>
      <c r="B32" s="80"/>
      <c r="C32" s="166" t="s">
        <v>427</v>
      </c>
      <c r="D32" s="24"/>
      <c r="E32" s="24"/>
      <c r="F32" s="32"/>
      <c r="G32" s="24"/>
      <c r="H32" s="81"/>
      <c r="I32" s="82">
        <f>'MASTER CABIN'!F46</f>
        <v>0.86754601983344903</v>
      </c>
      <c r="J32" s="34">
        <f>'MASTER CABIN'!F38</f>
        <v>61.087253332744801</v>
      </c>
      <c r="K32" s="83">
        <f t="shared" si="5"/>
        <v>15</v>
      </c>
      <c r="L32" s="83">
        <f t="shared" si="5"/>
        <v>15</v>
      </c>
      <c r="M32" s="81">
        <f>'MASTER CABIN'!F44</f>
        <v>118</v>
      </c>
      <c r="N32" s="34">
        <f t="shared" si="0"/>
        <v>61.087253332744801</v>
      </c>
      <c r="O32" s="34">
        <f t="shared" si="1"/>
        <v>55.689799100000002</v>
      </c>
      <c r="P32" s="84"/>
      <c r="Q32" s="85"/>
      <c r="R32" s="86"/>
      <c r="S32" s="80"/>
      <c r="T32" s="32"/>
      <c r="U32" s="80"/>
      <c r="V32" s="80"/>
    </row>
    <row r="33" spans="1:22" x14ac:dyDescent="0.3">
      <c r="A33" s="37" t="s">
        <v>442</v>
      </c>
      <c r="B33" s="80"/>
      <c r="C33" s="166"/>
      <c r="D33" s="24"/>
      <c r="E33" s="24"/>
      <c r="F33" s="32"/>
      <c r="G33" s="24"/>
      <c r="H33" s="81"/>
      <c r="I33" s="82">
        <f>'MASTER BEDROOM'!F46</f>
        <v>0.7327467734250932</v>
      </c>
      <c r="J33" s="34">
        <f>'MASTER BEDROOM'!F38</f>
        <v>25.6092894759933</v>
      </c>
      <c r="K33" s="83">
        <f t="shared" si="5"/>
        <v>15</v>
      </c>
      <c r="L33" s="83">
        <f t="shared" si="5"/>
        <v>15</v>
      </c>
      <c r="M33" s="81">
        <f>'MASTER BEDROOM'!F44</f>
        <v>50</v>
      </c>
      <c r="N33" s="34">
        <f t="shared" si="0"/>
        <v>25.6092894759933</v>
      </c>
      <c r="O33" s="34">
        <f t="shared" si="1"/>
        <v>23.597372499999999</v>
      </c>
      <c r="P33" s="84"/>
      <c r="Q33" s="85"/>
      <c r="R33" s="86"/>
      <c r="S33" s="80"/>
      <c r="T33" s="32"/>
      <c r="U33" s="80"/>
      <c r="V33" s="80"/>
    </row>
    <row r="34" spans="1:22" x14ac:dyDescent="0.3">
      <c r="A34" s="37" t="s">
        <v>62</v>
      </c>
      <c r="B34" s="80"/>
      <c r="C34" s="166"/>
      <c r="D34" s="24"/>
      <c r="E34" s="24"/>
      <c r="F34" s="32"/>
      <c r="G34" s="24"/>
      <c r="H34" s="81"/>
      <c r="I34" s="82">
        <f>'CHIEF OFFICER CABIN'!F46</f>
        <v>0.87798357977623143</v>
      </c>
      <c r="J34" s="34">
        <f>'CHIEF OFFICER CABIN'!F38</f>
        <v>57.908936301904795</v>
      </c>
      <c r="K34" s="83">
        <f t="shared" si="5"/>
        <v>15</v>
      </c>
      <c r="L34" s="83">
        <f t="shared" si="5"/>
        <v>15</v>
      </c>
      <c r="M34" s="81">
        <f>'CHIEF OFFICER CABIN'!F44</f>
        <v>130</v>
      </c>
      <c r="N34" s="34">
        <f t="shared" si="0"/>
        <v>57.908936301904795</v>
      </c>
      <c r="O34" s="34">
        <f t="shared" si="1"/>
        <v>61.353168499999995</v>
      </c>
      <c r="P34" s="84"/>
      <c r="Q34" s="85"/>
      <c r="R34" s="86"/>
      <c r="S34" s="80"/>
      <c r="T34" s="32"/>
      <c r="U34" s="80"/>
      <c r="V34" s="80"/>
    </row>
    <row r="35" spans="1:22" x14ac:dyDescent="0.3">
      <c r="A35" s="37" t="s">
        <v>63</v>
      </c>
      <c r="B35" s="80"/>
      <c r="C35" s="166"/>
      <c r="D35" s="24"/>
      <c r="E35" s="24"/>
      <c r="F35" s="32"/>
      <c r="G35" s="24"/>
      <c r="H35" s="81"/>
      <c r="I35" s="82">
        <f>'CHIEF OFFICER BEDROOM'!F46</f>
        <v>0.77848557236469873</v>
      </c>
      <c r="J35" s="34">
        <f>'CHIEF OFFICER BEDROOM'!F38</f>
        <v>26.570730377822397</v>
      </c>
      <c r="K35" s="83">
        <f t="shared" si="5"/>
        <v>15</v>
      </c>
      <c r="L35" s="83">
        <f t="shared" si="5"/>
        <v>15</v>
      </c>
      <c r="M35" s="81">
        <f>'CHIEF OFFICER BEDROOM'!F44</f>
        <v>64</v>
      </c>
      <c r="N35" s="34">
        <f t="shared" si="0"/>
        <v>26.570730377822397</v>
      </c>
      <c r="O35" s="34">
        <f t="shared" si="1"/>
        <v>30.204636799999999</v>
      </c>
      <c r="P35" s="84"/>
      <c r="Q35" s="85"/>
      <c r="R35" s="86"/>
      <c r="S35" s="80"/>
      <c r="T35" s="32"/>
      <c r="U35" s="80"/>
      <c r="V35" s="80"/>
    </row>
    <row r="36" spans="1:22" x14ac:dyDescent="0.3">
      <c r="A36" s="37" t="s">
        <v>64</v>
      </c>
      <c r="B36" s="80"/>
      <c r="C36" s="166"/>
      <c r="D36" s="24"/>
      <c r="E36" s="24"/>
      <c r="F36" s="32"/>
      <c r="G36" s="24"/>
      <c r="H36" s="81"/>
      <c r="I36" s="82">
        <f>'PILOT CABIN'!F46</f>
        <v>0.84535344779644517</v>
      </c>
      <c r="J36" s="34">
        <f>'PILOT CABIN'!F38</f>
        <v>43.097978938190401</v>
      </c>
      <c r="K36" s="83">
        <f t="shared" si="5"/>
        <v>15</v>
      </c>
      <c r="L36" s="83">
        <f t="shared" si="5"/>
        <v>15</v>
      </c>
      <c r="M36" s="81">
        <f>'PILOT CABIN'!F44</f>
        <v>99</v>
      </c>
      <c r="N36" s="34">
        <f t="shared" si="0"/>
        <v>43.097978938190401</v>
      </c>
      <c r="O36" s="34">
        <f t="shared" si="1"/>
        <v>46.722797549999996</v>
      </c>
      <c r="P36" s="84"/>
      <c r="Q36" s="85"/>
      <c r="R36" s="86"/>
      <c r="S36" s="80"/>
      <c r="T36" s="32"/>
      <c r="U36" s="80"/>
      <c r="V36" s="80"/>
    </row>
    <row r="37" spans="1:22" x14ac:dyDescent="0.3">
      <c r="A37" s="37" t="s">
        <v>65</v>
      </c>
      <c r="B37" s="80"/>
      <c r="C37" s="166"/>
      <c r="D37" s="24"/>
      <c r="E37" s="24"/>
      <c r="F37" s="32"/>
      <c r="G37" s="24"/>
      <c r="H37" s="81"/>
      <c r="I37" s="82">
        <f>OFFICE!F46</f>
        <v>0.62504532044691918</v>
      </c>
      <c r="J37" s="34">
        <f>OFFICE!F38</f>
        <v>95.746800554055</v>
      </c>
      <c r="K37" s="83">
        <f t="shared" si="5"/>
        <v>15</v>
      </c>
      <c r="L37" s="83">
        <f t="shared" si="5"/>
        <v>15</v>
      </c>
      <c r="M37" s="81">
        <f>OFFICE!F44</f>
        <v>240</v>
      </c>
      <c r="N37" s="34">
        <f t="shared" si="0"/>
        <v>95.746800554055</v>
      </c>
      <c r="O37" s="34">
        <f t="shared" si="1"/>
        <v>113.267388</v>
      </c>
      <c r="P37" s="84"/>
      <c r="Q37" s="85"/>
      <c r="R37" s="86"/>
      <c r="S37" s="80"/>
      <c r="T37" s="32"/>
      <c r="U37" s="80"/>
      <c r="V37" s="80"/>
    </row>
    <row r="38" spans="1:22" x14ac:dyDescent="0.3">
      <c r="A38" s="37" t="s">
        <v>67</v>
      </c>
      <c r="B38" s="80"/>
      <c r="C38" s="166"/>
      <c r="D38" s="24"/>
      <c r="E38" s="24"/>
      <c r="F38" s="32"/>
      <c r="G38" s="24"/>
      <c r="H38" s="81"/>
      <c r="I38" s="82">
        <f>'1ST ENGINEER CABIN'!F46</f>
        <v>0.8549686709360419</v>
      </c>
      <c r="J38" s="34">
        <f>'1ST ENGINEER CABIN'!F38</f>
        <v>57.908936301904795</v>
      </c>
      <c r="K38" s="83">
        <f t="shared" si="5"/>
        <v>15</v>
      </c>
      <c r="L38" s="83">
        <f t="shared" si="5"/>
        <v>15</v>
      </c>
      <c r="M38" s="81">
        <f>'1ST ENGINEER CABIN'!F44</f>
        <v>106</v>
      </c>
      <c r="N38" s="34">
        <f t="shared" si="0"/>
        <v>57.908936301904795</v>
      </c>
      <c r="O38" s="34">
        <f t="shared" si="1"/>
        <v>50.026429700000001</v>
      </c>
      <c r="P38" s="84"/>
      <c r="Q38" s="85"/>
      <c r="R38" s="86"/>
      <c r="S38" s="80"/>
      <c r="T38" s="32"/>
      <c r="U38" s="80"/>
      <c r="V38" s="80"/>
    </row>
    <row r="39" spans="1:22" x14ac:dyDescent="0.3">
      <c r="A39" s="37" t="s">
        <v>68</v>
      </c>
      <c r="B39" s="80"/>
      <c r="C39" s="166"/>
      <c r="D39" s="24"/>
      <c r="E39" s="24"/>
      <c r="F39" s="32"/>
      <c r="G39" s="24"/>
      <c r="H39" s="81"/>
      <c r="I39" s="82">
        <f>'1ST ENGINEER BEDROOM'!F46</f>
        <v>0.82564694824518881</v>
      </c>
      <c r="J39" s="34">
        <f>'1ST ENGINEER BEDROOM'!F38</f>
        <v>26.570730377822397</v>
      </c>
      <c r="K39" s="83">
        <f t="shared" si="5"/>
        <v>15</v>
      </c>
      <c r="L39" s="83">
        <f t="shared" si="5"/>
        <v>15</v>
      </c>
      <c r="M39" s="81">
        <f>'1ST ENGINEER BEDROOM'!F44</f>
        <v>86</v>
      </c>
      <c r="N39" s="34">
        <f t="shared" si="0"/>
        <v>26.570730377822397</v>
      </c>
      <c r="O39" s="34">
        <f t="shared" si="1"/>
        <v>40.5874807</v>
      </c>
      <c r="P39" s="84"/>
      <c r="Q39" s="85"/>
      <c r="R39" s="86"/>
      <c r="S39" s="80"/>
      <c r="T39" s="32"/>
      <c r="U39" s="80"/>
      <c r="V39" s="80"/>
    </row>
    <row r="40" spans="1:22" x14ac:dyDescent="0.3">
      <c r="A40" s="37" t="s">
        <v>69</v>
      </c>
      <c r="B40" s="80"/>
      <c r="C40" s="166"/>
      <c r="D40" s="24"/>
      <c r="E40" s="24"/>
      <c r="F40" s="81">
        <f>'CHIEF ENGINEER CABIN'!L29</f>
        <v>3393.6441954577003</v>
      </c>
      <c r="G40" s="24"/>
      <c r="H40" s="81">
        <f>'CHIEF ENGINEER CABIN'!N29</f>
        <v>3817.2281954577002</v>
      </c>
      <c r="I40" s="82">
        <f>'CHIEF ENGINEER CABIN'!F46</f>
        <v>0.88903361855493934</v>
      </c>
      <c r="J40" s="34">
        <f>'CHIEF ENGINEER CABIN'!F38</f>
        <v>61.087253332744801</v>
      </c>
      <c r="K40" s="83">
        <f t="shared" si="5"/>
        <v>15</v>
      </c>
      <c r="L40" s="83">
        <f t="shared" si="5"/>
        <v>15</v>
      </c>
      <c r="M40" s="81">
        <f>'CHIEF ENGINEER CABIN'!F44</f>
        <v>126</v>
      </c>
      <c r="N40" s="34">
        <f t="shared" si="0"/>
        <v>61.087253332744801</v>
      </c>
      <c r="O40" s="34">
        <f t="shared" si="1"/>
        <v>59.465378700000002</v>
      </c>
      <c r="P40" s="84"/>
      <c r="Q40" s="85"/>
      <c r="R40" s="86"/>
      <c r="S40" s="80"/>
      <c r="T40" s="32"/>
      <c r="U40" s="80"/>
      <c r="V40" s="80"/>
    </row>
    <row r="41" spans="1:22" x14ac:dyDescent="0.3">
      <c r="A41" s="37" t="s">
        <v>70</v>
      </c>
      <c r="B41" s="80"/>
      <c r="C41" s="166"/>
      <c r="D41" s="24"/>
      <c r="E41" s="24"/>
      <c r="F41" s="81">
        <f>'CHIEF ENGINEER BEDROOM'!L29</f>
        <v>2352.2264012051</v>
      </c>
      <c r="G41" s="24"/>
      <c r="H41" s="81">
        <f>'CHIEF ENGINEER BEDROOM'!N29</f>
        <v>2837.2264012051</v>
      </c>
      <c r="I41" s="82">
        <f>'CHIEF ENGINEER BEDROOM'!F46</f>
        <v>0.82905840725505786</v>
      </c>
      <c r="J41" s="34">
        <f>'CHIEF ENGINEER BEDROOM'!F38</f>
        <v>25.6092894759933</v>
      </c>
      <c r="K41" s="83">
        <f t="shared" si="5"/>
        <v>15</v>
      </c>
      <c r="L41" s="83">
        <f t="shared" si="5"/>
        <v>15</v>
      </c>
      <c r="M41" s="81">
        <f>'CHIEF ENGINEER BEDROOM'!F44</f>
        <v>88</v>
      </c>
      <c r="N41" s="34">
        <f t="shared" si="0"/>
        <v>25.6092894759933</v>
      </c>
      <c r="O41" s="34">
        <f t="shared" si="1"/>
        <v>41.531375599999997</v>
      </c>
      <c r="P41" s="84"/>
      <c r="Q41" s="85"/>
      <c r="R41" s="86"/>
      <c r="S41" s="80"/>
      <c r="T41" s="32"/>
      <c r="U41" s="80"/>
      <c r="V41" s="80"/>
    </row>
    <row r="42" spans="1:22" x14ac:dyDescent="0.3">
      <c r="A42" s="37" t="s">
        <v>436</v>
      </c>
      <c r="B42" s="80"/>
      <c r="C42" s="88" t="s">
        <v>466</v>
      </c>
      <c r="D42" s="80"/>
      <c r="E42" s="80"/>
      <c r="F42" s="81">
        <f>'WHEEL HOUSE'!L29</f>
        <v>52173.778479867789</v>
      </c>
      <c r="G42" s="80"/>
      <c r="H42" s="81">
        <f>'WHEEL HOUSE'!N29</f>
        <v>54113.778479867789</v>
      </c>
      <c r="I42" s="82">
        <f>'WHEEL HOUSE'!F46</f>
        <v>0.9641496111619382</v>
      </c>
      <c r="J42" s="34">
        <f>'WHEEL HOUSE'!F38</f>
        <v>556.17369722669162</v>
      </c>
      <c r="K42" s="83">
        <f>15*3</f>
        <v>45</v>
      </c>
      <c r="L42" s="83">
        <f>15*3</f>
        <v>45</v>
      </c>
      <c r="M42" s="81">
        <f>'WHEEL HOUSE'!F44</f>
        <v>1933</v>
      </c>
      <c r="N42" s="34">
        <f t="shared" si="0"/>
        <v>556.17369722669162</v>
      </c>
      <c r="O42" s="34">
        <f t="shared" si="1"/>
        <v>912.27442084999996</v>
      </c>
      <c r="P42" s="84"/>
      <c r="Q42" s="85"/>
      <c r="R42" s="86"/>
      <c r="S42" s="80"/>
      <c r="T42" s="32"/>
      <c r="U42" s="80"/>
      <c r="V42" s="80"/>
    </row>
    <row r="43" spans="1:22" x14ac:dyDescent="0.3">
      <c r="A43" s="89" t="s">
        <v>465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90">
        <f>SUM(M3:M42)</f>
        <v>12850</v>
      </c>
      <c r="O43" s="90">
        <f>SUM(O3:O42)</f>
        <v>6064.5247324999991</v>
      </c>
      <c r="S43" s="78"/>
      <c r="T43" s="29"/>
      <c r="U43" s="78"/>
    </row>
    <row r="44" spans="1:22" x14ac:dyDescent="0.3">
      <c r="O44" s="91"/>
      <c r="P44" s="92"/>
      <c r="Q44" s="92"/>
      <c r="R44" s="92"/>
      <c r="S44" s="78"/>
      <c r="T44" s="29"/>
      <c r="U44" s="78"/>
    </row>
    <row r="45" spans="1:22" x14ac:dyDescent="0.3">
      <c r="C45" s="80" t="s">
        <v>79</v>
      </c>
      <c r="D45" s="80"/>
      <c r="E45" s="80"/>
      <c r="F45" s="80"/>
      <c r="G45" s="80"/>
      <c r="H45" s="80"/>
      <c r="I45" s="80"/>
      <c r="J45" s="80"/>
      <c r="K45" s="80"/>
      <c r="L45" s="80"/>
      <c r="M45" s="81">
        <f>SUM(M3:M6)</f>
        <v>4228</v>
      </c>
      <c r="O45" s="34">
        <f t="shared" ref="O45:O50" si="6">M45*0.47194745</f>
        <v>1995.3938186</v>
      </c>
      <c r="P45" s="84"/>
      <c r="Q45" s="85"/>
      <c r="R45" s="86"/>
      <c r="S45" s="78"/>
      <c r="T45" s="29"/>
      <c r="U45" s="78"/>
    </row>
    <row r="46" spans="1:22" x14ac:dyDescent="0.3">
      <c r="C46" s="80" t="s">
        <v>230</v>
      </c>
      <c r="D46" s="80"/>
      <c r="E46" s="80"/>
      <c r="F46" s="80"/>
      <c r="G46" s="80"/>
      <c r="H46" s="80"/>
      <c r="I46" s="80"/>
      <c r="J46" s="80"/>
      <c r="K46" s="80"/>
      <c r="L46" s="80"/>
      <c r="M46" s="81">
        <f>SUM(M7:M12)</f>
        <v>3270</v>
      </c>
      <c r="O46" s="34">
        <f t="shared" si="6"/>
        <v>1543.2681614999999</v>
      </c>
      <c r="P46" s="84"/>
      <c r="Q46" s="85"/>
      <c r="R46" s="86"/>
      <c r="S46" s="78"/>
      <c r="T46" s="29"/>
      <c r="U46" s="78"/>
    </row>
    <row r="47" spans="1:22" x14ac:dyDescent="0.3">
      <c r="C47" s="80" t="s">
        <v>311</v>
      </c>
      <c r="D47" s="80"/>
      <c r="E47" s="80"/>
      <c r="F47" s="80"/>
      <c r="G47" s="80"/>
      <c r="H47" s="80"/>
      <c r="I47" s="80"/>
      <c r="J47" s="80"/>
      <c r="K47" s="80"/>
      <c r="L47" s="80"/>
      <c r="M47" s="81">
        <f>SUM(M13:M21)</f>
        <v>957</v>
      </c>
      <c r="O47" s="34">
        <f t="shared" si="6"/>
        <v>451.65370965</v>
      </c>
      <c r="P47" s="84"/>
      <c r="Q47" s="85"/>
      <c r="R47" s="86"/>
      <c r="S47" s="78"/>
      <c r="T47" s="29"/>
      <c r="U47" s="78"/>
    </row>
    <row r="48" spans="1:22" x14ac:dyDescent="0.3">
      <c r="C48" s="80" t="s">
        <v>369</v>
      </c>
      <c r="D48" s="80"/>
      <c r="E48" s="80"/>
      <c r="F48" s="80"/>
      <c r="G48" s="80"/>
      <c r="H48" s="80"/>
      <c r="I48" s="80"/>
      <c r="J48" s="80"/>
      <c r="K48" s="80"/>
      <c r="L48" s="80"/>
      <c r="M48" s="81">
        <f>SUM(M22:M31)</f>
        <v>1355</v>
      </c>
      <c r="O48" s="34">
        <f t="shared" si="6"/>
        <v>639.48879475000001</v>
      </c>
      <c r="P48" s="84"/>
      <c r="Q48" s="85"/>
      <c r="R48" s="86"/>
      <c r="S48" s="78"/>
      <c r="T48" s="29"/>
      <c r="U48" s="78"/>
    </row>
    <row r="49" spans="2:20" s="78" customFormat="1" x14ac:dyDescent="0.3">
      <c r="C49" s="80" t="s">
        <v>427</v>
      </c>
      <c r="D49" s="80"/>
      <c r="E49" s="80"/>
      <c r="F49" s="80"/>
      <c r="G49" s="80"/>
      <c r="H49" s="80"/>
      <c r="I49" s="80"/>
      <c r="J49" s="80"/>
      <c r="K49" s="80"/>
      <c r="L49" s="80"/>
      <c r="M49" s="81">
        <f>SUM(M32:M41)</f>
        <v>1107</v>
      </c>
      <c r="N49" s="29"/>
      <c r="O49" s="34">
        <f t="shared" si="6"/>
        <v>522.44582715000001</v>
      </c>
      <c r="P49" s="84"/>
      <c r="Q49" s="85"/>
      <c r="R49" s="86"/>
      <c r="T49" s="29"/>
    </row>
    <row r="50" spans="2:20" s="78" customFormat="1" x14ac:dyDescent="0.3">
      <c r="C50" s="80" t="s">
        <v>466</v>
      </c>
      <c r="D50" s="80"/>
      <c r="E50" s="80"/>
      <c r="F50" s="80"/>
      <c r="G50" s="80"/>
      <c r="H50" s="80"/>
      <c r="I50" s="80"/>
      <c r="J50" s="80"/>
      <c r="K50" s="80"/>
      <c r="L50" s="80"/>
      <c r="M50" s="81">
        <f>M42</f>
        <v>1933</v>
      </c>
      <c r="N50" s="29"/>
      <c r="O50" s="34">
        <f t="shared" si="6"/>
        <v>912.27442084999996</v>
      </c>
      <c r="P50" s="84"/>
      <c r="Q50" s="85"/>
      <c r="R50" s="86"/>
      <c r="T50" s="29"/>
    </row>
    <row r="55" spans="2:20" x14ac:dyDescent="0.3">
      <c r="C55" s="29" t="s">
        <v>492</v>
      </c>
      <c r="D55" s="93">
        <f>M47-M21</f>
        <v>736</v>
      </c>
      <c r="E55" s="29"/>
      <c r="F55" s="94" t="s">
        <v>493</v>
      </c>
    </row>
    <row r="56" spans="2:20" x14ac:dyDescent="0.3">
      <c r="C56" s="29" t="s">
        <v>494</v>
      </c>
      <c r="D56" s="93">
        <f>M48</f>
        <v>1355</v>
      </c>
      <c r="E56" s="29"/>
      <c r="F56" s="29"/>
    </row>
    <row r="57" spans="2:20" x14ac:dyDescent="0.3">
      <c r="C57" s="29" t="s">
        <v>495</v>
      </c>
      <c r="D57" s="93">
        <f>M49</f>
        <v>1107</v>
      </c>
      <c r="E57" s="29"/>
      <c r="F57" s="94" t="s">
        <v>496</v>
      </c>
    </row>
    <row r="58" spans="2:20" x14ac:dyDescent="0.3">
      <c r="C58" s="29" t="s">
        <v>497</v>
      </c>
      <c r="D58" s="93">
        <f>M50</f>
        <v>1933</v>
      </c>
      <c r="E58" s="29"/>
      <c r="F58" s="93">
        <f>SUM(D55:D58)</f>
        <v>5131</v>
      </c>
    </row>
    <row r="59" spans="2:20" x14ac:dyDescent="0.3">
      <c r="C59" s="29" t="s">
        <v>498</v>
      </c>
      <c r="D59" s="93">
        <f>M21+M3+M6</f>
        <v>2386</v>
      </c>
      <c r="E59" s="29"/>
      <c r="F59" s="29"/>
    </row>
    <row r="60" spans="2:20" x14ac:dyDescent="0.3">
      <c r="C60" s="29" t="s">
        <v>499</v>
      </c>
      <c r="D60" s="93">
        <f>M10</f>
        <v>1408</v>
      </c>
      <c r="E60" s="29"/>
      <c r="F60" s="29"/>
    </row>
    <row r="61" spans="2:20" x14ac:dyDescent="0.3">
      <c r="C61" s="29" t="s">
        <v>500</v>
      </c>
      <c r="D61" s="93" t="e">
        <f>M11+M12+#REF!+M9+M8+M7</f>
        <v>#REF!</v>
      </c>
      <c r="E61" s="29"/>
      <c r="F61" s="93" t="e">
        <f>SUM(D59:D61)</f>
        <v>#REF!</v>
      </c>
    </row>
    <row r="64" spans="2:20" x14ac:dyDescent="0.3">
      <c r="B64" s="168" t="s">
        <v>501</v>
      </c>
      <c r="C64" s="168"/>
      <c r="D64" s="18"/>
      <c r="E64" s="18"/>
      <c r="F64" s="18"/>
      <c r="G64" s="18"/>
      <c r="H64" s="18"/>
      <c r="I64" s="168" t="s">
        <v>502</v>
      </c>
      <c r="J64" s="168"/>
      <c r="K64" s="168"/>
      <c r="L64" s="168"/>
      <c r="M64" s="168"/>
    </row>
    <row r="65" spans="1:13" x14ac:dyDescent="0.3">
      <c r="A65" s="95" t="s">
        <v>503</v>
      </c>
      <c r="B65" s="96">
        <f>M43</f>
        <v>12850</v>
      </c>
      <c r="C65" s="78" t="s">
        <v>126</v>
      </c>
      <c r="I65" s="78">
        <f>B65*1.5</f>
        <v>19275</v>
      </c>
      <c r="M65" s="94" t="s">
        <v>126</v>
      </c>
    </row>
    <row r="66" spans="1:13" x14ac:dyDescent="0.3">
      <c r="A66" s="95" t="s">
        <v>503</v>
      </c>
      <c r="B66" s="97">
        <f>B65*0.47194745</f>
        <v>6064.5247325</v>
      </c>
      <c r="C66" s="78" t="s">
        <v>504</v>
      </c>
      <c r="I66" s="97">
        <f>I65*0.47194745</f>
        <v>9096.7870987499991</v>
      </c>
      <c r="J66" s="97"/>
      <c r="K66" s="97"/>
      <c r="L66" s="97"/>
      <c r="M66" s="78" t="s">
        <v>504</v>
      </c>
    </row>
    <row r="67" spans="1:13" x14ac:dyDescent="0.3">
      <c r="A67" s="95" t="s">
        <v>503</v>
      </c>
      <c r="B67" s="78">
        <f>B68*3600</f>
        <v>21832.289036999999</v>
      </c>
      <c r="C67" s="78" t="s">
        <v>505</v>
      </c>
      <c r="I67" s="78">
        <f>I68*3600</f>
        <v>32748.433555499996</v>
      </c>
      <c r="M67" s="78" t="s">
        <v>505</v>
      </c>
    </row>
    <row r="68" spans="1:13" x14ac:dyDescent="0.3">
      <c r="A68" s="95" t="s">
        <v>503</v>
      </c>
      <c r="B68" s="97">
        <f>B66*0.001</f>
        <v>6.0645247324999998</v>
      </c>
      <c r="C68" s="78" t="s">
        <v>506</v>
      </c>
      <c r="I68" s="97">
        <f>I66*0.001</f>
        <v>9.0967870987499992</v>
      </c>
      <c r="J68" s="97"/>
      <c r="K68" s="97"/>
      <c r="L68" s="97"/>
      <c r="M68" s="78" t="s">
        <v>506</v>
      </c>
    </row>
    <row r="70" spans="1:13" x14ac:dyDescent="0.3">
      <c r="A70" s="98" t="s">
        <v>507</v>
      </c>
    </row>
    <row r="71" spans="1:13" x14ac:dyDescent="0.3">
      <c r="A71" s="98" t="s">
        <v>508</v>
      </c>
      <c r="B71" s="78">
        <v>2.7</v>
      </c>
      <c r="C71" s="78" t="s">
        <v>509</v>
      </c>
    </row>
    <row r="72" spans="1:13" x14ac:dyDescent="0.3">
      <c r="A72" s="98" t="s">
        <v>510</v>
      </c>
      <c r="B72" s="78">
        <v>5</v>
      </c>
      <c r="C72" s="78" t="s">
        <v>509</v>
      </c>
    </row>
    <row r="73" spans="1:13" x14ac:dyDescent="0.3">
      <c r="A73" s="98" t="s">
        <v>511</v>
      </c>
      <c r="B73" s="78">
        <v>5.6</v>
      </c>
      <c r="C73" s="78" t="s">
        <v>509</v>
      </c>
    </row>
    <row r="80" spans="1:13" x14ac:dyDescent="0.3">
      <c r="A80" s="99" t="s">
        <v>512</v>
      </c>
    </row>
    <row r="81" spans="1:12" x14ac:dyDescent="0.3">
      <c r="A81" s="100" t="s">
        <v>513</v>
      </c>
      <c r="B81" s="78" t="s">
        <v>514</v>
      </c>
    </row>
    <row r="82" spans="1:12" x14ac:dyDescent="0.3">
      <c r="A82" s="100" t="s">
        <v>515</v>
      </c>
      <c r="B82" s="78" t="s">
        <v>516</v>
      </c>
    </row>
    <row r="83" spans="1:12" x14ac:dyDescent="0.3">
      <c r="A83" s="98" t="s">
        <v>517</v>
      </c>
      <c r="B83" s="78" t="s">
        <v>518</v>
      </c>
    </row>
    <row r="84" spans="1:12" x14ac:dyDescent="0.3">
      <c r="A84" s="98" t="s">
        <v>519</v>
      </c>
      <c r="B84" s="78">
        <v>500</v>
      </c>
      <c r="C84" s="78" t="s">
        <v>520</v>
      </c>
    </row>
    <row r="85" spans="1:12" x14ac:dyDescent="0.3">
      <c r="A85" s="98" t="s">
        <v>521</v>
      </c>
      <c r="B85" s="78">
        <v>20000</v>
      </c>
      <c r="C85" s="78" t="s">
        <v>126</v>
      </c>
    </row>
    <row r="86" spans="1:12" x14ac:dyDescent="0.3">
      <c r="A86" s="98"/>
      <c r="B86" s="78">
        <v>25519</v>
      </c>
      <c r="C86" s="78" t="s">
        <v>126</v>
      </c>
      <c r="I86" s="78" t="s">
        <v>522</v>
      </c>
    </row>
    <row r="87" spans="1:12" x14ac:dyDescent="0.3">
      <c r="A87" s="98" t="s">
        <v>508</v>
      </c>
      <c r="B87" s="78">
        <v>67.25</v>
      </c>
      <c r="C87" s="78" t="s">
        <v>523</v>
      </c>
    </row>
    <row r="88" spans="1:12" x14ac:dyDescent="0.3">
      <c r="B88" s="78">
        <f>B87*0.0254</f>
        <v>1.7081499999999998</v>
      </c>
      <c r="C88" s="78" t="s">
        <v>509</v>
      </c>
      <c r="I88" s="101" t="str">
        <f>IF(B88&lt;$B$71,"Memenuhi","tidak memenuhi")</f>
        <v>Memenuhi</v>
      </c>
      <c r="J88" s="101"/>
      <c r="K88" s="101"/>
      <c r="L88" s="101"/>
    </row>
    <row r="89" spans="1:12" x14ac:dyDescent="0.3">
      <c r="A89" s="98" t="s">
        <v>510</v>
      </c>
      <c r="B89" s="78">
        <v>112.5</v>
      </c>
      <c r="C89" s="78" t="s">
        <v>523</v>
      </c>
    </row>
    <row r="90" spans="1:12" x14ac:dyDescent="0.3">
      <c r="B90" s="78">
        <f>B89*0.0254</f>
        <v>2.8574999999999999</v>
      </c>
      <c r="C90" s="78" t="s">
        <v>509</v>
      </c>
      <c r="I90" s="101" t="str">
        <f>IF(B90&lt;$B$72,"Memenuhi","tidak memenuhi")</f>
        <v>Memenuhi</v>
      </c>
      <c r="J90" s="101"/>
      <c r="K90" s="101"/>
      <c r="L90" s="101"/>
    </row>
    <row r="91" spans="1:12" x14ac:dyDescent="0.3">
      <c r="A91" s="98" t="s">
        <v>511</v>
      </c>
      <c r="B91" s="98">
        <v>96</v>
      </c>
      <c r="C91" s="102" t="s">
        <v>523</v>
      </c>
      <c r="D91" s="102"/>
      <c r="E91" s="102"/>
      <c r="F91" s="102"/>
      <c r="G91" s="102"/>
      <c r="H91" s="102"/>
    </row>
    <row r="92" spans="1:12" x14ac:dyDescent="0.3">
      <c r="B92" s="78">
        <f>B91*0.0254</f>
        <v>2.4383999999999997</v>
      </c>
      <c r="C92" s="78" t="s">
        <v>509</v>
      </c>
      <c r="I92" s="101" t="str">
        <f>IF(B92&lt;$B$73,"Memenuhi","tidak memenuhi")</f>
        <v>Memenuhi</v>
      </c>
      <c r="J92" s="101"/>
      <c r="K92" s="101"/>
      <c r="L92" s="101"/>
    </row>
    <row r="94" spans="1:12" x14ac:dyDescent="0.3">
      <c r="A94" s="99" t="s">
        <v>524</v>
      </c>
    </row>
    <row r="95" spans="1:12" x14ac:dyDescent="0.3">
      <c r="A95" s="100" t="s">
        <v>513</v>
      </c>
      <c r="B95" s="78" t="s">
        <v>514</v>
      </c>
    </row>
    <row r="96" spans="1:12" x14ac:dyDescent="0.3">
      <c r="A96" s="100" t="s">
        <v>515</v>
      </c>
      <c r="B96" s="78" t="s">
        <v>525</v>
      </c>
    </row>
    <row r="97" spans="1:13" x14ac:dyDescent="0.3">
      <c r="A97" s="98" t="s">
        <v>517</v>
      </c>
      <c r="B97" s="78" t="s">
        <v>526</v>
      </c>
    </row>
    <row r="98" spans="1:13" x14ac:dyDescent="0.3">
      <c r="A98" s="98" t="s">
        <v>519</v>
      </c>
      <c r="B98" s="78">
        <f>I98*196.850393700787</f>
        <v>590.55118110236106</v>
      </c>
      <c r="C98" s="78" t="s">
        <v>520</v>
      </c>
      <c r="I98" s="78">
        <v>3</v>
      </c>
      <c r="M98" s="29" t="s">
        <v>527</v>
      </c>
    </row>
    <row r="99" spans="1:13" x14ac:dyDescent="0.3">
      <c r="A99" s="98" t="s">
        <v>521</v>
      </c>
      <c r="B99" s="78">
        <v>34000</v>
      </c>
      <c r="C99" s="78" t="s">
        <v>505</v>
      </c>
      <c r="I99" s="78">
        <v>36396</v>
      </c>
      <c r="M99" s="78" t="s">
        <v>505</v>
      </c>
    </row>
    <row r="100" spans="1:13" x14ac:dyDescent="0.3">
      <c r="A100" s="98"/>
      <c r="B100" s="78">
        <f>B99*0.58857777021102</f>
        <v>20011.644187174679</v>
      </c>
      <c r="C100" s="78" t="s">
        <v>126</v>
      </c>
    </row>
    <row r="101" spans="1:13" x14ac:dyDescent="0.3">
      <c r="A101" s="98" t="s">
        <v>508</v>
      </c>
      <c r="C101" s="78" t="s">
        <v>523</v>
      </c>
    </row>
    <row r="102" spans="1:13" x14ac:dyDescent="0.3">
      <c r="B102" s="78">
        <v>2.1080000000000001</v>
      </c>
      <c r="C102" s="78" t="s">
        <v>509</v>
      </c>
      <c r="I102" s="101" t="str">
        <f>IF(B102&lt;$B$71,"Memenuhi","tidak memenuhi")</f>
        <v>Memenuhi</v>
      </c>
      <c r="J102" s="101"/>
      <c r="K102" s="101"/>
      <c r="L102" s="101"/>
    </row>
    <row r="103" spans="1:13" x14ac:dyDescent="0.3">
      <c r="A103" s="98" t="s">
        <v>510</v>
      </c>
      <c r="C103" s="78" t="s">
        <v>523</v>
      </c>
    </row>
    <row r="104" spans="1:13" x14ac:dyDescent="0.3">
      <c r="B104" s="78">
        <v>2.298</v>
      </c>
      <c r="C104" s="78" t="s">
        <v>509</v>
      </c>
      <c r="I104" s="101" t="str">
        <f>IF(B104&lt;$B$72,"Memenuhi","tidak memenuhi")</f>
        <v>Memenuhi</v>
      </c>
      <c r="J104" s="101"/>
      <c r="K104" s="101"/>
      <c r="L104" s="101"/>
    </row>
    <row r="105" spans="1:13" x14ac:dyDescent="0.3">
      <c r="A105" s="98" t="s">
        <v>511</v>
      </c>
      <c r="B105" s="98"/>
      <c r="C105" s="102" t="s">
        <v>523</v>
      </c>
      <c r="D105" s="102"/>
      <c r="E105" s="102"/>
      <c r="F105" s="102"/>
      <c r="G105" s="102"/>
      <c r="H105" s="102"/>
    </row>
    <row r="106" spans="1:13" x14ac:dyDescent="0.3">
      <c r="B106" s="78">
        <f>C125</f>
        <v>8.2149999999999999</v>
      </c>
      <c r="C106" s="78" t="s">
        <v>509</v>
      </c>
      <c r="I106" s="101" t="str">
        <f>IF(B106&lt;$B$73,"Memenuhi","tidak memenuhi")</f>
        <v>tidak memenuhi</v>
      </c>
      <c r="J106" s="101"/>
      <c r="K106" s="101"/>
      <c r="L106" s="101"/>
    </row>
    <row r="107" spans="1:13" x14ac:dyDescent="0.3">
      <c r="B107" s="103" t="s">
        <v>528</v>
      </c>
      <c r="C107" s="104">
        <v>465</v>
      </c>
      <c r="D107" s="104"/>
      <c r="E107" s="104"/>
      <c r="F107" s="104"/>
      <c r="G107" s="104"/>
      <c r="H107" s="104"/>
      <c r="I107" s="105" t="s">
        <v>529</v>
      </c>
    </row>
    <row r="108" spans="1:13" x14ac:dyDescent="0.3">
      <c r="B108" s="106" t="s">
        <v>530</v>
      </c>
      <c r="C108" s="78">
        <v>155</v>
      </c>
      <c r="I108" s="107" t="s">
        <v>529</v>
      </c>
    </row>
    <row r="109" spans="1:13" x14ac:dyDescent="0.3">
      <c r="B109" s="106" t="s">
        <v>531</v>
      </c>
      <c r="C109" s="78">
        <v>465</v>
      </c>
      <c r="I109" s="107" t="s">
        <v>529</v>
      </c>
    </row>
    <row r="110" spans="1:13" x14ac:dyDescent="0.3">
      <c r="B110" s="106" t="s">
        <v>532</v>
      </c>
      <c r="C110" s="78">
        <v>620</v>
      </c>
      <c r="I110" s="107" t="s">
        <v>529</v>
      </c>
    </row>
    <row r="111" spans="1:13" x14ac:dyDescent="0.3">
      <c r="B111" s="106" t="s">
        <v>533</v>
      </c>
      <c r="C111" s="78">
        <v>465</v>
      </c>
      <c r="I111" s="107" t="s">
        <v>529</v>
      </c>
    </row>
    <row r="112" spans="1:13" x14ac:dyDescent="0.3">
      <c r="B112" s="106" t="s">
        <v>534</v>
      </c>
      <c r="C112" s="78">
        <v>465</v>
      </c>
      <c r="I112" s="107" t="s">
        <v>529</v>
      </c>
    </row>
    <row r="113" spans="2:9" x14ac:dyDescent="0.3">
      <c r="B113" s="106" t="s">
        <v>535</v>
      </c>
      <c r="C113" s="78">
        <v>310</v>
      </c>
      <c r="I113" s="107" t="s">
        <v>529</v>
      </c>
    </row>
    <row r="114" spans="2:9" x14ac:dyDescent="0.3">
      <c r="B114" s="106" t="s">
        <v>536</v>
      </c>
      <c r="C114" s="78">
        <v>465</v>
      </c>
      <c r="I114" s="107" t="s">
        <v>529</v>
      </c>
    </row>
    <row r="115" spans="2:9" x14ac:dyDescent="0.3">
      <c r="B115" s="106" t="s">
        <v>537</v>
      </c>
      <c r="C115" s="78">
        <v>775</v>
      </c>
      <c r="I115" s="107" t="s">
        <v>529</v>
      </c>
    </row>
    <row r="116" spans="2:9" x14ac:dyDescent="0.3">
      <c r="B116" s="106" t="s">
        <v>538</v>
      </c>
      <c r="C116" s="78">
        <v>465</v>
      </c>
      <c r="I116" s="107" t="s">
        <v>529</v>
      </c>
    </row>
    <row r="117" spans="2:9" x14ac:dyDescent="0.3">
      <c r="B117" s="106" t="s">
        <v>539</v>
      </c>
      <c r="C117" s="78">
        <v>1240</v>
      </c>
      <c r="I117" s="107" t="s">
        <v>529</v>
      </c>
    </row>
    <row r="118" spans="2:9" x14ac:dyDescent="0.3">
      <c r="B118" s="106" t="s">
        <v>540</v>
      </c>
      <c r="I118" s="107" t="s">
        <v>529</v>
      </c>
    </row>
    <row r="119" spans="2:9" x14ac:dyDescent="0.3">
      <c r="B119" s="106" t="s">
        <v>541</v>
      </c>
      <c r="I119" s="107" t="s">
        <v>529</v>
      </c>
    </row>
    <row r="120" spans="2:9" x14ac:dyDescent="0.3">
      <c r="B120" s="106" t="s">
        <v>542</v>
      </c>
      <c r="C120" s="78">
        <v>620</v>
      </c>
      <c r="I120" s="107" t="s">
        <v>529</v>
      </c>
    </row>
    <row r="121" spans="2:9" x14ac:dyDescent="0.3">
      <c r="B121" s="106" t="s">
        <v>543</v>
      </c>
      <c r="C121" s="78">
        <v>620</v>
      </c>
      <c r="I121" s="107" t="s">
        <v>529</v>
      </c>
    </row>
    <row r="122" spans="2:9" x14ac:dyDescent="0.3">
      <c r="B122" s="106" t="s">
        <v>544</v>
      </c>
      <c r="C122" s="78">
        <v>465</v>
      </c>
      <c r="I122" s="107" t="s">
        <v>529</v>
      </c>
    </row>
    <row r="123" spans="2:9" x14ac:dyDescent="0.3">
      <c r="B123" s="106" t="s">
        <v>545</v>
      </c>
      <c r="C123" s="78">
        <v>620</v>
      </c>
      <c r="I123" s="107" t="s">
        <v>529</v>
      </c>
    </row>
    <row r="124" spans="2:9" x14ac:dyDescent="0.3">
      <c r="B124" s="108"/>
      <c r="C124" s="78">
        <f>SUM(C107:C123)</f>
        <v>8215</v>
      </c>
      <c r="I124" s="107" t="s">
        <v>529</v>
      </c>
    </row>
    <row r="125" spans="2:9" x14ac:dyDescent="0.3">
      <c r="B125" s="109"/>
      <c r="C125" s="110">
        <f>C124/1000</f>
        <v>8.2149999999999999</v>
      </c>
      <c r="D125" s="110"/>
      <c r="E125" s="110"/>
      <c r="F125" s="110"/>
      <c r="G125" s="110"/>
      <c r="H125" s="110"/>
      <c r="I125" s="111" t="s">
        <v>509</v>
      </c>
    </row>
    <row r="126" spans="2:9" x14ac:dyDescent="0.3">
      <c r="B126" s="78" t="s">
        <v>546</v>
      </c>
    </row>
    <row r="127" spans="2:9" x14ac:dyDescent="0.3">
      <c r="B127" s="78" t="s">
        <v>515</v>
      </c>
      <c r="C127" s="78" t="s">
        <v>547</v>
      </c>
    </row>
    <row r="128" spans="2:9" x14ac:dyDescent="0.3">
      <c r="B128" s="78" t="s">
        <v>548</v>
      </c>
      <c r="C128" s="78">
        <f>716+818</f>
        <v>1534</v>
      </c>
    </row>
    <row r="131" spans="1:12" x14ac:dyDescent="0.3">
      <c r="A131" s="99" t="s">
        <v>549</v>
      </c>
    </row>
    <row r="132" spans="1:12" x14ac:dyDescent="0.3">
      <c r="A132" s="100" t="s">
        <v>513</v>
      </c>
      <c r="B132" s="78" t="s">
        <v>514</v>
      </c>
    </row>
    <row r="133" spans="1:12" x14ac:dyDescent="0.3">
      <c r="A133" s="100" t="s">
        <v>515</v>
      </c>
      <c r="B133" s="78" t="s">
        <v>516</v>
      </c>
    </row>
    <row r="134" spans="1:12" x14ac:dyDescent="0.3">
      <c r="A134" s="98" t="s">
        <v>517</v>
      </c>
      <c r="B134" s="78" t="s">
        <v>518</v>
      </c>
    </row>
    <row r="135" spans="1:12" x14ac:dyDescent="0.3">
      <c r="A135" s="98" t="s">
        <v>519</v>
      </c>
      <c r="B135" s="78">
        <v>500</v>
      </c>
      <c r="C135" s="78" t="s">
        <v>520</v>
      </c>
    </row>
    <row r="136" spans="1:12" x14ac:dyDescent="0.3">
      <c r="A136" s="98" t="s">
        <v>521</v>
      </c>
      <c r="B136" s="78">
        <v>20000</v>
      </c>
      <c r="C136" s="78" t="s">
        <v>126</v>
      </c>
    </row>
    <row r="137" spans="1:12" x14ac:dyDescent="0.3">
      <c r="A137" s="98"/>
      <c r="B137" s="78">
        <v>25519</v>
      </c>
      <c r="C137" s="78" t="s">
        <v>126</v>
      </c>
      <c r="I137" s="78" t="s">
        <v>522</v>
      </c>
    </row>
    <row r="138" spans="1:12" x14ac:dyDescent="0.3">
      <c r="A138" s="98" t="s">
        <v>508</v>
      </c>
      <c r="B138" s="78">
        <v>67.25</v>
      </c>
      <c r="C138" s="78" t="s">
        <v>523</v>
      </c>
    </row>
    <row r="139" spans="1:12" x14ac:dyDescent="0.3">
      <c r="B139" s="78">
        <f>B138*0.0254</f>
        <v>1.7081499999999998</v>
      </c>
      <c r="C139" s="78" t="s">
        <v>509</v>
      </c>
      <c r="I139" s="101" t="str">
        <f>IF(B139&lt;$B$71,"Memenuhi","tidak memenuhi")</f>
        <v>Memenuhi</v>
      </c>
      <c r="J139" s="101"/>
      <c r="K139" s="101"/>
      <c r="L139" s="101"/>
    </row>
    <row r="140" spans="1:12" x14ac:dyDescent="0.3">
      <c r="A140" s="98" t="s">
        <v>510</v>
      </c>
      <c r="B140" s="78">
        <v>112.5</v>
      </c>
      <c r="C140" s="78" t="s">
        <v>523</v>
      </c>
    </row>
    <row r="141" spans="1:12" x14ac:dyDescent="0.3">
      <c r="B141" s="78">
        <f>B140*0.0254</f>
        <v>2.8574999999999999</v>
      </c>
      <c r="C141" s="78" t="s">
        <v>509</v>
      </c>
      <c r="I141" s="101" t="str">
        <f>IF(B141&lt;$B$72,"Memenuhi","tidak memenuhi")</f>
        <v>Memenuhi</v>
      </c>
      <c r="J141" s="101"/>
      <c r="K141" s="101"/>
      <c r="L141" s="101"/>
    </row>
    <row r="142" spans="1:12" x14ac:dyDescent="0.3">
      <c r="A142" s="98" t="s">
        <v>511</v>
      </c>
      <c r="B142" s="98">
        <v>96</v>
      </c>
      <c r="C142" s="102" t="s">
        <v>523</v>
      </c>
      <c r="D142" s="102"/>
      <c r="E142" s="102"/>
      <c r="F142" s="102"/>
      <c r="G142" s="102"/>
      <c r="H142" s="102"/>
    </row>
    <row r="143" spans="1:12" x14ac:dyDescent="0.3">
      <c r="B143" s="78">
        <f>B142*0.0254</f>
        <v>2.4383999999999997</v>
      </c>
      <c r="C143" s="78" t="s">
        <v>509</v>
      </c>
      <c r="I143" s="101" t="str">
        <f>IF(B143&lt;$B$73,"Memenuhi","tidak memenuhi")</f>
        <v>Memenuhi</v>
      </c>
      <c r="J143" s="101"/>
      <c r="K143" s="101"/>
      <c r="L143" s="101"/>
    </row>
    <row r="144" spans="1:12" x14ac:dyDescent="0.3">
      <c r="A144" s="98" t="s">
        <v>550</v>
      </c>
      <c r="C144" s="78" t="s">
        <v>551</v>
      </c>
    </row>
    <row r="146" spans="1:12" x14ac:dyDescent="0.3">
      <c r="A146" s="99" t="s">
        <v>552</v>
      </c>
    </row>
    <row r="147" spans="1:12" x14ac:dyDescent="0.3">
      <c r="A147" s="100" t="s">
        <v>513</v>
      </c>
      <c r="B147" s="78" t="s">
        <v>553</v>
      </c>
    </row>
    <row r="148" spans="1:12" x14ac:dyDescent="0.3">
      <c r="A148" s="100" t="s">
        <v>515</v>
      </c>
      <c r="B148" s="78" t="s">
        <v>554</v>
      </c>
    </row>
    <row r="149" spans="1:12" x14ac:dyDescent="0.3">
      <c r="A149" s="98" t="s">
        <v>517</v>
      </c>
      <c r="B149" s="78" t="s">
        <v>555</v>
      </c>
    </row>
    <row r="150" spans="1:12" x14ac:dyDescent="0.3">
      <c r="A150" s="98" t="s">
        <v>519</v>
      </c>
      <c r="C150" s="78" t="s">
        <v>520</v>
      </c>
    </row>
    <row r="151" spans="1:12" x14ac:dyDescent="0.3">
      <c r="A151" s="98" t="s">
        <v>521</v>
      </c>
      <c r="B151" s="78">
        <v>33800</v>
      </c>
      <c r="C151" s="78" t="s">
        <v>505</v>
      </c>
    </row>
    <row r="152" spans="1:12" x14ac:dyDescent="0.3">
      <c r="A152" s="98"/>
    </row>
    <row r="153" spans="1:12" x14ac:dyDescent="0.3">
      <c r="A153" s="98" t="s">
        <v>508</v>
      </c>
      <c r="C153" s="78" t="s">
        <v>523</v>
      </c>
    </row>
    <row r="154" spans="1:12" x14ac:dyDescent="0.3">
      <c r="B154" s="78">
        <v>1.87</v>
      </c>
      <c r="C154" s="78" t="s">
        <v>509</v>
      </c>
      <c r="I154" s="101" t="str">
        <f>IF(B154&lt;$B$71,"Memenuhi","tidak memenuhi")</f>
        <v>Memenuhi</v>
      </c>
      <c r="J154" s="101"/>
      <c r="K154" s="101"/>
      <c r="L154" s="101"/>
    </row>
    <row r="155" spans="1:12" x14ac:dyDescent="0.3">
      <c r="A155" s="98" t="s">
        <v>510</v>
      </c>
      <c r="C155" s="78" t="s">
        <v>523</v>
      </c>
    </row>
    <row r="156" spans="1:12" x14ac:dyDescent="0.3">
      <c r="B156" s="78">
        <v>2.5099999999999998</v>
      </c>
      <c r="C156" s="78" t="s">
        <v>509</v>
      </c>
      <c r="I156" s="101" t="str">
        <f>IF(B156&lt;$B$72,"Memenuhi","tidak memenuhi")</f>
        <v>Memenuhi</v>
      </c>
      <c r="J156" s="101"/>
      <c r="K156" s="101"/>
      <c r="L156" s="101"/>
    </row>
    <row r="157" spans="1:12" x14ac:dyDescent="0.3">
      <c r="A157" s="98" t="s">
        <v>511</v>
      </c>
      <c r="B157" s="98"/>
      <c r="C157" s="102" t="s">
        <v>523</v>
      </c>
      <c r="D157" s="102"/>
      <c r="E157" s="102"/>
      <c r="F157" s="102"/>
      <c r="G157" s="102"/>
      <c r="H157" s="102"/>
    </row>
    <row r="158" spans="1:12" x14ac:dyDescent="0.3">
      <c r="C158" s="78" t="s">
        <v>509</v>
      </c>
      <c r="I158" s="101" t="str">
        <f>IF(B158&lt;$B$73,"Memenuhi","tidak memenuhi")</f>
        <v>Memenuhi</v>
      </c>
      <c r="J158" s="101"/>
      <c r="K158" s="101"/>
      <c r="L158" s="101"/>
    </row>
    <row r="159" spans="1:12" x14ac:dyDescent="0.3">
      <c r="A159" s="98" t="s">
        <v>550</v>
      </c>
      <c r="C159" s="78" t="s">
        <v>551</v>
      </c>
    </row>
    <row r="161" spans="1:12" x14ac:dyDescent="0.3">
      <c r="A161" s="99" t="s">
        <v>556</v>
      </c>
    </row>
    <row r="162" spans="1:12" x14ac:dyDescent="0.3">
      <c r="A162" s="100" t="s">
        <v>513</v>
      </c>
      <c r="B162" s="78" t="s">
        <v>553</v>
      </c>
    </row>
    <row r="163" spans="1:12" x14ac:dyDescent="0.3">
      <c r="A163" s="100" t="s">
        <v>515</v>
      </c>
      <c r="B163" s="78" t="s">
        <v>557</v>
      </c>
    </row>
    <row r="164" spans="1:12" x14ac:dyDescent="0.3">
      <c r="A164" s="98" t="s">
        <v>517</v>
      </c>
      <c r="B164" s="78" t="s">
        <v>558</v>
      </c>
    </row>
    <row r="165" spans="1:12" x14ac:dyDescent="0.3">
      <c r="A165" s="98" t="s">
        <v>519</v>
      </c>
      <c r="B165" s="78">
        <v>500</v>
      </c>
      <c r="C165" s="78" t="s">
        <v>520</v>
      </c>
    </row>
    <row r="166" spans="1:12" x14ac:dyDescent="0.3">
      <c r="A166" s="98" t="s">
        <v>521</v>
      </c>
      <c r="B166" s="78">
        <v>24000</v>
      </c>
      <c r="C166" s="78" t="s">
        <v>126</v>
      </c>
    </row>
    <row r="167" spans="1:12" x14ac:dyDescent="0.3">
      <c r="A167" s="98"/>
    </row>
    <row r="168" spans="1:12" x14ac:dyDescent="0.3">
      <c r="A168" s="98" t="s">
        <v>508</v>
      </c>
      <c r="C168" s="78" t="s">
        <v>523</v>
      </c>
    </row>
    <row r="169" spans="1:12" x14ac:dyDescent="0.3">
      <c r="B169" s="78">
        <v>1.9</v>
      </c>
      <c r="C169" s="78" t="s">
        <v>509</v>
      </c>
      <c r="I169" s="101" t="str">
        <f>IF(B169&lt;$B$71,"Memenuhi","tidak memenuhi")</f>
        <v>Memenuhi</v>
      </c>
      <c r="J169" s="101"/>
      <c r="K169" s="101"/>
      <c r="L169" s="101"/>
    </row>
    <row r="170" spans="1:12" x14ac:dyDescent="0.3">
      <c r="A170" s="98" t="s">
        <v>510</v>
      </c>
      <c r="C170" s="78" t="s">
        <v>523</v>
      </c>
    </row>
    <row r="171" spans="1:12" x14ac:dyDescent="0.3">
      <c r="B171" s="78">
        <v>3.8</v>
      </c>
      <c r="C171" s="78" t="s">
        <v>509</v>
      </c>
      <c r="I171" s="101" t="str">
        <f>IF(B171&lt;$B$72,"Memenuhi","tidak memenuhi")</f>
        <v>Memenuhi</v>
      </c>
      <c r="J171" s="101"/>
      <c r="K171" s="101"/>
      <c r="L171" s="101"/>
    </row>
    <row r="172" spans="1:12" x14ac:dyDescent="0.3">
      <c r="A172" s="98" t="s">
        <v>511</v>
      </c>
      <c r="B172" s="98"/>
      <c r="C172" s="102" t="s">
        <v>523</v>
      </c>
      <c r="D172" s="102"/>
      <c r="E172" s="102"/>
      <c r="F172" s="102"/>
      <c r="G172" s="102"/>
      <c r="H172" s="102"/>
    </row>
    <row r="173" spans="1:12" x14ac:dyDescent="0.3">
      <c r="B173" s="78">
        <v>2.35</v>
      </c>
      <c r="C173" s="78" t="s">
        <v>509</v>
      </c>
      <c r="I173" s="101" t="str">
        <f>IF(B173&lt;$B$73,"Memenuhi","tidak memenuhi")</f>
        <v>Memenuhi</v>
      </c>
      <c r="J173" s="101"/>
      <c r="K173" s="101"/>
      <c r="L173" s="101"/>
    </row>
    <row r="174" spans="1:12" x14ac:dyDescent="0.3">
      <c r="A174" s="98" t="s">
        <v>550</v>
      </c>
      <c r="C174" s="78" t="s">
        <v>551</v>
      </c>
    </row>
    <row r="176" spans="1:12" x14ac:dyDescent="0.3">
      <c r="A176" s="17" t="s">
        <v>559</v>
      </c>
    </row>
    <row r="177" spans="1:12" x14ac:dyDescent="0.3">
      <c r="A177" s="98" t="s">
        <v>513</v>
      </c>
      <c r="B177" s="78" t="s">
        <v>560</v>
      </c>
    </row>
    <row r="178" spans="1:12" x14ac:dyDescent="0.3">
      <c r="A178" s="98" t="s">
        <v>515</v>
      </c>
      <c r="B178" s="78" t="s">
        <v>561</v>
      </c>
      <c r="C178" s="78" t="s">
        <v>562</v>
      </c>
    </row>
    <row r="179" spans="1:12" x14ac:dyDescent="0.3">
      <c r="A179" s="98" t="s">
        <v>517</v>
      </c>
      <c r="B179" s="78" t="s">
        <v>563</v>
      </c>
    </row>
    <row r="180" spans="1:12" x14ac:dyDescent="0.3">
      <c r="A180" s="98" t="s">
        <v>519</v>
      </c>
      <c r="B180" s="78">
        <v>500</v>
      </c>
      <c r="C180" s="78" t="s">
        <v>520</v>
      </c>
    </row>
    <row r="181" spans="1:12" x14ac:dyDescent="0.3">
      <c r="A181" s="98" t="s">
        <v>521</v>
      </c>
      <c r="B181" s="78">
        <v>24000</v>
      </c>
      <c r="C181" s="78" t="s">
        <v>505</v>
      </c>
    </row>
    <row r="182" spans="1:12" x14ac:dyDescent="0.3">
      <c r="A182" s="98" t="s">
        <v>508</v>
      </c>
      <c r="B182" s="78">
        <f>B181*0.58857777021102</f>
        <v>14125.86648506448</v>
      </c>
      <c r="C182" s="78" t="s">
        <v>126</v>
      </c>
    </row>
    <row r="183" spans="1:12" x14ac:dyDescent="0.3">
      <c r="A183" s="98"/>
      <c r="C183" s="78" t="s">
        <v>523</v>
      </c>
    </row>
    <row r="184" spans="1:12" x14ac:dyDescent="0.3">
      <c r="A184" s="98" t="s">
        <v>510</v>
      </c>
      <c r="B184" s="78">
        <v>1.9</v>
      </c>
      <c r="C184" s="78" t="s">
        <v>509</v>
      </c>
      <c r="I184" s="101" t="str">
        <f>IF(B184&lt;$B$71,"Memenuhi","tidak memenuhi")</f>
        <v>Memenuhi</v>
      </c>
      <c r="J184" s="101"/>
      <c r="K184" s="101"/>
      <c r="L184" s="101"/>
    </row>
    <row r="185" spans="1:12" x14ac:dyDescent="0.3">
      <c r="A185" s="98"/>
      <c r="C185" s="78" t="s">
        <v>523</v>
      </c>
    </row>
    <row r="186" spans="1:12" x14ac:dyDescent="0.3">
      <c r="A186" s="98" t="s">
        <v>511</v>
      </c>
      <c r="B186" s="78">
        <v>3.8</v>
      </c>
      <c r="C186" s="78" t="s">
        <v>509</v>
      </c>
      <c r="I186" s="101" t="str">
        <f>IF(B186&lt;$B$72,"Memenuhi","tidak memenuhi")</f>
        <v>Memenuhi</v>
      </c>
      <c r="J186" s="101"/>
      <c r="K186" s="101"/>
      <c r="L186" s="101"/>
    </row>
    <row r="187" spans="1:12" x14ac:dyDescent="0.3">
      <c r="B187" s="98"/>
      <c r="C187" s="102" t="s">
        <v>523</v>
      </c>
      <c r="D187" s="102"/>
      <c r="E187" s="102"/>
      <c r="F187" s="102"/>
      <c r="G187" s="102"/>
      <c r="H187" s="102"/>
    </row>
    <row r="188" spans="1:12" x14ac:dyDescent="0.3">
      <c r="A188" s="98" t="s">
        <v>550</v>
      </c>
      <c r="B188" s="78">
        <v>2.35</v>
      </c>
      <c r="C188" s="78" t="s">
        <v>509</v>
      </c>
      <c r="I188" s="101" t="str">
        <f>IF(B188&lt;$B$73,"Memenuhi","tidak memenuhi")</f>
        <v>Memenuhi</v>
      </c>
      <c r="J188" s="101"/>
      <c r="K188" s="101"/>
      <c r="L188" s="101"/>
    </row>
    <row r="189" spans="1:12" x14ac:dyDescent="0.3">
      <c r="C189" s="78" t="s">
        <v>551</v>
      </c>
    </row>
    <row r="191" spans="1:12" x14ac:dyDescent="0.3">
      <c r="A191" s="17" t="s">
        <v>564</v>
      </c>
    </row>
    <row r="192" spans="1:12" x14ac:dyDescent="0.3">
      <c r="A192" s="98" t="s">
        <v>513</v>
      </c>
      <c r="B192" s="78" t="s">
        <v>565</v>
      </c>
    </row>
    <row r="193" spans="1:12" x14ac:dyDescent="0.3">
      <c r="A193" s="98" t="s">
        <v>515</v>
      </c>
      <c r="B193" s="78" t="s">
        <v>561</v>
      </c>
      <c r="C193" s="78" t="s">
        <v>566</v>
      </c>
    </row>
    <row r="194" spans="1:12" x14ac:dyDescent="0.3">
      <c r="A194" s="98" t="s">
        <v>517</v>
      </c>
      <c r="B194" s="78" t="s">
        <v>563</v>
      </c>
    </row>
    <row r="195" spans="1:12" x14ac:dyDescent="0.3">
      <c r="A195" s="98" t="s">
        <v>519</v>
      </c>
      <c r="B195" s="78">
        <v>500</v>
      </c>
      <c r="C195" s="78" t="s">
        <v>520</v>
      </c>
    </row>
    <row r="196" spans="1:12" x14ac:dyDescent="0.3">
      <c r="A196" s="98" t="s">
        <v>521</v>
      </c>
      <c r="B196" s="78">
        <v>24000</v>
      </c>
      <c r="C196" s="78" t="s">
        <v>126</v>
      </c>
    </row>
    <row r="197" spans="1:12" x14ac:dyDescent="0.3">
      <c r="A197" s="98" t="s">
        <v>508</v>
      </c>
    </row>
    <row r="198" spans="1:12" x14ac:dyDescent="0.3">
      <c r="A198" s="98"/>
      <c r="C198" s="78" t="s">
        <v>523</v>
      </c>
    </row>
    <row r="199" spans="1:12" x14ac:dyDescent="0.3">
      <c r="A199" s="98" t="s">
        <v>510</v>
      </c>
      <c r="B199" s="78">
        <v>1.9</v>
      </c>
      <c r="C199" s="78" t="s">
        <v>509</v>
      </c>
      <c r="I199" s="101" t="str">
        <f>IF(B199&lt;$B$71,"Memenuhi","tidak memenuhi")</f>
        <v>Memenuhi</v>
      </c>
      <c r="J199" s="101"/>
      <c r="K199" s="101"/>
      <c r="L199" s="101"/>
    </row>
    <row r="200" spans="1:12" x14ac:dyDescent="0.3">
      <c r="A200" s="98"/>
      <c r="C200" s="78" t="s">
        <v>523</v>
      </c>
    </row>
    <row r="201" spans="1:12" x14ac:dyDescent="0.3">
      <c r="A201" s="98" t="s">
        <v>511</v>
      </c>
      <c r="B201" s="78">
        <v>3.8</v>
      </c>
      <c r="C201" s="78" t="s">
        <v>509</v>
      </c>
      <c r="I201" s="101" t="str">
        <f>IF(B201&lt;$B$72,"Memenuhi","tidak memenuhi")</f>
        <v>Memenuhi</v>
      </c>
      <c r="J201" s="101"/>
      <c r="K201" s="101"/>
      <c r="L201" s="101"/>
    </row>
    <row r="202" spans="1:12" x14ac:dyDescent="0.3">
      <c r="B202" s="98"/>
      <c r="C202" s="102" t="s">
        <v>523</v>
      </c>
      <c r="D202" s="102"/>
      <c r="E202" s="102"/>
      <c r="F202" s="102"/>
      <c r="G202" s="102"/>
      <c r="H202" s="102"/>
    </row>
    <row r="203" spans="1:12" x14ac:dyDescent="0.3">
      <c r="A203" s="98" t="s">
        <v>550</v>
      </c>
      <c r="B203" s="78">
        <v>2.35</v>
      </c>
      <c r="C203" s="78" t="s">
        <v>509</v>
      </c>
      <c r="I203" s="101" t="str">
        <f>IF(B203&lt;$B$73,"Memenuhi","tidak memenuhi")</f>
        <v>Memenuhi</v>
      </c>
      <c r="J203" s="101"/>
      <c r="K203" s="101"/>
      <c r="L203" s="101"/>
    </row>
    <row r="204" spans="1:12" x14ac:dyDescent="0.3">
      <c r="C204" s="78" t="s">
        <v>551</v>
      </c>
    </row>
  </sheetData>
  <mergeCells count="25">
    <mergeCell ref="C13:C21"/>
    <mergeCell ref="C22:C31"/>
    <mergeCell ref="C32:C41"/>
    <mergeCell ref="B64:C64"/>
    <mergeCell ref="I64:M64"/>
    <mergeCell ref="U1:U2"/>
    <mergeCell ref="V1:V2"/>
    <mergeCell ref="R2:S2"/>
    <mergeCell ref="C3:C6"/>
    <mergeCell ref="C7:C12"/>
    <mergeCell ref="O1:O2"/>
    <mergeCell ref="P1:P2"/>
    <mergeCell ref="Q1:Q2"/>
    <mergeCell ref="R1:S1"/>
    <mergeCell ref="T1:T2"/>
    <mergeCell ref="F1:H1"/>
    <mergeCell ref="I1:I2"/>
    <mergeCell ref="J1:L1"/>
    <mergeCell ref="M1:M2"/>
    <mergeCell ref="N1:N2"/>
    <mergeCell ref="A1:A2"/>
    <mergeCell ref="B1:B2"/>
    <mergeCell ref="C1:C2"/>
    <mergeCell ref="D1:D2"/>
    <mergeCell ref="E1:E2"/>
  </mergeCells>
  <pageMargins left="0.7" right="0.7" top="0.75" bottom="0.75" header="0.511811023622047" footer="0.511811023622047"/>
  <pageSetup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B4:BJ178"/>
  <sheetViews>
    <sheetView topLeftCell="AN160" zoomScale="95" zoomScaleNormal="95" workbookViewId="0">
      <selection activeCell="AZ168" sqref="AZ168"/>
    </sheetView>
  </sheetViews>
  <sheetFormatPr defaultColWidth="8.88671875" defaultRowHeight="14.4" x14ac:dyDescent="0.3"/>
  <cols>
    <col min="1" max="1" width="8.88671875" style="112"/>
    <col min="2" max="2" width="17.21875" style="112" customWidth="1"/>
    <col min="3" max="3" width="20.88671875" style="112" customWidth="1"/>
    <col min="4" max="4" width="26.44140625" style="112" customWidth="1"/>
    <col min="5" max="5" width="10.21875" style="112" customWidth="1"/>
    <col min="6" max="6" width="8.88671875" style="112"/>
    <col min="7" max="7" width="5.5546875" style="112" hidden="1" customWidth="1"/>
    <col min="8" max="8" width="7.88671875" style="112" hidden="1" customWidth="1"/>
    <col min="9" max="11" width="11.5546875" style="112" hidden="1" customWidth="1"/>
    <col min="12" max="15" width="8.88671875" style="112"/>
    <col min="16" max="16" width="9" style="112" customWidth="1"/>
    <col min="17" max="17" width="9.33203125" style="112" customWidth="1"/>
    <col min="18" max="18" width="8" style="112" customWidth="1"/>
    <col min="19" max="20" width="10.5546875" style="112" customWidth="1"/>
    <col min="21" max="21" width="8.88671875" style="112"/>
    <col min="22" max="22" width="9.6640625" style="112" customWidth="1"/>
    <col min="23" max="23" width="17.21875" style="112" customWidth="1"/>
    <col min="24" max="24" width="18" style="112" customWidth="1"/>
    <col min="25" max="25" width="18.44140625" style="112" customWidth="1"/>
    <col min="26" max="31" width="8.88671875" style="112"/>
    <col min="32" max="34" width="11.5546875" style="112" hidden="1" customWidth="1"/>
    <col min="35" max="35" width="9.5546875" style="112" customWidth="1"/>
    <col min="36" max="44" width="8.88671875" style="112"/>
    <col min="45" max="45" width="6.88671875" style="112" customWidth="1"/>
    <col min="46" max="46" width="18.77734375" style="112" customWidth="1"/>
    <col min="47" max="47" width="20.109375" style="112" customWidth="1"/>
    <col min="48" max="48" width="12.44140625" style="112" customWidth="1"/>
    <col min="49" max="49" width="13.33203125" style="112" customWidth="1"/>
    <col min="50" max="51" width="8.88671875" style="112" hidden="1"/>
    <col min="52" max="52" width="8.88671875" style="112"/>
    <col min="53" max="53" width="6.88671875" style="112" customWidth="1"/>
    <col min="54" max="54" width="18.77734375" style="112" customWidth="1"/>
    <col min="55" max="55" width="20.109375" style="112" customWidth="1"/>
    <col min="56" max="56" width="12.21875" style="112" customWidth="1"/>
    <col min="57" max="57" width="6" style="112" customWidth="1"/>
    <col min="58" max="58" width="9.21875" style="112" customWidth="1"/>
    <col min="59" max="59" width="7" style="112" customWidth="1"/>
    <col min="60" max="62" width="11.5546875" style="112" hidden="1" customWidth="1"/>
    <col min="63" max="16384" width="8.88671875" style="112"/>
  </cols>
  <sheetData>
    <row r="4" spans="4:7" x14ac:dyDescent="0.3">
      <c r="D4" s="113" t="s">
        <v>567</v>
      </c>
    </row>
    <row r="5" spans="4:7" x14ac:dyDescent="0.3">
      <c r="D5" s="113"/>
      <c r="E5" s="112" t="s">
        <v>126</v>
      </c>
      <c r="G5" s="114"/>
    </row>
    <row r="6" spans="4:7" x14ac:dyDescent="0.3">
      <c r="D6" s="115" t="s">
        <v>568</v>
      </c>
      <c r="E6" s="114">
        <f>DUCTING!M16</f>
        <v>93</v>
      </c>
      <c r="F6" s="114"/>
      <c r="G6" s="114"/>
    </row>
    <row r="7" spans="4:7" x14ac:dyDescent="0.3">
      <c r="D7" s="116" t="s">
        <v>569</v>
      </c>
      <c r="E7" s="114">
        <f>DUCTING!M20</f>
        <v>73</v>
      </c>
      <c r="F7" s="114"/>
      <c r="G7" s="114"/>
    </row>
    <row r="8" spans="4:7" x14ac:dyDescent="0.3">
      <c r="D8" s="116" t="s">
        <v>570</v>
      </c>
      <c r="E8" s="114">
        <f>DUCTING!M19</f>
        <v>66</v>
      </c>
      <c r="F8" s="114"/>
      <c r="G8" s="114"/>
    </row>
    <row r="9" spans="4:7" x14ac:dyDescent="0.3">
      <c r="D9" s="116" t="s">
        <v>571</v>
      </c>
      <c r="E9" s="114">
        <f>DUCTING!M18</f>
        <v>103</v>
      </c>
      <c r="F9" s="114"/>
      <c r="G9" s="114"/>
    </row>
    <row r="10" spans="4:7" x14ac:dyDescent="0.3">
      <c r="D10" s="116" t="s">
        <v>572</v>
      </c>
      <c r="E10" s="114">
        <f>DUCTING!M14</f>
        <v>102</v>
      </c>
      <c r="F10" s="114"/>
      <c r="G10" s="114"/>
    </row>
    <row r="11" spans="4:7" x14ac:dyDescent="0.3">
      <c r="D11" s="115" t="s">
        <v>573</v>
      </c>
      <c r="E11" s="114">
        <f>DUCTING!M13</f>
        <v>109</v>
      </c>
    </row>
    <row r="12" spans="4:7" x14ac:dyDescent="0.3">
      <c r="D12" s="115" t="s">
        <v>574</v>
      </c>
      <c r="E12" s="114">
        <f>DUCTING!M15</f>
        <v>72</v>
      </c>
    </row>
    <row r="13" spans="4:7" x14ac:dyDescent="0.3">
      <c r="D13" s="115" t="s">
        <v>44</v>
      </c>
      <c r="E13" s="114">
        <f>DUCTING!M17</f>
        <v>118</v>
      </c>
    </row>
    <row r="14" spans="4:7" x14ac:dyDescent="0.3">
      <c r="D14" s="115" t="s">
        <v>28</v>
      </c>
      <c r="E14" s="114">
        <f>DUCTING!M5</f>
        <v>1738</v>
      </c>
    </row>
    <row r="15" spans="4:7" x14ac:dyDescent="0.3">
      <c r="E15" s="114">
        <f>SUM(E6:E14)</f>
        <v>2474</v>
      </c>
    </row>
    <row r="16" spans="4:7" x14ac:dyDescent="0.3">
      <c r="E16" s="114"/>
    </row>
    <row r="18" spans="2:25" x14ac:dyDescent="0.3">
      <c r="D18" s="112">
        <v>1</v>
      </c>
      <c r="E18" s="112">
        <v>2</v>
      </c>
      <c r="F18" s="112">
        <v>3</v>
      </c>
      <c r="G18" s="112">
        <v>4</v>
      </c>
      <c r="H18" s="112">
        <v>5</v>
      </c>
      <c r="I18" s="112">
        <v>6</v>
      </c>
      <c r="J18" s="112">
        <v>7</v>
      </c>
      <c r="K18" s="112">
        <v>8</v>
      </c>
      <c r="L18" s="112">
        <v>9</v>
      </c>
      <c r="O18" s="112">
        <v>10</v>
      </c>
    </row>
    <row r="19" spans="2:25" ht="62.25" customHeight="1" x14ac:dyDescent="0.3">
      <c r="B19" s="169" t="s">
        <v>74</v>
      </c>
      <c r="C19" s="170" t="s">
        <v>575</v>
      </c>
      <c r="D19" s="171" t="s">
        <v>576</v>
      </c>
      <c r="E19" s="171" t="s">
        <v>577</v>
      </c>
      <c r="F19" s="171" t="s">
        <v>578</v>
      </c>
      <c r="G19" s="171" t="s">
        <v>579</v>
      </c>
      <c r="H19" s="171"/>
      <c r="I19" s="171" t="s">
        <v>580</v>
      </c>
      <c r="J19" s="171" t="s">
        <v>581</v>
      </c>
      <c r="K19" s="171" t="s">
        <v>582</v>
      </c>
      <c r="L19" s="171" t="s">
        <v>583</v>
      </c>
      <c r="M19" s="171" t="s">
        <v>584</v>
      </c>
      <c r="N19" s="117"/>
      <c r="O19" s="171" t="s">
        <v>585</v>
      </c>
      <c r="P19" s="171" t="s">
        <v>586</v>
      </c>
      <c r="Q19" s="172" t="s">
        <v>587</v>
      </c>
      <c r="R19" s="172" t="s">
        <v>588</v>
      </c>
      <c r="S19" s="173" t="s">
        <v>589</v>
      </c>
      <c r="T19" s="174" t="s">
        <v>590</v>
      </c>
      <c r="U19" s="174" t="s">
        <v>591</v>
      </c>
      <c r="V19" s="175" t="s">
        <v>592</v>
      </c>
      <c r="W19" s="175" t="s">
        <v>593</v>
      </c>
      <c r="X19" s="175" t="s">
        <v>594</v>
      </c>
      <c r="Y19" s="175" t="s">
        <v>595</v>
      </c>
    </row>
    <row r="20" spans="2:25" ht="21.75" customHeight="1" x14ac:dyDescent="0.3">
      <c r="B20" s="169"/>
      <c r="C20" s="170"/>
      <c r="D20" s="171"/>
      <c r="E20" s="171"/>
      <c r="F20" s="171"/>
      <c r="G20" s="119" t="s">
        <v>596</v>
      </c>
      <c r="H20" s="119" t="s">
        <v>597</v>
      </c>
      <c r="I20" s="171"/>
      <c r="J20" s="171"/>
      <c r="K20" s="171"/>
      <c r="L20" s="171"/>
      <c r="M20" s="171"/>
      <c r="N20" s="117"/>
      <c r="O20" s="171"/>
      <c r="P20" s="171"/>
      <c r="Q20" s="172"/>
      <c r="R20" s="172"/>
      <c r="S20" s="173"/>
      <c r="T20" s="174"/>
      <c r="U20" s="174"/>
      <c r="V20" s="175"/>
      <c r="W20" s="175"/>
      <c r="X20" s="175"/>
      <c r="Y20" s="175"/>
    </row>
    <row r="21" spans="2:25" x14ac:dyDescent="0.3">
      <c r="B21" s="112" t="s">
        <v>311</v>
      </c>
      <c r="D21" s="120" t="s">
        <v>598</v>
      </c>
      <c r="E21" s="121">
        <f>E15</f>
        <v>2474</v>
      </c>
      <c r="F21" s="122">
        <f>R21</f>
        <v>18.04</v>
      </c>
      <c r="G21" s="123"/>
      <c r="H21" s="123"/>
      <c r="I21" s="120">
        <v>1.5</v>
      </c>
      <c r="J21" s="124">
        <f>I21+I22</f>
        <v>1.84276</v>
      </c>
      <c r="K21" s="123">
        <v>1.5</v>
      </c>
      <c r="L21" s="125">
        <v>12</v>
      </c>
      <c r="M21" s="120">
        <f>L21*25.4</f>
        <v>304.79999999999995</v>
      </c>
      <c r="N21" s="120"/>
      <c r="O21" s="125">
        <v>4400</v>
      </c>
      <c r="P21" s="126">
        <f>O21/60</f>
        <v>73.333333333333329</v>
      </c>
      <c r="Q21" s="127">
        <f>2.7+2.8</f>
        <v>5.5</v>
      </c>
      <c r="R21" s="128">
        <f>Q21*3.28</f>
        <v>18.04</v>
      </c>
      <c r="S21" s="129">
        <f>0.33*12</f>
        <v>3.96</v>
      </c>
      <c r="T21" s="128">
        <f>(1*L21)/S21</f>
        <v>3.0303030303030303</v>
      </c>
      <c r="U21" s="128">
        <f>T21*3.28</f>
        <v>9.9393939393939394</v>
      </c>
      <c r="W21" s="130">
        <v>1.9</v>
      </c>
      <c r="X21" s="131">
        <f>(W21*F21)/100</f>
        <v>0.34275999999999995</v>
      </c>
      <c r="Y21" s="132">
        <f>6*M21/1000</f>
        <v>1.8287999999999998</v>
      </c>
    </row>
    <row r="22" spans="2:25" x14ac:dyDescent="0.3">
      <c r="D22" s="123"/>
      <c r="E22" s="123"/>
      <c r="F22" s="123"/>
      <c r="G22" s="123"/>
      <c r="H22" s="123"/>
      <c r="I22" s="123">
        <f>X21</f>
        <v>0.34275999999999995</v>
      </c>
      <c r="J22" s="123"/>
      <c r="K22" s="123"/>
      <c r="L22" s="123"/>
      <c r="M22" s="123"/>
      <c r="N22" s="123"/>
      <c r="O22" s="123"/>
      <c r="P22" s="133"/>
    </row>
    <row r="23" spans="2:25" x14ac:dyDescent="0.3">
      <c r="B23" s="112" t="s">
        <v>311</v>
      </c>
      <c r="D23" s="120" t="s">
        <v>599</v>
      </c>
      <c r="E23" s="121">
        <f>E6+E7</f>
        <v>166</v>
      </c>
      <c r="F23" s="122">
        <f>R23</f>
        <v>1.64</v>
      </c>
      <c r="G23" s="125">
        <v>1.5</v>
      </c>
      <c r="H23" s="125">
        <v>0.86</v>
      </c>
      <c r="I23" s="120">
        <f>G23-H23</f>
        <v>0.64</v>
      </c>
      <c r="J23" s="124">
        <f>J21-I23</f>
        <v>1.2027600000000001</v>
      </c>
      <c r="K23" s="123">
        <v>1.5</v>
      </c>
      <c r="L23" s="125">
        <v>4</v>
      </c>
      <c r="M23" s="120">
        <f>L23*25.4</f>
        <v>101.6</v>
      </c>
      <c r="N23" s="120"/>
      <c r="O23" s="125">
        <v>2800</v>
      </c>
      <c r="P23" s="126">
        <f>O23/60</f>
        <v>46.666666666666664</v>
      </c>
      <c r="Q23" s="127">
        <v>0.5</v>
      </c>
      <c r="R23" s="128">
        <f>Q23*3.28</f>
        <v>1.64</v>
      </c>
      <c r="S23" s="129">
        <f>0.33*12</f>
        <v>3.96</v>
      </c>
      <c r="T23" s="128">
        <f>(1*L23)/S23</f>
        <v>1.0101010101010102</v>
      </c>
      <c r="U23" s="128">
        <f>T23*3.28</f>
        <v>3.3131313131313131</v>
      </c>
      <c r="W23" s="130">
        <v>3.3</v>
      </c>
      <c r="X23" s="131">
        <f>(W23*F23)/100</f>
        <v>5.4119999999999988E-2</v>
      </c>
      <c r="Y23" s="132">
        <f>6*M23/1000</f>
        <v>0.60959999999999992</v>
      </c>
    </row>
    <row r="24" spans="2:25" x14ac:dyDescent="0.3">
      <c r="B24" s="112" t="s">
        <v>311</v>
      </c>
      <c r="D24" s="120" t="s">
        <v>600</v>
      </c>
      <c r="E24" s="121">
        <f>E6</f>
        <v>93</v>
      </c>
      <c r="F24" s="122">
        <f>R24</f>
        <v>10.216000000000001</v>
      </c>
      <c r="G24" s="125">
        <v>1.4</v>
      </c>
      <c r="H24" s="125">
        <v>0.84</v>
      </c>
      <c r="I24" s="120">
        <f>G24-H24</f>
        <v>0.55999999999999994</v>
      </c>
      <c r="J24" s="124">
        <f>J23-I24</f>
        <v>0.64276000000000011</v>
      </c>
      <c r="K24" s="123">
        <v>1.5</v>
      </c>
      <c r="L24" s="125">
        <v>4</v>
      </c>
      <c r="M24" s="120">
        <f>L24*25.4</f>
        <v>101.6</v>
      </c>
      <c r="N24" s="120"/>
      <c r="O24" s="125">
        <v>1500</v>
      </c>
      <c r="P24" s="126">
        <f>O24/60</f>
        <v>25</v>
      </c>
      <c r="Q24" s="127">
        <f>0.6+1.6</f>
        <v>2.2000000000000002</v>
      </c>
      <c r="R24" s="128">
        <f>Q24*3.28+3</f>
        <v>10.216000000000001</v>
      </c>
      <c r="S24" s="129">
        <f>0.33*12</f>
        <v>3.96</v>
      </c>
      <c r="T24" s="128">
        <f>(1*L24)/S24</f>
        <v>1.0101010101010102</v>
      </c>
      <c r="U24" s="128">
        <f>T24*3.28</f>
        <v>3.3131313131313131</v>
      </c>
      <c r="W24" s="130">
        <v>1.1000000000000001</v>
      </c>
      <c r="X24" s="131">
        <f>(W24*F24)/100</f>
        <v>0.11237600000000002</v>
      </c>
      <c r="Y24" s="132">
        <f>6*M24/1000</f>
        <v>0.60959999999999992</v>
      </c>
    </row>
    <row r="25" spans="2:25" x14ac:dyDescent="0.3">
      <c r="B25" s="112" t="s">
        <v>311</v>
      </c>
      <c r="D25" s="120" t="s">
        <v>601</v>
      </c>
      <c r="E25" s="134">
        <f>E7</f>
        <v>73</v>
      </c>
      <c r="F25" s="122">
        <f>R25</f>
        <v>21.04</v>
      </c>
      <c r="G25" s="125">
        <v>0.155</v>
      </c>
      <c r="H25" s="125">
        <v>0.155</v>
      </c>
      <c r="I25" s="120">
        <f>G25-H25</f>
        <v>0</v>
      </c>
      <c r="J25" s="124">
        <f>J24-I25</f>
        <v>0.64276000000000011</v>
      </c>
      <c r="K25" s="123">
        <v>1.5</v>
      </c>
      <c r="L25" s="125">
        <v>4</v>
      </c>
      <c r="M25" s="120">
        <f>L25*25.4</f>
        <v>101.6</v>
      </c>
      <c r="N25" s="120"/>
      <c r="O25" s="125">
        <v>1300</v>
      </c>
      <c r="P25" s="126">
        <f>O25/60</f>
        <v>21.666666666666668</v>
      </c>
      <c r="Q25" s="127">
        <f>1+4.5</f>
        <v>5.5</v>
      </c>
      <c r="R25" s="128">
        <f>Q25*3.28+3</f>
        <v>21.04</v>
      </c>
      <c r="S25" s="129">
        <f>0.33*12</f>
        <v>3.96</v>
      </c>
      <c r="T25" s="128">
        <f>(1*L25)/S25</f>
        <v>1.0101010101010102</v>
      </c>
      <c r="U25" s="128">
        <f>T25*3.28</f>
        <v>3.3131313131313131</v>
      </c>
      <c r="W25" s="130">
        <v>0.65</v>
      </c>
      <c r="X25" s="131">
        <f>(W25*F25)/100</f>
        <v>0.13675999999999999</v>
      </c>
      <c r="Y25" s="132">
        <f>6*M25/1000</f>
        <v>0.60959999999999992</v>
      </c>
    </row>
    <row r="26" spans="2:25" x14ac:dyDescent="0.3">
      <c r="B26" s="112" t="s">
        <v>311</v>
      </c>
      <c r="D26" s="123" t="s">
        <v>602</v>
      </c>
      <c r="E26" s="134">
        <f>SUM(E8:E14)</f>
        <v>2308</v>
      </c>
      <c r="F26" s="122">
        <f>R26</f>
        <v>23.479999999999997</v>
      </c>
      <c r="G26" s="125">
        <v>1.4</v>
      </c>
      <c r="H26" s="125">
        <v>1.4</v>
      </c>
      <c r="I26" s="120">
        <f>G26-H26</f>
        <v>0</v>
      </c>
      <c r="J26" s="124">
        <f>J21-I26</f>
        <v>1.84276</v>
      </c>
      <c r="K26" s="123">
        <v>1.5</v>
      </c>
      <c r="L26" s="125">
        <v>12</v>
      </c>
      <c r="M26" s="120">
        <f>L26*25.4</f>
        <v>304.79999999999995</v>
      </c>
      <c r="N26" s="120"/>
      <c r="O26" s="125">
        <v>4200</v>
      </c>
      <c r="P26" s="126">
        <f>O26/60</f>
        <v>70</v>
      </c>
      <c r="Q26" s="127">
        <f>1.7+1.8</f>
        <v>3.5</v>
      </c>
      <c r="R26" s="128">
        <f>Q26*3.28+12</f>
        <v>23.479999999999997</v>
      </c>
      <c r="S26" s="129">
        <f>0.33*12</f>
        <v>3.96</v>
      </c>
      <c r="T26" s="128">
        <f>(1*L26)/S26</f>
        <v>3.0303030303030303</v>
      </c>
      <c r="U26" s="128">
        <f>T26*3.28</f>
        <v>9.9393939393939394</v>
      </c>
      <c r="W26" s="130">
        <v>1.8</v>
      </c>
      <c r="X26" s="131">
        <f>(W26*F26)/100</f>
        <v>0.42263999999999996</v>
      </c>
      <c r="Y26" s="132">
        <f>6*M26/1000</f>
        <v>1.8287999999999998</v>
      </c>
    </row>
    <row r="27" spans="2:25" x14ac:dyDescent="0.3">
      <c r="B27" s="112" t="s">
        <v>311</v>
      </c>
      <c r="D27" s="120" t="s">
        <v>603</v>
      </c>
      <c r="E27" s="121">
        <f>E8</f>
        <v>66</v>
      </c>
      <c r="F27" s="122">
        <f>R27</f>
        <v>9.84</v>
      </c>
      <c r="G27" s="123">
        <v>1.2</v>
      </c>
      <c r="H27" s="123">
        <v>1.2</v>
      </c>
      <c r="I27" s="120">
        <f>G27-H27</f>
        <v>0</v>
      </c>
      <c r="J27" s="124">
        <f>J26-I27</f>
        <v>1.84276</v>
      </c>
      <c r="K27" s="123">
        <v>1.5</v>
      </c>
      <c r="L27" s="125">
        <v>3</v>
      </c>
      <c r="M27" s="120">
        <f>L27*25.4</f>
        <v>76.199999999999989</v>
      </c>
      <c r="N27" s="120"/>
      <c r="O27" s="125">
        <v>2000</v>
      </c>
      <c r="P27" s="126">
        <f>O27/60</f>
        <v>33.333333333333336</v>
      </c>
      <c r="Q27" s="127">
        <v>3</v>
      </c>
      <c r="R27" s="128">
        <f>Q27*3.28</f>
        <v>9.84</v>
      </c>
      <c r="S27" s="129">
        <f>0.33*12</f>
        <v>3.96</v>
      </c>
      <c r="T27" s="128">
        <f>(1*L27)/S27</f>
        <v>0.75757575757575757</v>
      </c>
      <c r="U27" s="128">
        <f>T27*3.28</f>
        <v>2.4848484848484849</v>
      </c>
      <c r="W27" s="130">
        <v>2.9</v>
      </c>
      <c r="X27" s="131">
        <f>(W27*F27)/100</f>
        <v>0.28536</v>
      </c>
      <c r="Y27" s="132">
        <f>6*M27/1000</f>
        <v>0.45719999999999994</v>
      </c>
    </row>
    <row r="28" spans="2:25" x14ac:dyDescent="0.3"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33"/>
    </row>
    <row r="29" spans="2:25" x14ac:dyDescent="0.3">
      <c r="B29" s="112" t="s">
        <v>311</v>
      </c>
      <c r="D29" s="120" t="s">
        <v>604</v>
      </c>
      <c r="E29" s="121">
        <v>3100</v>
      </c>
      <c r="F29" s="122">
        <f>R29</f>
        <v>7.871999999999999</v>
      </c>
      <c r="G29" s="125">
        <v>1.25</v>
      </c>
      <c r="H29" s="125">
        <v>1.25</v>
      </c>
      <c r="I29" s="120">
        <f>G29-H29</f>
        <v>0</v>
      </c>
      <c r="J29" s="124">
        <f>J26-I29</f>
        <v>1.84276</v>
      </c>
      <c r="K29" s="123">
        <v>1.5</v>
      </c>
      <c r="L29" s="125">
        <v>12</v>
      </c>
      <c r="M29" s="120">
        <f>L29*25.4</f>
        <v>304.79999999999995</v>
      </c>
      <c r="N29" s="120"/>
      <c r="O29" s="125">
        <v>3900</v>
      </c>
      <c r="P29" s="126">
        <f>O29/60</f>
        <v>65</v>
      </c>
      <c r="Q29" s="127">
        <v>2.4</v>
      </c>
      <c r="R29" s="128">
        <f>Q29*3.28</f>
        <v>7.871999999999999</v>
      </c>
      <c r="S29" s="129">
        <f>0.33*12</f>
        <v>3.96</v>
      </c>
      <c r="T29" s="128">
        <f>(1*L29)/S29</f>
        <v>3.0303030303030303</v>
      </c>
      <c r="U29" s="128">
        <f>T29*3.28</f>
        <v>9.9393939393939394</v>
      </c>
      <c r="W29" s="130">
        <v>1.5</v>
      </c>
      <c r="X29" s="131">
        <f>(W29*F29)/100</f>
        <v>0.11807999999999998</v>
      </c>
      <c r="Y29" s="132">
        <f>6*M29/1000</f>
        <v>1.8287999999999998</v>
      </c>
    </row>
    <row r="30" spans="2:25" x14ac:dyDescent="0.3">
      <c r="B30" s="112" t="s">
        <v>311</v>
      </c>
      <c r="D30" s="120" t="s">
        <v>605</v>
      </c>
      <c r="E30" s="121">
        <f>E9</f>
        <v>103</v>
      </c>
      <c r="F30" s="122">
        <f>R30</f>
        <v>9.84</v>
      </c>
      <c r="G30" s="125">
        <v>1</v>
      </c>
      <c r="H30" s="125">
        <v>0.34</v>
      </c>
      <c r="I30" s="120">
        <f>G30-H30</f>
        <v>0.65999999999999992</v>
      </c>
      <c r="J30" s="124">
        <f>J29-I30</f>
        <v>1.18276</v>
      </c>
      <c r="K30" s="123">
        <v>1.5</v>
      </c>
      <c r="L30" s="125">
        <v>4</v>
      </c>
      <c r="M30" s="120">
        <f>L30*25.4</f>
        <v>101.6</v>
      </c>
      <c r="N30" s="120"/>
      <c r="O30" s="125">
        <v>1550</v>
      </c>
      <c r="P30" s="126">
        <f>O30/60</f>
        <v>25.833333333333332</v>
      </c>
      <c r="Q30" s="127">
        <v>3</v>
      </c>
      <c r="R30" s="128">
        <f>Q30*3.28</f>
        <v>9.84</v>
      </c>
      <c r="S30" s="129">
        <f>0.33*12</f>
        <v>3.96</v>
      </c>
      <c r="T30" s="128">
        <f>(1*L30)/S30</f>
        <v>1.0101010101010102</v>
      </c>
      <c r="U30" s="128">
        <f>T30*3.28</f>
        <v>3.3131313131313131</v>
      </c>
      <c r="W30" s="130">
        <v>1.3</v>
      </c>
      <c r="X30" s="131">
        <f>(W30*F30)/100</f>
        <v>0.12792000000000001</v>
      </c>
      <c r="Y30" s="132">
        <f>6*M30/1000</f>
        <v>0.60959999999999992</v>
      </c>
    </row>
    <row r="31" spans="2:25" x14ac:dyDescent="0.3"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33"/>
    </row>
    <row r="32" spans="2:25" x14ac:dyDescent="0.3">
      <c r="B32" s="112" t="s">
        <v>311</v>
      </c>
      <c r="D32" s="120" t="s">
        <v>606</v>
      </c>
      <c r="E32" s="121">
        <v>2900</v>
      </c>
      <c r="F32" s="122">
        <f t="shared" ref="F32:F55" si="0">R32</f>
        <v>8.1999999999999993</v>
      </c>
      <c r="G32" s="125">
        <v>1.05</v>
      </c>
      <c r="H32" s="125">
        <v>1.05</v>
      </c>
      <c r="I32" s="120">
        <f t="shared" ref="I32:I55" si="1">G32-H32</f>
        <v>0</v>
      </c>
      <c r="J32" s="124">
        <f>J29-I32</f>
        <v>1.84276</v>
      </c>
      <c r="K32" s="123">
        <v>1.5</v>
      </c>
      <c r="L32" s="125">
        <v>12</v>
      </c>
      <c r="M32" s="120">
        <f t="shared" ref="M32:M55" si="2">L32*25.4</f>
        <v>304.79999999999995</v>
      </c>
      <c r="N32" s="120"/>
      <c r="O32" s="125">
        <v>3700</v>
      </c>
      <c r="P32" s="126">
        <f t="shared" ref="P32:P55" si="3">O32/60</f>
        <v>61.666666666666664</v>
      </c>
      <c r="Q32" s="127">
        <v>2.5</v>
      </c>
      <c r="R32" s="128">
        <f t="shared" ref="R32:R55" si="4">Q32*3.28</f>
        <v>8.1999999999999993</v>
      </c>
      <c r="S32" s="129">
        <f t="shared" ref="S32:S55" si="5">0.33*12</f>
        <v>3.96</v>
      </c>
      <c r="T32" s="128">
        <f t="shared" ref="T32:T55" si="6">(1*L32)/S32</f>
        <v>3.0303030303030303</v>
      </c>
      <c r="U32" s="128">
        <f t="shared" ref="U32:U55" si="7">T32*3.28</f>
        <v>9.9393939393939394</v>
      </c>
      <c r="W32" s="130">
        <v>1.4</v>
      </c>
      <c r="X32" s="131">
        <f t="shared" ref="X32:X55" si="8">(W32*F32)/100</f>
        <v>0.11479999999999999</v>
      </c>
      <c r="Y32" s="132">
        <f t="shared" ref="Y32:Y55" si="9">6*M32/1000</f>
        <v>1.8287999999999998</v>
      </c>
    </row>
    <row r="33" spans="2:25" x14ac:dyDescent="0.3">
      <c r="B33" s="112" t="s">
        <v>311</v>
      </c>
      <c r="D33" s="120" t="s">
        <v>607</v>
      </c>
      <c r="E33" s="121">
        <f>SUM(E10:E13)</f>
        <v>401</v>
      </c>
      <c r="F33" s="122">
        <f t="shared" si="0"/>
        <v>1.9679999999999997</v>
      </c>
      <c r="G33" s="125">
        <v>0.95</v>
      </c>
      <c r="H33" s="125">
        <v>0.85</v>
      </c>
      <c r="I33" s="120">
        <f t="shared" si="1"/>
        <v>9.9999999999999978E-2</v>
      </c>
      <c r="J33" s="124">
        <f>J32-I33</f>
        <v>1.7427600000000001</v>
      </c>
      <c r="K33" s="123">
        <v>1.5</v>
      </c>
      <c r="L33" s="125">
        <v>6</v>
      </c>
      <c r="M33" s="120">
        <f t="shared" si="2"/>
        <v>152.39999999999998</v>
      </c>
      <c r="N33" s="120"/>
      <c r="O33" s="125">
        <v>3000</v>
      </c>
      <c r="P33" s="126">
        <f t="shared" si="3"/>
        <v>50</v>
      </c>
      <c r="Q33" s="127">
        <v>0.6</v>
      </c>
      <c r="R33" s="128">
        <f t="shared" si="4"/>
        <v>1.9679999999999997</v>
      </c>
      <c r="S33" s="129">
        <f t="shared" si="5"/>
        <v>3.96</v>
      </c>
      <c r="T33" s="128">
        <f t="shared" si="6"/>
        <v>1.5151515151515151</v>
      </c>
      <c r="U33" s="128">
        <f t="shared" si="7"/>
        <v>4.9696969696969697</v>
      </c>
      <c r="W33" s="130">
        <v>2.2000000000000002</v>
      </c>
      <c r="X33" s="131">
        <f t="shared" si="8"/>
        <v>4.3296000000000001E-2</v>
      </c>
      <c r="Y33" s="132">
        <f t="shared" si="9"/>
        <v>0.91439999999999988</v>
      </c>
    </row>
    <row r="34" spans="2:25" x14ac:dyDescent="0.3">
      <c r="B34" s="112" t="s">
        <v>311</v>
      </c>
      <c r="D34" s="120" t="s">
        <v>608</v>
      </c>
      <c r="E34" s="121">
        <f>E10</f>
        <v>102</v>
      </c>
      <c r="F34" s="122">
        <f t="shared" si="0"/>
        <v>9.84</v>
      </c>
      <c r="G34" s="125">
        <v>0.61</v>
      </c>
      <c r="H34" s="125">
        <v>0.34</v>
      </c>
      <c r="I34" s="120">
        <f t="shared" si="1"/>
        <v>0.26999999999999996</v>
      </c>
      <c r="J34" s="124">
        <f>J33-I34</f>
        <v>1.4727600000000001</v>
      </c>
      <c r="K34" s="123">
        <v>1.5</v>
      </c>
      <c r="L34" s="125">
        <v>4</v>
      </c>
      <c r="M34" s="120">
        <f t="shared" si="2"/>
        <v>101.6</v>
      </c>
      <c r="N34" s="120"/>
      <c r="O34" s="125">
        <v>1550</v>
      </c>
      <c r="P34" s="126">
        <f t="shared" si="3"/>
        <v>25.833333333333332</v>
      </c>
      <c r="Q34" s="127">
        <v>3</v>
      </c>
      <c r="R34" s="128">
        <f t="shared" si="4"/>
        <v>9.84</v>
      </c>
      <c r="S34" s="129">
        <f t="shared" si="5"/>
        <v>3.96</v>
      </c>
      <c r="T34" s="128">
        <f t="shared" si="6"/>
        <v>1.0101010101010102</v>
      </c>
      <c r="U34" s="128">
        <f t="shared" si="7"/>
        <v>3.3131313131313131</v>
      </c>
      <c r="W34" s="130">
        <v>1.3</v>
      </c>
      <c r="X34" s="131">
        <f t="shared" si="8"/>
        <v>0.12792000000000001</v>
      </c>
      <c r="Y34" s="132">
        <f t="shared" si="9"/>
        <v>0.60959999999999992</v>
      </c>
    </row>
    <row r="35" spans="2:25" x14ac:dyDescent="0.3">
      <c r="B35" s="112" t="s">
        <v>311</v>
      </c>
      <c r="D35" s="120" t="s">
        <v>609</v>
      </c>
      <c r="E35" s="121">
        <f>SUM(E11:E13)</f>
        <v>299</v>
      </c>
      <c r="F35" s="122">
        <f t="shared" si="0"/>
        <v>6.8879999999999999</v>
      </c>
      <c r="G35" s="125">
        <v>0.62</v>
      </c>
      <c r="H35" s="125">
        <v>0.48</v>
      </c>
      <c r="I35" s="120">
        <f t="shared" si="1"/>
        <v>0.14000000000000001</v>
      </c>
      <c r="J35" s="124">
        <f>J33-I35</f>
        <v>1.60276</v>
      </c>
      <c r="K35" s="123">
        <v>1.5</v>
      </c>
      <c r="L35" s="125">
        <v>6</v>
      </c>
      <c r="M35" s="120">
        <f t="shared" si="2"/>
        <v>152.39999999999998</v>
      </c>
      <c r="N35" s="120"/>
      <c r="O35" s="125">
        <v>2200</v>
      </c>
      <c r="P35" s="126">
        <f t="shared" si="3"/>
        <v>36.666666666666664</v>
      </c>
      <c r="Q35" s="127">
        <v>2.1</v>
      </c>
      <c r="R35" s="128">
        <f t="shared" si="4"/>
        <v>6.8879999999999999</v>
      </c>
      <c r="S35" s="129">
        <f t="shared" si="5"/>
        <v>3.96</v>
      </c>
      <c r="T35" s="128">
        <f t="shared" si="6"/>
        <v>1.5151515151515151</v>
      </c>
      <c r="U35" s="128">
        <f t="shared" si="7"/>
        <v>4.9696969696969697</v>
      </c>
      <c r="W35" s="130">
        <v>1.4</v>
      </c>
      <c r="X35" s="131">
        <f t="shared" si="8"/>
        <v>9.643199999999999E-2</v>
      </c>
      <c r="Y35" s="132">
        <f t="shared" si="9"/>
        <v>0.91439999999999988</v>
      </c>
    </row>
    <row r="36" spans="2:25" x14ac:dyDescent="0.3">
      <c r="B36" s="112" t="s">
        <v>311</v>
      </c>
      <c r="D36" s="120" t="s">
        <v>610</v>
      </c>
      <c r="E36" s="121">
        <f>E11</f>
        <v>109</v>
      </c>
      <c r="F36" s="122">
        <f t="shared" si="0"/>
        <v>13.447999999999999</v>
      </c>
      <c r="G36" s="125">
        <v>0.3</v>
      </c>
      <c r="H36" s="125">
        <v>0.16</v>
      </c>
      <c r="I36" s="120">
        <f t="shared" si="1"/>
        <v>0.13999999999999999</v>
      </c>
      <c r="J36" s="124">
        <f>J35-I36</f>
        <v>1.4627600000000001</v>
      </c>
      <c r="K36" s="123">
        <v>1.5</v>
      </c>
      <c r="L36" s="125">
        <v>5</v>
      </c>
      <c r="M36" s="120">
        <f t="shared" si="2"/>
        <v>127</v>
      </c>
      <c r="N36" s="120"/>
      <c r="O36" s="125">
        <v>1200</v>
      </c>
      <c r="P36" s="126">
        <f t="shared" si="3"/>
        <v>20</v>
      </c>
      <c r="Q36" s="127">
        <f>1.1+3</f>
        <v>4.0999999999999996</v>
      </c>
      <c r="R36" s="128">
        <f t="shared" si="4"/>
        <v>13.447999999999999</v>
      </c>
      <c r="S36" s="129">
        <f t="shared" si="5"/>
        <v>3.96</v>
      </c>
      <c r="T36" s="128">
        <f t="shared" si="6"/>
        <v>1.2626262626262625</v>
      </c>
      <c r="U36" s="128">
        <f t="shared" si="7"/>
        <v>4.141414141414141</v>
      </c>
      <c r="W36" s="130">
        <v>0.52</v>
      </c>
      <c r="X36" s="131">
        <f t="shared" si="8"/>
        <v>6.9929599999999995E-2</v>
      </c>
      <c r="Y36" s="132">
        <f t="shared" si="9"/>
        <v>0.76200000000000001</v>
      </c>
    </row>
    <row r="37" spans="2:25" x14ac:dyDescent="0.3">
      <c r="B37" s="112" t="s">
        <v>311</v>
      </c>
      <c r="D37" s="120" t="s">
        <v>611</v>
      </c>
      <c r="E37" s="121">
        <f>SUM(E12:E13)</f>
        <v>190</v>
      </c>
      <c r="F37" s="122">
        <f t="shared" si="0"/>
        <v>9.1839999999999993</v>
      </c>
      <c r="G37" s="125">
        <v>0.33</v>
      </c>
      <c r="H37" s="125">
        <v>0.21</v>
      </c>
      <c r="I37" s="120">
        <f t="shared" si="1"/>
        <v>0.12000000000000002</v>
      </c>
      <c r="J37" s="124">
        <f>J35-I37</f>
        <v>1.4827599999999999</v>
      </c>
      <c r="K37" s="123">
        <v>1.5</v>
      </c>
      <c r="L37" s="125">
        <v>6</v>
      </c>
      <c r="M37" s="120">
        <f t="shared" si="2"/>
        <v>152.39999999999998</v>
      </c>
      <c r="N37" s="120"/>
      <c r="O37" s="125">
        <v>1410</v>
      </c>
      <c r="P37" s="126">
        <f t="shared" si="3"/>
        <v>23.5</v>
      </c>
      <c r="Q37" s="127">
        <v>2.8</v>
      </c>
      <c r="R37" s="128">
        <f t="shared" si="4"/>
        <v>9.1839999999999993</v>
      </c>
      <c r="S37" s="129">
        <f t="shared" si="5"/>
        <v>3.96</v>
      </c>
      <c r="T37" s="128">
        <f t="shared" si="6"/>
        <v>1.5151515151515151</v>
      </c>
      <c r="U37" s="128">
        <f t="shared" si="7"/>
        <v>4.9696969696969697</v>
      </c>
      <c r="W37" s="130">
        <v>0.55000000000000004</v>
      </c>
      <c r="X37" s="131">
        <f t="shared" si="8"/>
        <v>5.0511999999999994E-2</v>
      </c>
      <c r="Y37" s="132">
        <f t="shared" si="9"/>
        <v>0.91439999999999988</v>
      </c>
    </row>
    <row r="38" spans="2:25" x14ac:dyDescent="0.3">
      <c r="B38" s="112" t="s">
        <v>311</v>
      </c>
      <c r="D38" s="120" t="s">
        <v>612</v>
      </c>
      <c r="E38" s="121">
        <f>E12</f>
        <v>72</v>
      </c>
      <c r="F38" s="122">
        <f t="shared" si="0"/>
        <v>3.9359999999999995</v>
      </c>
      <c r="G38" s="125">
        <v>1.25</v>
      </c>
      <c r="H38" s="125">
        <v>0.68</v>
      </c>
      <c r="I38" s="120">
        <f t="shared" si="1"/>
        <v>0.56999999999999995</v>
      </c>
      <c r="J38" s="124">
        <f>J37-I38</f>
        <v>0.9127599999999999</v>
      </c>
      <c r="K38" s="123">
        <v>1.5</v>
      </c>
      <c r="L38" s="125">
        <v>5</v>
      </c>
      <c r="M38" s="120">
        <f t="shared" si="2"/>
        <v>127</v>
      </c>
      <c r="N38" s="120"/>
      <c r="O38" s="119">
        <v>1000</v>
      </c>
      <c r="P38" s="126">
        <f t="shared" si="3"/>
        <v>16.666666666666668</v>
      </c>
      <c r="Q38" s="127">
        <v>1.2</v>
      </c>
      <c r="R38" s="128">
        <f t="shared" si="4"/>
        <v>3.9359999999999995</v>
      </c>
      <c r="S38" s="129">
        <f t="shared" si="5"/>
        <v>3.96</v>
      </c>
      <c r="T38" s="128">
        <f t="shared" si="6"/>
        <v>1.2626262626262625</v>
      </c>
      <c r="U38" s="128">
        <f t="shared" si="7"/>
        <v>4.141414141414141</v>
      </c>
      <c r="W38" s="132">
        <v>0.38</v>
      </c>
      <c r="X38" s="131">
        <f t="shared" si="8"/>
        <v>1.4956799999999999E-2</v>
      </c>
      <c r="Y38" s="132">
        <f t="shared" si="9"/>
        <v>0.76200000000000001</v>
      </c>
    </row>
    <row r="39" spans="2:25" x14ac:dyDescent="0.3">
      <c r="B39" s="112" t="s">
        <v>311</v>
      </c>
      <c r="D39" s="120" t="s">
        <v>613</v>
      </c>
      <c r="E39" s="121">
        <f>E13</f>
        <v>118</v>
      </c>
      <c r="F39" s="122">
        <f t="shared" si="0"/>
        <v>10.496</v>
      </c>
      <c r="G39" s="125">
        <v>1.25</v>
      </c>
      <c r="H39" s="125">
        <v>0.85</v>
      </c>
      <c r="I39" s="120">
        <f t="shared" si="1"/>
        <v>0.4</v>
      </c>
      <c r="J39" s="124">
        <f>J38-I39</f>
        <v>0.51275999999999988</v>
      </c>
      <c r="K39" s="123">
        <v>1.5</v>
      </c>
      <c r="L39" s="125">
        <v>6</v>
      </c>
      <c r="M39" s="120">
        <f t="shared" si="2"/>
        <v>152.39999999999998</v>
      </c>
      <c r="N39" s="120"/>
      <c r="O39" s="119">
        <v>1000</v>
      </c>
      <c r="P39" s="126">
        <f t="shared" si="3"/>
        <v>16.666666666666668</v>
      </c>
      <c r="Q39" s="127">
        <v>3.2</v>
      </c>
      <c r="R39" s="128">
        <f t="shared" si="4"/>
        <v>10.496</v>
      </c>
      <c r="S39" s="129">
        <f t="shared" si="5"/>
        <v>3.96</v>
      </c>
      <c r="T39" s="128">
        <f t="shared" si="6"/>
        <v>1.5151515151515151</v>
      </c>
      <c r="U39" s="128">
        <f t="shared" si="7"/>
        <v>4.9696969696969697</v>
      </c>
      <c r="W39" s="132">
        <v>0.32</v>
      </c>
      <c r="X39" s="131">
        <f t="shared" si="8"/>
        <v>3.3587200000000005E-2</v>
      </c>
      <c r="Y39" s="132">
        <f t="shared" si="9"/>
        <v>0.91439999999999988</v>
      </c>
    </row>
    <row r="40" spans="2:25" x14ac:dyDescent="0.3">
      <c r="B40" s="112" t="s">
        <v>311</v>
      </c>
      <c r="D40" s="120" t="s">
        <v>614</v>
      </c>
      <c r="E40" s="121">
        <f>E14</f>
        <v>1738</v>
      </c>
      <c r="F40" s="122">
        <f t="shared" si="0"/>
        <v>11.808</v>
      </c>
      <c r="G40" s="125">
        <v>0.95</v>
      </c>
      <c r="H40" s="125">
        <v>0.8</v>
      </c>
      <c r="I40" s="120">
        <f t="shared" si="1"/>
        <v>0.14999999999999991</v>
      </c>
      <c r="J40" s="124">
        <f>J32-I40</f>
        <v>1.69276</v>
      </c>
      <c r="K40" s="123">
        <v>1.5</v>
      </c>
      <c r="L40" s="125">
        <v>12</v>
      </c>
      <c r="M40" s="120">
        <f t="shared" si="2"/>
        <v>304.79999999999995</v>
      </c>
      <c r="N40" s="120"/>
      <c r="O40" s="125">
        <v>3200</v>
      </c>
      <c r="P40" s="127">
        <f t="shared" si="3"/>
        <v>53.333333333333336</v>
      </c>
      <c r="Q40" s="127">
        <f>2.7+0.9</f>
        <v>3.6</v>
      </c>
      <c r="R40" s="128">
        <f t="shared" si="4"/>
        <v>11.808</v>
      </c>
      <c r="S40" s="129">
        <f t="shared" si="5"/>
        <v>3.96</v>
      </c>
      <c r="T40" s="128">
        <f t="shared" si="6"/>
        <v>3.0303030303030303</v>
      </c>
      <c r="U40" s="128">
        <f t="shared" si="7"/>
        <v>9.9393939393939394</v>
      </c>
      <c r="W40" s="130">
        <v>1</v>
      </c>
      <c r="X40" s="131">
        <f t="shared" si="8"/>
        <v>0.11808</v>
      </c>
      <c r="Y40" s="132">
        <f t="shared" si="9"/>
        <v>1.8287999999999998</v>
      </c>
    </row>
    <row r="41" spans="2:25" x14ac:dyDescent="0.3">
      <c r="B41" s="112" t="s">
        <v>615</v>
      </c>
      <c r="D41" s="120" t="s">
        <v>616</v>
      </c>
      <c r="E41" s="121">
        <f>E14</f>
        <v>1738</v>
      </c>
      <c r="F41" s="122">
        <f t="shared" si="0"/>
        <v>17.383999999999997</v>
      </c>
      <c r="G41" s="125">
        <v>0.65</v>
      </c>
      <c r="H41" s="125">
        <v>0.45</v>
      </c>
      <c r="I41" s="120">
        <f t="shared" si="1"/>
        <v>0.2</v>
      </c>
      <c r="J41" s="124">
        <f>J40-I41</f>
        <v>1.4927600000000001</v>
      </c>
      <c r="K41" s="123">
        <v>1.5</v>
      </c>
      <c r="L41" s="125">
        <v>14</v>
      </c>
      <c r="M41" s="120">
        <f t="shared" si="2"/>
        <v>355.59999999999997</v>
      </c>
      <c r="N41" s="120"/>
      <c r="O41" s="125">
        <v>2400</v>
      </c>
      <c r="P41" s="127">
        <f t="shared" si="3"/>
        <v>40</v>
      </c>
      <c r="Q41" s="127">
        <v>5.3</v>
      </c>
      <c r="R41" s="128">
        <f t="shared" si="4"/>
        <v>17.383999999999997</v>
      </c>
      <c r="S41" s="129">
        <f t="shared" si="5"/>
        <v>3.96</v>
      </c>
      <c r="T41" s="128">
        <f t="shared" si="6"/>
        <v>3.5353535353535355</v>
      </c>
      <c r="U41" s="128">
        <f t="shared" si="7"/>
        <v>11.595959595959595</v>
      </c>
      <c r="W41" s="130">
        <v>0.5</v>
      </c>
      <c r="X41" s="131">
        <f t="shared" si="8"/>
        <v>8.6919999999999983E-2</v>
      </c>
      <c r="Y41" s="132">
        <f t="shared" si="9"/>
        <v>2.1335999999999999</v>
      </c>
    </row>
    <row r="42" spans="2:25" x14ac:dyDescent="0.3">
      <c r="B42" s="112" t="s">
        <v>79</v>
      </c>
      <c r="D42" s="120" t="s">
        <v>617</v>
      </c>
      <c r="E42" s="121">
        <f>E14</f>
        <v>1738</v>
      </c>
      <c r="F42" s="122">
        <f t="shared" si="0"/>
        <v>11.807999999999998</v>
      </c>
      <c r="G42" s="125">
        <v>0.65</v>
      </c>
      <c r="H42" s="125">
        <v>0.45</v>
      </c>
      <c r="I42" s="120">
        <f t="shared" si="1"/>
        <v>0.2</v>
      </c>
      <c r="J42" s="124">
        <f>J41-I42</f>
        <v>1.2927600000000001</v>
      </c>
      <c r="K42" s="123">
        <v>1.5</v>
      </c>
      <c r="L42" s="125">
        <v>14</v>
      </c>
      <c r="M42" s="120">
        <f t="shared" si="2"/>
        <v>355.59999999999997</v>
      </c>
      <c r="N42" s="120"/>
      <c r="O42" s="125">
        <v>2200</v>
      </c>
      <c r="P42" s="127">
        <f t="shared" si="3"/>
        <v>36.666666666666664</v>
      </c>
      <c r="Q42" s="127">
        <f>0.7+2.9</f>
        <v>3.5999999999999996</v>
      </c>
      <c r="R42" s="128">
        <f t="shared" si="4"/>
        <v>11.807999999999998</v>
      </c>
      <c r="S42" s="129">
        <f t="shared" si="5"/>
        <v>3.96</v>
      </c>
      <c r="T42" s="128">
        <f t="shared" si="6"/>
        <v>3.5353535353535355</v>
      </c>
      <c r="U42" s="128">
        <f t="shared" si="7"/>
        <v>11.595959595959595</v>
      </c>
      <c r="W42" s="130">
        <v>0.45</v>
      </c>
      <c r="X42" s="131">
        <f t="shared" si="8"/>
        <v>5.3135999999999989E-2</v>
      </c>
      <c r="Y42" s="132">
        <f t="shared" si="9"/>
        <v>2.1335999999999999</v>
      </c>
    </row>
    <row r="43" spans="2:25" x14ac:dyDescent="0.3">
      <c r="B43" s="112" t="s">
        <v>79</v>
      </c>
      <c r="D43" s="120" t="s">
        <v>618</v>
      </c>
      <c r="E43" s="121">
        <f>2555/8*2</f>
        <v>638.75</v>
      </c>
      <c r="F43" s="122">
        <f t="shared" si="0"/>
        <v>9.5119999999999987</v>
      </c>
      <c r="G43" s="125">
        <v>0.33</v>
      </c>
      <c r="H43" s="125">
        <v>0.31</v>
      </c>
      <c r="I43" s="120">
        <f t="shared" si="1"/>
        <v>2.0000000000000018E-2</v>
      </c>
      <c r="J43" s="124">
        <f>J42-I43</f>
        <v>1.2727600000000001</v>
      </c>
      <c r="K43" s="123">
        <v>1.5</v>
      </c>
      <c r="L43" s="125">
        <v>8</v>
      </c>
      <c r="M43" s="120">
        <f t="shared" si="2"/>
        <v>203.2</v>
      </c>
      <c r="N43" s="120"/>
      <c r="O43" s="125">
        <v>1850</v>
      </c>
      <c r="P43" s="127">
        <f t="shared" si="3"/>
        <v>30.833333333333332</v>
      </c>
      <c r="Q43" s="127">
        <v>2.9</v>
      </c>
      <c r="R43" s="128">
        <f t="shared" si="4"/>
        <v>9.5119999999999987</v>
      </c>
      <c r="S43" s="129">
        <f t="shared" si="5"/>
        <v>3.96</v>
      </c>
      <c r="T43" s="128">
        <f t="shared" si="6"/>
        <v>2.0202020202020203</v>
      </c>
      <c r="U43" s="128">
        <f t="shared" si="7"/>
        <v>6.6262626262626263</v>
      </c>
      <c r="W43" s="130">
        <v>0.7</v>
      </c>
      <c r="X43" s="131">
        <f t="shared" si="8"/>
        <v>6.658399999999999E-2</v>
      </c>
      <c r="Y43" s="132">
        <f t="shared" si="9"/>
        <v>1.2191999999999998</v>
      </c>
    </row>
    <row r="44" spans="2:25" x14ac:dyDescent="0.3">
      <c r="B44" s="112" t="s">
        <v>79</v>
      </c>
      <c r="D44" s="120" t="s">
        <v>619</v>
      </c>
      <c r="E44" s="121">
        <f>2555/8*1</f>
        <v>319.375</v>
      </c>
      <c r="F44" s="122">
        <f t="shared" si="0"/>
        <v>2.6240000000000001</v>
      </c>
      <c r="G44" s="125">
        <v>0.23</v>
      </c>
      <c r="H44" s="125">
        <v>0.14000000000000001</v>
      </c>
      <c r="I44" s="120">
        <f t="shared" si="1"/>
        <v>0.09</v>
      </c>
      <c r="J44" s="124">
        <f>J43-I44</f>
        <v>1.18276</v>
      </c>
      <c r="K44" s="123">
        <v>1.5</v>
      </c>
      <c r="L44" s="125">
        <v>7</v>
      </c>
      <c r="M44" s="120">
        <f t="shared" si="2"/>
        <v>177.79999999999998</v>
      </c>
      <c r="N44" s="120"/>
      <c r="O44" s="125">
        <v>1200</v>
      </c>
      <c r="P44" s="127">
        <f t="shared" si="3"/>
        <v>20</v>
      </c>
      <c r="Q44" s="127">
        <v>0.8</v>
      </c>
      <c r="R44" s="128">
        <f t="shared" si="4"/>
        <v>2.6240000000000001</v>
      </c>
      <c r="S44" s="129">
        <f t="shared" si="5"/>
        <v>3.96</v>
      </c>
      <c r="T44" s="128">
        <f t="shared" si="6"/>
        <v>1.7676767676767677</v>
      </c>
      <c r="U44" s="128">
        <f t="shared" si="7"/>
        <v>5.7979797979797976</v>
      </c>
      <c r="W44" s="130">
        <v>0.35</v>
      </c>
      <c r="X44" s="131">
        <f t="shared" si="8"/>
        <v>9.1839999999999995E-3</v>
      </c>
      <c r="Y44" s="132">
        <f t="shared" si="9"/>
        <v>1.0668</v>
      </c>
    </row>
    <row r="45" spans="2:25" x14ac:dyDescent="0.3">
      <c r="B45" s="112" t="s">
        <v>79</v>
      </c>
      <c r="D45" s="120" t="s">
        <v>620</v>
      </c>
      <c r="E45" s="121">
        <f>2555/8*1</f>
        <v>319.375</v>
      </c>
      <c r="F45" s="122">
        <f t="shared" si="0"/>
        <v>2.6240000000000001</v>
      </c>
      <c r="G45" s="125">
        <v>0.23</v>
      </c>
      <c r="H45" s="125">
        <v>0.14000000000000001</v>
      </c>
      <c r="I45" s="120">
        <f t="shared" si="1"/>
        <v>0.09</v>
      </c>
      <c r="J45" s="124">
        <f>J43-I45</f>
        <v>1.18276</v>
      </c>
      <c r="K45" s="123">
        <v>1.5</v>
      </c>
      <c r="L45" s="125">
        <v>7</v>
      </c>
      <c r="M45" s="120">
        <f t="shared" si="2"/>
        <v>177.79999999999998</v>
      </c>
      <c r="N45" s="120"/>
      <c r="O45" s="125">
        <v>1200</v>
      </c>
      <c r="P45" s="127">
        <f t="shared" si="3"/>
        <v>20</v>
      </c>
      <c r="Q45" s="127">
        <v>0.8</v>
      </c>
      <c r="R45" s="128">
        <f t="shared" si="4"/>
        <v>2.6240000000000001</v>
      </c>
      <c r="S45" s="129">
        <f t="shared" si="5"/>
        <v>3.96</v>
      </c>
      <c r="T45" s="128">
        <f t="shared" si="6"/>
        <v>1.7676767676767677</v>
      </c>
      <c r="U45" s="128">
        <f t="shared" si="7"/>
        <v>5.7979797979797976</v>
      </c>
      <c r="W45" s="130">
        <v>0.35</v>
      </c>
      <c r="X45" s="131">
        <f t="shared" si="8"/>
        <v>9.1839999999999995E-3</v>
      </c>
      <c r="Y45" s="132">
        <f t="shared" si="9"/>
        <v>1.0668</v>
      </c>
    </row>
    <row r="46" spans="2:25" x14ac:dyDescent="0.3">
      <c r="B46" s="112" t="s">
        <v>79</v>
      </c>
      <c r="D46" s="120" t="s">
        <v>621</v>
      </c>
      <c r="E46" s="121">
        <f>2555/8*2</f>
        <v>638.75</v>
      </c>
      <c r="F46" s="122">
        <f t="shared" si="0"/>
        <v>17.712</v>
      </c>
      <c r="G46" s="125">
        <v>0.33</v>
      </c>
      <c r="H46" s="125">
        <v>0.33</v>
      </c>
      <c r="I46" s="120">
        <f t="shared" si="1"/>
        <v>0</v>
      </c>
      <c r="J46" s="124">
        <f>J42-I46</f>
        <v>1.2927600000000001</v>
      </c>
      <c r="K46" s="123">
        <v>1.5</v>
      </c>
      <c r="L46" s="125">
        <v>8</v>
      </c>
      <c r="M46" s="120">
        <f t="shared" si="2"/>
        <v>203.2</v>
      </c>
      <c r="N46" s="120"/>
      <c r="O46" s="125">
        <v>1850</v>
      </c>
      <c r="P46" s="127">
        <f t="shared" si="3"/>
        <v>30.833333333333332</v>
      </c>
      <c r="Q46" s="127">
        <f>4.5+0.9</f>
        <v>5.4</v>
      </c>
      <c r="R46" s="128">
        <f t="shared" si="4"/>
        <v>17.712</v>
      </c>
      <c r="S46" s="129">
        <f t="shared" si="5"/>
        <v>3.96</v>
      </c>
      <c r="T46" s="128">
        <f t="shared" si="6"/>
        <v>2.0202020202020203</v>
      </c>
      <c r="U46" s="128">
        <f t="shared" si="7"/>
        <v>6.6262626262626263</v>
      </c>
      <c r="W46" s="130">
        <v>0.7</v>
      </c>
      <c r="X46" s="131">
        <f t="shared" si="8"/>
        <v>0.12398399999999998</v>
      </c>
      <c r="Y46" s="132">
        <f t="shared" si="9"/>
        <v>1.2191999999999998</v>
      </c>
    </row>
    <row r="47" spans="2:25" x14ac:dyDescent="0.3">
      <c r="B47" s="112" t="s">
        <v>79</v>
      </c>
      <c r="D47" s="120" t="s">
        <v>622</v>
      </c>
      <c r="E47" s="121">
        <f>2555/8*1</f>
        <v>319.375</v>
      </c>
      <c r="F47" s="122">
        <f t="shared" si="0"/>
        <v>2.6240000000000001</v>
      </c>
      <c r="G47" s="125">
        <v>0.23</v>
      </c>
      <c r="H47" s="125">
        <v>0.14000000000000001</v>
      </c>
      <c r="I47" s="120">
        <f t="shared" si="1"/>
        <v>0.09</v>
      </c>
      <c r="J47" s="124">
        <f>J46-I47</f>
        <v>1.2027600000000001</v>
      </c>
      <c r="K47" s="123">
        <v>1.5</v>
      </c>
      <c r="L47" s="125">
        <v>7</v>
      </c>
      <c r="M47" s="120">
        <f t="shared" si="2"/>
        <v>177.79999999999998</v>
      </c>
      <c r="N47" s="120"/>
      <c r="O47" s="125">
        <v>1200</v>
      </c>
      <c r="P47" s="127">
        <f t="shared" si="3"/>
        <v>20</v>
      </c>
      <c r="Q47" s="127">
        <v>0.8</v>
      </c>
      <c r="R47" s="128">
        <f t="shared" si="4"/>
        <v>2.6240000000000001</v>
      </c>
      <c r="S47" s="129">
        <f t="shared" si="5"/>
        <v>3.96</v>
      </c>
      <c r="T47" s="128">
        <f t="shared" si="6"/>
        <v>1.7676767676767677</v>
      </c>
      <c r="U47" s="128">
        <f t="shared" si="7"/>
        <v>5.7979797979797976</v>
      </c>
      <c r="W47" s="130">
        <v>0.35</v>
      </c>
      <c r="X47" s="131">
        <f t="shared" si="8"/>
        <v>9.1839999999999995E-3</v>
      </c>
      <c r="Y47" s="132">
        <f t="shared" si="9"/>
        <v>1.0668</v>
      </c>
    </row>
    <row r="48" spans="2:25" x14ac:dyDescent="0.3">
      <c r="B48" s="112" t="s">
        <v>79</v>
      </c>
      <c r="D48" s="120" t="s">
        <v>623</v>
      </c>
      <c r="E48" s="121">
        <f>2555/8*1</f>
        <v>319.375</v>
      </c>
      <c r="F48" s="122">
        <f t="shared" si="0"/>
        <v>2.6240000000000001</v>
      </c>
      <c r="G48" s="125">
        <v>0.23</v>
      </c>
      <c r="H48" s="125">
        <v>0.14000000000000001</v>
      </c>
      <c r="I48" s="120">
        <f t="shared" si="1"/>
        <v>0.09</v>
      </c>
      <c r="J48" s="124">
        <f>J46-I48</f>
        <v>1.2027600000000001</v>
      </c>
      <c r="K48" s="123">
        <v>1.5</v>
      </c>
      <c r="L48" s="125">
        <v>7</v>
      </c>
      <c r="M48" s="120">
        <f t="shared" si="2"/>
        <v>177.79999999999998</v>
      </c>
      <c r="N48" s="120"/>
      <c r="O48" s="125">
        <v>1200</v>
      </c>
      <c r="P48" s="127">
        <f t="shared" si="3"/>
        <v>20</v>
      </c>
      <c r="Q48" s="127">
        <v>0.8</v>
      </c>
      <c r="R48" s="128">
        <f t="shared" si="4"/>
        <v>2.6240000000000001</v>
      </c>
      <c r="S48" s="129">
        <f t="shared" si="5"/>
        <v>3.96</v>
      </c>
      <c r="T48" s="128">
        <f t="shared" si="6"/>
        <v>1.7676767676767677</v>
      </c>
      <c r="U48" s="128">
        <f t="shared" si="7"/>
        <v>5.7979797979797976</v>
      </c>
      <c r="W48" s="130">
        <v>0.35</v>
      </c>
      <c r="X48" s="131">
        <f t="shared" si="8"/>
        <v>9.1839999999999995E-3</v>
      </c>
      <c r="Y48" s="132">
        <f t="shared" si="9"/>
        <v>1.0668</v>
      </c>
    </row>
    <row r="49" spans="2:25" x14ac:dyDescent="0.3">
      <c r="B49" s="112" t="s">
        <v>79</v>
      </c>
      <c r="D49" s="120" t="s">
        <v>624</v>
      </c>
      <c r="E49" s="121">
        <f>2555/8*4</f>
        <v>1277.5</v>
      </c>
      <c r="F49" s="122">
        <f t="shared" si="0"/>
        <v>8.363999999999999</v>
      </c>
      <c r="G49" s="125">
        <v>0.33</v>
      </c>
      <c r="H49" s="125">
        <v>0.31</v>
      </c>
      <c r="I49" s="120">
        <f t="shared" si="1"/>
        <v>2.0000000000000018E-2</v>
      </c>
      <c r="J49" s="124">
        <f>J42-I49</f>
        <v>1.2727600000000001</v>
      </c>
      <c r="K49" s="123">
        <v>1.5</v>
      </c>
      <c r="L49" s="125">
        <v>11</v>
      </c>
      <c r="M49" s="120">
        <f t="shared" si="2"/>
        <v>279.39999999999998</v>
      </c>
      <c r="N49" s="120"/>
      <c r="O49" s="125">
        <v>2000</v>
      </c>
      <c r="P49" s="127">
        <f t="shared" si="3"/>
        <v>33.333333333333336</v>
      </c>
      <c r="Q49" s="127">
        <v>2.5499999999999998</v>
      </c>
      <c r="R49" s="128">
        <f t="shared" si="4"/>
        <v>8.363999999999999</v>
      </c>
      <c r="S49" s="129">
        <f t="shared" si="5"/>
        <v>3.96</v>
      </c>
      <c r="T49" s="128">
        <f t="shared" si="6"/>
        <v>2.7777777777777777</v>
      </c>
      <c r="U49" s="128">
        <f t="shared" si="7"/>
        <v>9.1111111111111107</v>
      </c>
      <c r="W49" s="130">
        <v>0.5</v>
      </c>
      <c r="X49" s="131">
        <f t="shared" si="8"/>
        <v>4.1819999999999996E-2</v>
      </c>
      <c r="Y49" s="132">
        <f t="shared" si="9"/>
        <v>1.6763999999999999</v>
      </c>
    </row>
    <row r="50" spans="2:25" x14ac:dyDescent="0.3">
      <c r="B50" s="112" t="s">
        <v>79</v>
      </c>
      <c r="D50" s="120" t="s">
        <v>625</v>
      </c>
      <c r="E50" s="121">
        <f>2555/8*2</f>
        <v>638.75</v>
      </c>
      <c r="F50" s="122">
        <f t="shared" si="0"/>
        <v>2.952</v>
      </c>
      <c r="G50" s="125">
        <v>0.26</v>
      </c>
      <c r="H50" s="125">
        <v>0.17499999999999999</v>
      </c>
      <c r="I50" s="120">
        <f t="shared" si="1"/>
        <v>8.500000000000002E-2</v>
      </c>
      <c r="J50" s="124">
        <f>J49-I50</f>
        <v>1.1877600000000001</v>
      </c>
      <c r="K50" s="123">
        <v>1.5</v>
      </c>
      <c r="L50" s="125">
        <v>9</v>
      </c>
      <c r="M50" s="120">
        <f t="shared" si="2"/>
        <v>228.6</v>
      </c>
      <c r="N50" s="120"/>
      <c r="O50" s="125">
        <v>1450</v>
      </c>
      <c r="P50" s="127">
        <f t="shared" si="3"/>
        <v>24.166666666666668</v>
      </c>
      <c r="Q50" s="127">
        <v>0.9</v>
      </c>
      <c r="R50" s="128">
        <f t="shared" si="4"/>
        <v>2.952</v>
      </c>
      <c r="S50" s="129">
        <f t="shared" si="5"/>
        <v>3.96</v>
      </c>
      <c r="T50" s="128">
        <f t="shared" si="6"/>
        <v>2.2727272727272729</v>
      </c>
      <c r="U50" s="128">
        <f t="shared" si="7"/>
        <v>7.454545454545455</v>
      </c>
      <c r="W50" s="130">
        <v>0.38</v>
      </c>
      <c r="X50" s="131">
        <f t="shared" si="8"/>
        <v>1.1217600000000001E-2</v>
      </c>
      <c r="Y50" s="132">
        <f t="shared" si="9"/>
        <v>1.3715999999999999</v>
      </c>
    </row>
    <row r="51" spans="2:25" x14ac:dyDescent="0.3">
      <c r="B51" s="112" t="s">
        <v>79</v>
      </c>
      <c r="D51" s="120" t="s">
        <v>626</v>
      </c>
      <c r="E51" s="121">
        <f>2555/8*1</f>
        <v>319.375</v>
      </c>
      <c r="F51" s="122">
        <f t="shared" si="0"/>
        <v>2.6240000000000001</v>
      </c>
      <c r="G51" s="125">
        <v>0.14000000000000001</v>
      </c>
      <c r="H51" s="125">
        <v>0.14000000000000001</v>
      </c>
      <c r="I51" s="120">
        <f t="shared" si="1"/>
        <v>0</v>
      </c>
      <c r="J51" s="124">
        <f>J50-I51</f>
        <v>1.1877600000000001</v>
      </c>
      <c r="K51" s="123">
        <v>1.5</v>
      </c>
      <c r="L51" s="125">
        <v>7</v>
      </c>
      <c r="M51" s="120">
        <f t="shared" si="2"/>
        <v>177.79999999999998</v>
      </c>
      <c r="N51" s="120"/>
      <c r="O51" s="125">
        <v>1200</v>
      </c>
      <c r="P51" s="127">
        <f t="shared" si="3"/>
        <v>20</v>
      </c>
      <c r="Q51" s="127">
        <v>0.8</v>
      </c>
      <c r="R51" s="128">
        <f t="shared" si="4"/>
        <v>2.6240000000000001</v>
      </c>
      <c r="S51" s="129">
        <f t="shared" si="5"/>
        <v>3.96</v>
      </c>
      <c r="T51" s="128">
        <f t="shared" si="6"/>
        <v>1.7676767676767677</v>
      </c>
      <c r="U51" s="128">
        <f t="shared" si="7"/>
        <v>5.7979797979797976</v>
      </c>
      <c r="W51" s="130">
        <v>0.35</v>
      </c>
      <c r="X51" s="131">
        <f t="shared" si="8"/>
        <v>9.1839999999999995E-3</v>
      </c>
      <c r="Y51" s="132">
        <f t="shared" si="9"/>
        <v>1.0668</v>
      </c>
    </row>
    <row r="52" spans="2:25" x14ac:dyDescent="0.3">
      <c r="B52" s="112" t="s">
        <v>79</v>
      </c>
      <c r="D52" s="120" t="s">
        <v>627</v>
      </c>
      <c r="E52" s="121">
        <f>2555/8*1</f>
        <v>319.375</v>
      </c>
      <c r="F52" s="122">
        <f t="shared" si="0"/>
        <v>2.6240000000000001</v>
      </c>
      <c r="G52" s="125">
        <v>0.14000000000000001</v>
      </c>
      <c r="H52" s="125">
        <v>0.14000000000000001</v>
      </c>
      <c r="I52" s="120">
        <f t="shared" si="1"/>
        <v>0</v>
      </c>
      <c r="J52" s="124">
        <f>J50-I52</f>
        <v>1.1877600000000001</v>
      </c>
      <c r="K52" s="123">
        <v>1.5</v>
      </c>
      <c r="L52" s="125">
        <v>7</v>
      </c>
      <c r="M52" s="120">
        <f t="shared" si="2"/>
        <v>177.79999999999998</v>
      </c>
      <c r="N52" s="120"/>
      <c r="O52" s="125">
        <v>1200</v>
      </c>
      <c r="P52" s="127">
        <f t="shared" si="3"/>
        <v>20</v>
      </c>
      <c r="Q52" s="127">
        <v>0.8</v>
      </c>
      <c r="R52" s="128">
        <f t="shared" si="4"/>
        <v>2.6240000000000001</v>
      </c>
      <c r="S52" s="129">
        <f t="shared" si="5"/>
        <v>3.96</v>
      </c>
      <c r="T52" s="128">
        <f t="shared" si="6"/>
        <v>1.7676767676767677</v>
      </c>
      <c r="U52" s="128">
        <f t="shared" si="7"/>
        <v>5.7979797979797976</v>
      </c>
      <c r="W52" s="130">
        <v>0.35</v>
      </c>
      <c r="X52" s="131">
        <f t="shared" si="8"/>
        <v>9.1839999999999995E-3</v>
      </c>
      <c r="Y52" s="132">
        <f t="shared" si="9"/>
        <v>1.0668</v>
      </c>
    </row>
    <row r="53" spans="2:25" x14ac:dyDescent="0.3">
      <c r="B53" s="112" t="s">
        <v>79</v>
      </c>
      <c r="D53" s="120" t="s">
        <v>628</v>
      </c>
      <c r="E53" s="121">
        <f>2555/8*2</f>
        <v>638.75</v>
      </c>
      <c r="F53" s="122">
        <f t="shared" si="0"/>
        <v>17.712</v>
      </c>
      <c r="G53" s="125">
        <v>0.24199999999999999</v>
      </c>
      <c r="H53" s="125">
        <v>0.17499999999999999</v>
      </c>
      <c r="I53" s="120">
        <f t="shared" si="1"/>
        <v>6.7000000000000004E-2</v>
      </c>
      <c r="J53" s="124">
        <f>J49-I53</f>
        <v>1.2057600000000002</v>
      </c>
      <c r="K53" s="123">
        <v>1.5</v>
      </c>
      <c r="L53" s="125">
        <v>9</v>
      </c>
      <c r="M53" s="120">
        <f t="shared" si="2"/>
        <v>228.6</v>
      </c>
      <c r="N53" s="120"/>
      <c r="O53" s="125">
        <v>1450</v>
      </c>
      <c r="P53" s="127">
        <f t="shared" si="3"/>
        <v>24.166666666666668</v>
      </c>
      <c r="Q53" s="127">
        <f>4.5+0.9</f>
        <v>5.4</v>
      </c>
      <c r="R53" s="128">
        <f t="shared" si="4"/>
        <v>17.712</v>
      </c>
      <c r="S53" s="129">
        <f t="shared" si="5"/>
        <v>3.96</v>
      </c>
      <c r="T53" s="128">
        <f t="shared" si="6"/>
        <v>2.2727272727272729</v>
      </c>
      <c r="U53" s="128">
        <f t="shared" si="7"/>
        <v>7.454545454545455</v>
      </c>
      <c r="W53" s="130">
        <v>0.38</v>
      </c>
      <c r="X53" s="131">
        <f t="shared" si="8"/>
        <v>6.7305599999999993E-2</v>
      </c>
      <c r="Y53" s="132">
        <f t="shared" si="9"/>
        <v>1.3715999999999999</v>
      </c>
    </row>
    <row r="54" spans="2:25" x14ac:dyDescent="0.3">
      <c r="B54" s="112" t="s">
        <v>79</v>
      </c>
      <c r="D54" s="120" t="s">
        <v>629</v>
      </c>
      <c r="E54" s="121">
        <f>2555/8*1</f>
        <v>319.375</v>
      </c>
      <c r="F54" s="122">
        <f t="shared" si="0"/>
        <v>2.6240000000000001</v>
      </c>
      <c r="G54" s="125">
        <v>0.14000000000000001</v>
      </c>
      <c r="H54" s="125">
        <v>0.14000000000000001</v>
      </c>
      <c r="I54" s="120">
        <f t="shared" si="1"/>
        <v>0</v>
      </c>
      <c r="J54" s="124">
        <f>J53-I54</f>
        <v>1.2057600000000002</v>
      </c>
      <c r="K54" s="123">
        <v>1.5</v>
      </c>
      <c r="L54" s="125">
        <v>7</v>
      </c>
      <c r="M54" s="120">
        <f t="shared" si="2"/>
        <v>177.79999999999998</v>
      </c>
      <c r="N54" s="120"/>
      <c r="O54" s="125">
        <v>1200</v>
      </c>
      <c r="P54" s="127">
        <f t="shared" si="3"/>
        <v>20</v>
      </c>
      <c r="Q54" s="127">
        <v>0.8</v>
      </c>
      <c r="R54" s="128">
        <f t="shared" si="4"/>
        <v>2.6240000000000001</v>
      </c>
      <c r="S54" s="129">
        <f t="shared" si="5"/>
        <v>3.96</v>
      </c>
      <c r="T54" s="128">
        <f t="shared" si="6"/>
        <v>1.7676767676767677</v>
      </c>
      <c r="U54" s="128">
        <f t="shared" si="7"/>
        <v>5.7979797979797976</v>
      </c>
      <c r="W54" s="130">
        <v>0.35</v>
      </c>
      <c r="X54" s="131">
        <f t="shared" si="8"/>
        <v>9.1839999999999995E-3</v>
      </c>
      <c r="Y54" s="132">
        <f t="shared" si="9"/>
        <v>1.0668</v>
      </c>
    </row>
    <row r="55" spans="2:25" x14ac:dyDescent="0.3">
      <c r="B55" s="112" t="s">
        <v>79</v>
      </c>
      <c r="D55" s="120" t="s">
        <v>630</v>
      </c>
      <c r="E55" s="121">
        <f>2555/8*1</f>
        <v>319.375</v>
      </c>
      <c r="F55" s="122">
        <f t="shared" si="0"/>
        <v>2.6240000000000001</v>
      </c>
      <c r="G55" s="125">
        <v>0.14000000000000001</v>
      </c>
      <c r="H55" s="125">
        <v>0.14000000000000001</v>
      </c>
      <c r="I55" s="120">
        <f t="shared" si="1"/>
        <v>0</v>
      </c>
      <c r="J55" s="124">
        <f>J53-I55</f>
        <v>1.2057600000000002</v>
      </c>
      <c r="K55" s="123">
        <v>1.5</v>
      </c>
      <c r="L55" s="125">
        <v>7</v>
      </c>
      <c r="M55" s="120">
        <f t="shared" si="2"/>
        <v>177.79999999999998</v>
      </c>
      <c r="N55" s="120"/>
      <c r="O55" s="125">
        <v>1200</v>
      </c>
      <c r="P55" s="127">
        <f t="shared" si="3"/>
        <v>20</v>
      </c>
      <c r="Q55" s="127">
        <v>0.8</v>
      </c>
      <c r="R55" s="128">
        <f t="shared" si="4"/>
        <v>2.6240000000000001</v>
      </c>
      <c r="S55" s="129">
        <f t="shared" si="5"/>
        <v>3.96</v>
      </c>
      <c r="T55" s="128">
        <f t="shared" si="6"/>
        <v>1.7676767676767677</v>
      </c>
      <c r="U55" s="128">
        <f t="shared" si="7"/>
        <v>5.7979797979797976</v>
      </c>
      <c r="W55" s="130">
        <v>0.35</v>
      </c>
      <c r="X55" s="131">
        <f t="shared" si="8"/>
        <v>9.1839999999999995E-3</v>
      </c>
      <c r="Y55" s="132">
        <f t="shared" si="9"/>
        <v>1.0668</v>
      </c>
    </row>
    <row r="56" spans="2:25" x14ac:dyDescent="0.3">
      <c r="E56" s="114"/>
      <c r="F56" s="135"/>
      <c r="J56" s="136"/>
      <c r="R56" s="135"/>
      <c r="T56" s="135"/>
      <c r="U56" s="135"/>
    </row>
    <row r="57" spans="2:25" x14ac:dyDescent="0.3">
      <c r="E57" s="114"/>
      <c r="F57" s="135"/>
      <c r="J57" s="136"/>
      <c r="R57" s="135"/>
      <c r="T57" s="135"/>
      <c r="U57" s="135"/>
    </row>
    <row r="58" spans="2:25" x14ac:dyDescent="0.3">
      <c r="E58" s="114"/>
      <c r="F58" s="135"/>
      <c r="J58" s="136"/>
      <c r="R58" s="135"/>
      <c r="T58" s="135"/>
      <c r="U58" s="135"/>
    </row>
    <row r="59" spans="2:25" x14ac:dyDescent="0.3">
      <c r="E59" s="114"/>
      <c r="F59" s="135"/>
      <c r="J59" s="136"/>
      <c r="R59" s="135"/>
      <c r="T59" s="135"/>
      <c r="U59" s="135"/>
    </row>
    <row r="60" spans="2:25" x14ac:dyDescent="0.3">
      <c r="E60" s="114"/>
      <c r="F60" s="135"/>
      <c r="J60" s="136"/>
      <c r="R60" s="135"/>
      <c r="T60" s="135"/>
      <c r="U60" s="135"/>
    </row>
    <row r="61" spans="2:25" x14ac:dyDescent="0.3">
      <c r="E61" s="114"/>
      <c r="F61" s="135"/>
      <c r="J61" s="136"/>
      <c r="R61" s="135"/>
      <c r="T61" s="135"/>
      <c r="U61" s="135"/>
    </row>
    <row r="62" spans="2:25" x14ac:dyDescent="0.3">
      <c r="E62" s="114"/>
      <c r="F62" s="135"/>
      <c r="J62" s="136"/>
      <c r="R62" s="135"/>
      <c r="T62" s="135"/>
      <c r="U62" s="135"/>
    </row>
    <row r="63" spans="2:25" x14ac:dyDescent="0.3">
      <c r="D63" s="113" t="s">
        <v>631</v>
      </c>
      <c r="E63" s="114"/>
      <c r="F63" s="135"/>
      <c r="J63" s="136"/>
      <c r="R63" s="135"/>
      <c r="T63" s="135"/>
      <c r="U63" s="135"/>
    </row>
    <row r="64" spans="2:25" x14ac:dyDescent="0.3">
      <c r="D64" s="113"/>
      <c r="E64" s="112" t="s">
        <v>126</v>
      </c>
      <c r="G64" s="114"/>
      <c r="J64" s="136"/>
      <c r="R64" s="135"/>
      <c r="T64" s="135"/>
      <c r="U64" s="135"/>
    </row>
    <row r="65" spans="2:25" ht="15.6" x14ac:dyDescent="0.3">
      <c r="D65" s="37" t="s">
        <v>50</v>
      </c>
      <c r="E65" s="114">
        <f>DUCTING!M22</f>
        <v>136</v>
      </c>
      <c r="F65" s="114"/>
      <c r="G65" s="114"/>
      <c r="J65" s="136"/>
      <c r="R65" s="135"/>
      <c r="T65" s="135"/>
      <c r="U65" s="135"/>
    </row>
    <row r="66" spans="2:25" ht="15.6" x14ac:dyDescent="0.3">
      <c r="D66" s="37" t="s">
        <v>51</v>
      </c>
      <c r="E66" s="114">
        <f>DUCTING!M23</f>
        <v>91</v>
      </c>
      <c r="F66" s="114"/>
      <c r="G66" s="114"/>
      <c r="J66" s="136"/>
      <c r="R66" s="135"/>
      <c r="T66" s="135"/>
      <c r="U66" s="135"/>
    </row>
    <row r="67" spans="2:25" ht="15.6" x14ac:dyDescent="0.3">
      <c r="D67" s="37" t="s">
        <v>52</v>
      </c>
      <c r="E67" s="114">
        <f>DUCTING!M24</f>
        <v>76</v>
      </c>
      <c r="F67" s="114"/>
      <c r="G67" s="114"/>
      <c r="J67" s="136"/>
      <c r="R67" s="135"/>
      <c r="T67" s="135"/>
      <c r="U67" s="135"/>
    </row>
    <row r="68" spans="2:25" ht="15.6" x14ac:dyDescent="0.3">
      <c r="D68" s="37" t="s">
        <v>53</v>
      </c>
      <c r="E68" s="114">
        <f>DUCTING!M25</f>
        <v>130</v>
      </c>
      <c r="F68" s="114"/>
      <c r="G68" s="114"/>
      <c r="J68" s="136"/>
      <c r="R68" s="135"/>
      <c r="T68" s="135"/>
      <c r="U68" s="135"/>
    </row>
    <row r="69" spans="2:25" ht="15.6" x14ac:dyDescent="0.3">
      <c r="D69" s="37" t="s">
        <v>54</v>
      </c>
      <c r="E69" s="114">
        <f>DUCTING!M26</f>
        <v>167</v>
      </c>
      <c r="F69" s="114"/>
      <c r="G69" s="114"/>
      <c r="J69" s="136"/>
      <c r="R69" s="135"/>
      <c r="T69" s="135"/>
      <c r="U69" s="135"/>
    </row>
    <row r="70" spans="2:25" ht="15.6" x14ac:dyDescent="0.3">
      <c r="D70" s="37" t="s">
        <v>491</v>
      </c>
      <c r="E70" s="114">
        <f>DUCTING!M27</f>
        <v>242</v>
      </c>
      <c r="F70" s="114"/>
      <c r="G70" s="114"/>
      <c r="J70" s="136"/>
      <c r="R70" s="135"/>
      <c r="T70" s="135"/>
      <c r="U70" s="135"/>
    </row>
    <row r="71" spans="2:25" ht="15.6" x14ac:dyDescent="0.3">
      <c r="D71" s="37" t="s">
        <v>342</v>
      </c>
      <c r="E71" s="114">
        <f>DUCTING!M28</f>
        <v>175</v>
      </c>
      <c r="F71" s="114"/>
      <c r="G71" s="114"/>
      <c r="J71" s="136"/>
      <c r="R71" s="135"/>
      <c r="T71" s="135"/>
      <c r="U71" s="135"/>
    </row>
    <row r="72" spans="2:25" ht="15.6" x14ac:dyDescent="0.3">
      <c r="D72" s="37" t="s">
        <v>336</v>
      </c>
      <c r="E72" s="114">
        <f>DUCTING!M29</f>
        <v>91</v>
      </c>
      <c r="F72" s="114"/>
      <c r="G72" s="114"/>
      <c r="J72" s="136"/>
      <c r="R72" s="135"/>
      <c r="T72" s="135"/>
      <c r="U72" s="135"/>
    </row>
    <row r="73" spans="2:25" ht="15.6" x14ac:dyDescent="0.3">
      <c r="D73" s="37" t="s">
        <v>338</v>
      </c>
      <c r="E73" s="114">
        <f>DUCTING!M30</f>
        <v>108</v>
      </c>
      <c r="F73" s="114"/>
      <c r="G73" s="114"/>
      <c r="J73" s="136"/>
      <c r="R73" s="135"/>
      <c r="T73" s="135"/>
      <c r="U73" s="135"/>
    </row>
    <row r="74" spans="2:25" ht="15.6" x14ac:dyDescent="0.3">
      <c r="D74" s="37" t="s">
        <v>424</v>
      </c>
      <c r="E74" s="114">
        <f>DUCTING!M31</f>
        <v>139</v>
      </c>
      <c r="F74" s="114"/>
      <c r="G74" s="114"/>
      <c r="J74" s="136"/>
      <c r="R74" s="135"/>
      <c r="T74" s="135"/>
      <c r="U74" s="135"/>
    </row>
    <row r="75" spans="2:25" x14ac:dyDescent="0.3">
      <c r="D75" s="115"/>
      <c r="E75" s="114">
        <f>SUM(E65:E74)</f>
        <v>1355</v>
      </c>
      <c r="F75" s="114"/>
      <c r="G75" s="114"/>
      <c r="J75" s="136"/>
      <c r="R75" s="135"/>
      <c r="T75" s="135"/>
      <c r="U75" s="135"/>
    </row>
    <row r="76" spans="2:25" x14ac:dyDescent="0.3">
      <c r="D76" s="115"/>
      <c r="E76" s="114"/>
      <c r="F76" s="114"/>
      <c r="G76" s="114"/>
      <c r="J76" s="136"/>
      <c r="R76" s="135"/>
      <c r="T76" s="135"/>
      <c r="U76" s="135"/>
    </row>
    <row r="77" spans="2:25" x14ac:dyDescent="0.3">
      <c r="D77" s="112">
        <v>1</v>
      </c>
      <c r="E77" s="112">
        <v>2</v>
      </c>
      <c r="F77" s="112">
        <v>3</v>
      </c>
      <c r="G77" s="112">
        <v>4</v>
      </c>
      <c r="H77" s="112">
        <v>5</v>
      </c>
      <c r="I77" s="112">
        <v>6</v>
      </c>
      <c r="J77" s="112">
        <v>7</v>
      </c>
      <c r="K77" s="112">
        <v>8</v>
      </c>
      <c r="L77" s="112">
        <v>9</v>
      </c>
      <c r="O77" s="112">
        <v>10</v>
      </c>
    </row>
    <row r="78" spans="2:25" ht="69.75" customHeight="1" x14ac:dyDescent="0.3">
      <c r="B78" s="169" t="s">
        <v>74</v>
      </c>
      <c r="C78" s="170" t="s">
        <v>575</v>
      </c>
      <c r="D78" s="171" t="s">
        <v>576</v>
      </c>
      <c r="E78" s="171" t="s">
        <v>577</v>
      </c>
      <c r="F78" s="171" t="s">
        <v>578</v>
      </c>
      <c r="G78" s="171" t="s">
        <v>579</v>
      </c>
      <c r="H78" s="171"/>
      <c r="I78" s="171" t="s">
        <v>580</v>
      </c>
      <c r="J78" s="171" t="s">
        <v>581</v>
      </c>
      <c r="K78" s="171" t="s">
        <v>582</v>
      </c>
      <c r="L78" s="171" t="s">
        <v>632</v>
      </c>
      <c r="M78" s="171" t="s">
        <v>584</v>
      </c>
      <c r="N78" s="117"/>
      <c r="O78" s="171" t="s">
        <v>585</v>
      </c>
      <c r="P78" s="171" t="s">
        <v>586</v>
      </c>
      <c r="Q78" s="172" t="s">
        <v>587</v>
      </c>
      <c r="R78" s="172" t="s">
        <v>588</v>
      </c>
      <c r="S78" s="173" t="s">
        <v>589</v>
      </c>
      <c r="T78" s="174" t="s">
        <v>590</v>
      </c>
      <c r="U78" s="174" t="s">
        <v>591</v>
      </c>
      <c r="V78" s="175" t="s">
        <v>592</v>
      </c>
      <c r="W78" s="175" t="s">
        <v>593</v>
      </c>
      <c r="X78" s="175" t="s">
        <v>594</v>
      </c>
      <c r="Y78" s="175" t="s">
        <v>595</v>
      </c>
    </row>
    <row r="79" spans="2:25" ht="85.5" customHeight="1" x14ac:dyDescent="0.3">
      <c r="B79" s="169"/>
      <c r="C79" s="170"/>
      <c r="D79" s="171"/>
      <c r="E79" s="171"/>
      <c r="F79" s="171"/>
      <c r="G79" s="119" t="s">
        <v>596</v>
      </c>
      <c r="H79" s="119" t="s">
        <v>597</v>
      </c>
      <c r="I79" s="171"/>
      <c r="J79" s="171"/>
      <c r="K79" s="171"/>
      <c r="L79" s="171"/>
      <c r="M79" s="171"/>
      <c r="N79" s="117"/>
      <c r="O79" s="171"/>
      <c r="P79" s="171"/>
      <c r="Q79" s="172"/>
      <c r="R79" s="172"/>
      <c r="S79" s="173"/>
      <c r="T79" s="174"/>
      <c r="U79" s="174"/>
      <c r="V79" s="175"/>
      <c r="W79" s="175"/>
      <c r="X79" s="175"/>
      <c r="Y79" s="175"/>
    </row>
    <row r="80" spans="2:25" x14ac:dyDescent="0.3">
      <c r="B80" s="112" t="s">
        <v>311</v>
      </c>
      <c r="D80" s="120" t="s">
        <v>633</v>
      </c>
      <c r="E80" s="121">
        <f>E75</f>
        <v>1355</v>
      </c>
      <c r="F80" s="122">
        <f>R80</f>
        <v>10.496</v>
      </c>
      <c r="G80" s="123"/>
      <c r="H80" s="123"/>
      <c r="I80" s="120">
        <v>1.5</v>
      </c>
      <c r="J80" s="124">
        <f>I80+I81</f>
        <v>1.7938879999999999</v>
      </c>
      <c r="K80" s="123">
        <v>1.5</v>
      </c>
      <c r="L80" s="125">
        <v>9</v>
      </c>
      <c r="M80" s="120">
        <f>L80*25.4</f>
        <v>228.6</v>
      </c>
      <c r="N80" s="120"/>
      <c r="O80" s="125">
        <v>5000</v>
      </c>
      <c r="P80" s="126">
        <f t="shared" ref="P80:P103" si="10">O80/60</f>
        <v>83.333333333333329</v>
      </c>
      <c r="Q80" s="127">
        <f>0.9+1.2+1.1</f>
        <v>3.2</v>
      </c>
      <c r="R80" s="128">
        <f>Q80*3.28</f>
        <v>10.496</v>
      </c>
      <c r="S80" s="129">
        <f>0.33*12</f>
        <v>3.96</v>
      </c>
      <c r="T80" s="128">
        <f>(1*L80)/S80</f>
        <v>2.2727272727272729</v>
      </c>
      <c r="U80" s="128">
        <f>T80*3.28</f>
        <v>7.454545454545455</v>
      </c>
      <c r="W80" s="130">
        <v>2.8</v>
      </c>
      <c r="X80" s="131">
        <f>(W80*F80)/100</f>
        <v>0.29388799999999998</v>
      </c>
      <c r="Y80" s="132">
        <f>6*M80/1000</f>
        <v>1.3715999999999999</v>
      </c>
    </row>
    <row r="81" spans="2:25" x14ac:dyDescent="0.3">
      <c r="D81" s="123"/>
      <c r="E81" s="123"/>
      <c r="F81" s="123"/>
      <c r="G81" s="123"/>
      <c r="H81" s="123"/>
      <c r="I81" s="123">
        <f>X80</f>
        <v>0.29388799999999998</v>
      </c>
      <c r="J81" s="123"/>
      <c r="K81" s="123"/>
      <c r="L81" s="123"/>
      <c r="M81" s="123"/>
      <c r="N81" s="123"/>
      <c r="O81" s="123"/>
      <c r="P81" s="126">
        <f t="shared" si="10"/>
        <v>0</v>
      </c>
    </row>
    <row r="82" spans="2:25" x14ac:dyDescent="0.3">
      <c r="B82" s="112" t="s">
        <v>311</v>
      </c>
      <c r="D82" s="120" t="s">
        <v>634</v>
      </c>
      <c r="E82" s="121">
        <v>1992</v>
      </c>
      <c r="F82" s="122">
        <f>R82</f>
        <v>40.671999999999997</v>
      </c>
      <c r="G82" s="123">
        <v>0.89</v>
      </c>
      <c r="H82" s="123">
        <v>0.75</v>
      </c>
      <c r="I82" s="120">
        <f>G82-H82</f>
        <v>0.14000000000000001</v>
      </c>
      <c r="J82" s="124">
        <f>J80-I82</f>
        <v>1.6538879999999998</v>
      </c>
      <c r="K82" s="123">
        <v>1.5</v>
      </c>
      <c r="L82" s="125">
        <v>11</v>
      </c>
      <c r="M82" s="120">
        <f>L82*25.4</f>
        <v>279.39999999999998</v>
      </c>
      <c r="N82" s="120"/>
      <c r="O82" s="125">
        <v>3050</v>
      </c>
      <c r="P82" s="126">
        <f t="shared" si="10"/>
        <v>50.833333333333336</v>
      </c>
      <c r="Q82" s="127">
        <f>0.2+4.2+5.6+1.8+0.6</f>
        <v>12.4</v>
      </c>
      <c r="R82" s="128">
        <f>Q82*3.28</f>
        <v>40.671999999999997</v>
      </c>
      <c r="S82" s="129">
        <f>0.33*12</f>
        <v>3.96</v>
      </c>
      <c r="T82" s="128">
        <f>(1*L82)/S82</f>
        <v>2.7777777777777777</v>
      </c>
      <c r="U82" s="128">
        <f>T82*3.28</f>
        <v>9.1111111111111107</v>
      </c>
      <c r="W82" s="130">
        <v>1.1000000000000001</v>
      </c>
      <c r="X82" s="131">
        <f>(W82*F82)/100</f>
        <v>0.44739200000000001</v>
      </c>
      <c r="Y82" s="132">
        <f>6*M82/1000</f>
        <v>1.6763999999999999</v>
      </c>
    </row>
    <row r="83" spans="2:25" x14ac:dyDescent="0.3"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6">
        <f t="shared" si="10"/>
        <v>0</v>
      </c>
    </row>
    <row r="84" spans="2:25" x14ac:dyDescent="0.3">
      <c r="B84" s="112" t="s">
        <v>635</v>
      </c>
      <c r="D84" s="120" t="s">
        <v>636</v>
      </c>
      <c r="E84" s="121">
        <v>1992</v>
      </c>
      <c r="F84" s="122">
        <f t="shared" ref="F84:F103" si="11">R84</f>
        <v>8.8559999999999999</v>
      </c>
      <c r="G84" s="125">
        <v>0.65</v>
      </c>
      <c r="H84" s="125">
        <v>0.55000000000000004</v>
      </c>
      <c r="I84" s="120">
        <f t="shared" ref="I84:I103" si="12">G84-H84</f>
        <v>9.9999999999999978E-2</v>
      </c>
      <c r="J84" s="124">
        <f>J82-I84</f>
        <v>1.5538879999999997</v>
      </c>
      <c r="K84" s="123">
        <v>1.5</v>
      </c>
      <c r="L84" s="125">
        <v>12</v>
      </c>
      <c r="M84" s="120">
        <f t="shared" ref="M84:M103" si="13">L84*25.4</f>
        <v>304.79999999999995</v>
      </c>
      <c r="N84" s="120"/>
      <c r="O84" s="125">
        <v>2600</v>
      </c>
      <c r="P84" s="126">
        <f t="shared" si="10"/>
        <v>43.333333333333336</v>
      </c>
      <c r="Q84" s="127">
        <f>2.7</f>
        <v>2.7</v>
      </c>
      <c r="R84" s="128">
        <f t="shared" ref="R84:R103" si="14">Q84*3.28</f>
        <v>8.8559999999999999</v>
      </c>
      <c r="S84" s="129">
        <f t="shared" ref="S84:S103" si="15">0.33*12</f>
        <v>3.96</v>
      </c>
      <c r="T84" s="128">
        <f t="shared" ref="T84:T103" si="16">(1*L84)/S84</f>
        <v>3.0303030303030303</v>
      </c>
      <c r="U84" s="128">
        <f t="shared" ref="U84:U103" si="17">T84*3.28</f>
        <v>9.9393939393939394</v>
      </c>
      <c r="W84" s="130">
        <v>0.7</v>
      </c>
      <c r="X84" s="131">
        <f t="shared" ref="X84:X103" si="18">(W84*F84)/100</f>
        <v>6.1991999999999992E-2</v>
      </c>
      <c r="Y84" s="132">
        <f t="shared" ref="Y84:Y103" si="19">6*M84/1000</f>
        <v>1.8287999999999998</v>
      </c>
    </row>
    <row r="85" spans="2:25" x14ac:dyDescent="0.3">
      <c r="B85" s="112" t="s">
        <v>369</v>
      </c>
      <c r="D85" s="120" t="s">
        <v>637</v>
      </c>
      <c r="E85" s="121">
        <v>1992</v>
      </c>
      <c r="F85" s="122">
        <f t="shared" si="11"/>
        <v>3.1159999999999997</v>
      </c>
      <c r="G85" s="125">
        <v>0.45</v>
      </c>
      <c r="H85" s="125">
        <v>0.28499999999999998</v>
      </c>
      <c r="I85" s="120">
        <f t="shared" si="12"/>
        <v>0.16500000000000004</v>
      </c>
      <c r="J85" s="124">
        <f>J84-I85</f>
        <v>1.3888879999999997</v>
      </c>
      <c r="K85" s="123">
        <v>1.5</v>
      </c>
      <c r="L85" s="125">
        <v>14</v>
      </c>
      <c r="M85" s="120">
        <f t="shared" si="13"/>
        <v>355.59999999999997</v>
      </c>
      <c r="N85" s="120"/>
      <c r="O85" s="125">
        <v>1950</v>
      </c>
      <c r="P85" s="126">
        <f t="shared" si="10"/>
        <v>32.5</v>
      </c>
      <c r="Q85" s="127">
        <v>0.95</v>
      </c>
      <c r="R85" s="128">
        <f t="shared" si="14"/>
        <v>3.1159999999999997</v>
      </c>
      <c r="S85" s="129">
        <f t="shared" si="15"/>
        <v>3.96</v>
      </c>
      <c r="T85" s="128">
        <f t="shared" si="16"/>
        <v>3.5353535353535355</v>
      </c>
      <c r="U85" s="128">
        <f t="shared" si="17"/>
        <v>11.595959595959595</v>
      </c>
      <c r="W85" s="130">
        <v>0.35</v>
      </c>
      <c r="X85" s="131">
        <f t="shared" si="18"/>
        <v>1.0905999999999997E-2</v>
      </c>
      <c r="Y85" s="132">
        <f t="shared" si="19"/>
        <v>2.1335999999999999</v>
      </c>
    </row>
    <row r="86" spans="2:25" x14ac:dyDescent="0.3">
      <c r="B86" s="112" t="s">
        <v>369</v>
      </c>
      <c r="D86" s="120" t="s">
        <v>638</v>
      </c>
      <c r="E86" s="121">
        <f>E67+E65+E66+E68</f>
        <v>433</v>
      </c>
      <c r="F86" s="122">
        <f t="shared" si="11"/>
        <v>11.479999999999999</v>
      </c>
      <c r="G86" s="125">
        <v>0.24</v>
      </c>
      <c r="H86" s="125">
        <v>0.18</v>
      </c>
      <c r="I86" s="120">
        <f t="shared" si="12"/>
        <v>0.06</v>
      </c>
      <c r="J86" s="124">
        <f>J85-I86</f>
        <v>1.3288879999999996</v>
      </c>
      <c r="K86" s="123">
        <v>1.5</v>
      </c>
      <c r="L86" s="125">
        <v>9</v>
      </c>
      <c r="M86" s="120">
        <f t="shared" si="13"/>
        <v>228.6</v>
      </c>
      <c r="N86" s="120"/>
      <c r="O86" s="125">
        <v>1480</v>
      </c>
      <c r="P86" s="126">
        <f t="shared" si="10"/>
        <v>24.666666666666668</v>
      </c>
      <c r="Q86" s="127">
        <f>3.5</f>
        <v>3.5</v>
      </c>
      <c r="R86" s="128">
        <f t="shared" si="14"/>
        <v>11.479999999999999</v>
      </c>
      <c r="S86" s="129">
        <f t="shared" si="15"/>
        <v>3.96</v>
      </c>
      <c r="T86" s="128">
        <f t="shared" si="16"/>
        <v>2.2727272727272729</v>
      </c>
      <c r="U86" s="128">
        <f t="shared" si="17"/>
        <v>7.454545454545455</v>
      </c>
      <c r="W86" s="130">
        <v>0.38</v>
      </c>
      <c r="X86" s="131">
        <f t="shared" si="18"/>
        <v>4.3623999999999989E-2</v>
      </c>
      <c r="Y86" s="132">
        <f t="shared" si="19"/>
        <v>1.3715999999999999</v>
      </c>
    </row>
    <row r="87" spans="2:25" x14ac:dyDescent="0.3">
      <c r="B87" s="112" t="s">
        <v>369</v>
      </c>
      <c r="D87" s="120" t="s">
        <v>639</v>
      </c>
      <c r="E87" s="121">
        <f>E67+E68</f>
        <v>206</v>
      </c>
      <c r="F87" s="122">
        <f t="shared" si="11"/>
        <v>9.5119999999999987</v>
      </c>
      <c r="G87" s="125">
        <v>0.13800000000000001</v>
      </c>
      <c r="H87" s="125">
        <v>0.128</v>
      </c>
      <c r="I87" s="120">
        <f t="shared" si="12"/>
        <v>1.0000000000000009E-2</v>
      </c>
      <c r="J87" s="124">
        <f>J86-I87</f>
        <v>1.3188879999999996</v>
      </c>
      <c r="K87" s="123">
        <v>1.5</v>
      </c>
      <c r="L87" s="125">
        <v>7</v>
      </c>
      <c r="M87" s="120">
        <f t="shared" si="13"/>
        <v>177.79999999999998</v>
      </c>
      <c r="N87" s="120"/>
      <c r="O87" s="125">
        <v>1150</v>
      </c>
      <c r="P87" s="126">
        <f t="shared" si="10"/>
        <v>19.166666666666668</v>
      </c>
      <c r="Q87" s="127">
        <f>2.9</f>
        <v>2.9</v>
      </c>
      <c r="R87" s="128">
        <f t="shared" si="14"/>
        <v>9.5119999999999987</v>
      </c>
      <c r="S87" s="129">
        <f t="shared" si="15"/>
        <v>3.96</v>
      </c>
      <c r="T87" s="128">
        <f t="shared" si="16"/>
        <v>1.7676767676767677</v>
      </c>
      <c r="U87" s="128">
        <f t="shared" si="17"/>
        <v>5.7979797979797976</v>
      </c>
      <c r="W87" s="130">
        <v>0.34</v>
      </c>
      <c r="X87" s="131">
        <f t="shared" si="18"/>
        <v>3.2340799999999996E-2</v>
      </c>
      <c r="Y87" s="132">
        <f t="shared" si="19"/>
        <v>1.0668</v>
      </c>
    </row>
    <row r="88" spans="2:25" x14ac:dyDescent="0.3">
      <c r="B88" s="112" t="s">
        <v>369</v>
      </c>
      <c r="D88" s="120" t="s">
        <v>640</v>
      </c>
      <c r="E88" s="121">
        <f>E67</f>
        <v>76</v>
      </c>
      <c r="F88" s="122">
        <f t="shared" si="11"/>
        <v>1.9679999999999997</v>
      </c>
      <c r="G88" s="125">
        <v>8.5000000000000006E-2</v>
      </c>
      <c r="H88" s="125">
        <v>7.4999999999999997E-2</v>
      </c>
      <c r="I88" s="120">
        <f t="shared" si="12"/>
        <v>1.0000000000000009E-2</v>
      </c>
      <c r="J88" s="124">
        <f>J87-I88</f>
        <v>1.3088879999999996</v>
      </c>
      <c r="K88" s="123">
        <v>1.5</v>
      </c>
      <c r="L88" s="125">
        <v>5</v>
      </c>
      <c r="M88" s="120">
        <f t="shared" si="13"/>
        <v>127</v>
      </c>
      <c r="N88" s="120"/>
      <c r="O88" s="119">
        <v>1000</v>
      </c>
      <c r="P88" s="126">
        <f t="shared" si="10"/>
        <v>16.666666666666668</v>
      </c>
      <c r="Q88" s="127">
        <v>0.6</v>
      </c>
      <c r="R88" s="128">
        <f t="shared" si="14"/>
        <v>1.9679999999999997</v>
      </c>
      <c r="S88" s="129">
        <f t="shared" si="15"/>
        <v>3.96</v>
      </c>
      <c r="T88" s="128">
        <f t="shared" si="16"/>
        <v>1.2626262626262625</v>
      </c>
      <c r="U88" s="128">
        <f t="shared" si="17"/>
        <v>4.141414141414141</v>
      </c>
      <c r="W88" s="132">
        <v>0.4</v>
      </c>
      <c r="X88" s="131">
        <f t="shared" si="18"/>
        <v>7.8719999999999988E-3</v>
      </c>
      <c r="Y88" s="132">
        <f t="shared" si="19"/>
        <v>0.76200000000000001</v>
      </c>
    </row>
    <row r="89" spans="2:25" x14ac:dyDescent="0.3">
      <c r="B89" s="112" t="s">
        <v>369</v>
      </c>
      <c r="D89" s="120" t="s">
        <v>641</v>
      </c>
      <c r="E89" s="121">
        <f>E68</f>
        <v>130</v>
      </c>
      <c r="F89" s="122">
        <f t="shared" si="11"/>
        <v>11.479999999999999</v>
      </c>
      <c r="G89" s="125">
        <v>8.5000000000000006E-2</v>
      </c>
      <c r="H89" s="125">
        <v>0.06</v>
      </c>
      <c r="I89" s="120">
        <f t="shared" si="12"/>
        <v>2.5000000000000008E-2</v>
      </c>
      <c r="J89" s="124">
        <f>J87-I89</f>
        <v>1.2938879999999997</v>
      </c>
      <c r="K89" s="123">
        <v>1.5</v>
      </c>
      <c r="L89" s="125">
        <v>7</v>
      </c>
      <c r="M89" s="120">
        <f t="shared" si="13"/>
        <v>177.79999999999998</v>
      </c>
      <c r="N89" s="120"/>
      <c r="O89" s="119">
        <v>1000</v>
      </c>
      <c r="P89" s="126">
        <f t="shared" si="10"/>
        <v>16.666666666666668</v>
      </c>
      <c r="Q89" s="127">
        <f>2.9+0.6</f>
        <v>3.5</v>
      </c>
      <c r="R89" s="128">
        <f t="shared" si="14"/>
        <v>11.479999999999999</v>
      </c>
      <c r="S89" s="129">
        <f t="shared" si="15"/>
        <v>3.96</v>
      </c>
      <c r="T89" s="128">
        <f t="shared" si="16"/>
        <v>1.7676767676767677</v>
      </c>
      <c r="U89" s="128">
        <f t="shared" si="17"/>
        <v>5.7979797979797976</v>
      </c>
      <c r="W89" s="132">
        <v>0.28000000000000003</v>
      </c>
      <c r="X89" s="131">
        <f t="shared" si="18"/>
        <v>3.2143999999999999E-2</v>
      </c>
      <c r="Y89" s="132">
        <f t="shared" si="19"/>
        <v>1.0668</v>
      </c>
    </row>
    <row r="90" spans="2:25" x14ac:dyDescent="0.3">
      <c r="B90" s="112" t="s">
        <v>369</v>
      </c>
      <c r="D90" s="120" t="s">
        <v>642</v>
      </c>
      <c r="E90" s="121">
        <f>E65+E66</f>
        <v>227</v>
      </c>
      <c r="F90" s="122">
        <f t="shared" si="11"/>
        <v>5.2480000000000002</v>
      </c>
      <c r="G90" s="125">
        <v>0.14499999999999999</v>
      </c>
      <c r="H90" s="125">
        <v>0.09</v>
      </c>
      <c r="I90" s="120">
        <f t="shared" si="12"/>
        <v>5.4999999999999993E-2</v>
      </c>
      <c r="J90" s="124">
        <f>J86-I90</f>
        <v>1.2738879999999997</v>
      </c>
      <c r="K90" s="123">
        <v>1.5</v>
      </c>
      <c r="L90" s="125">
        <v>8</v>
      </c>
      <c r="M90" s="120">
        <f t="shared" si="13"/>
        <v>203.2</v>
      </c>
      <c r="N90" s="120"/>
      <c r="O90" s="119">
        <v>1000</v>
      </c>
      <c r="P90" s="126">
        <f t="shared" si="10"/>
        <v>16.666666666666668</v>
      </c>
      <c r="Q90" s="127">
        <v>1.6</v>
      </c>
      <c r="R90" s="128">
        <f t="shared" si="14"/>
        <v>5.2480000000000002</v>
      </c>
      <c r="S90" s="129">
        <f t="shared" si="15"/>
        <v>3.96</v>
      </c>
      <c r="T90" s="128">
        <f t="shared" si="16"/>
        <v>2.0202020202020203</v>
      </c>
      <c r="U90" s="128">
        <f t="shared" si="17"/>
        <v>6.6262626262626263</v>
      </c>
      <c r="W90" s="132">
        <v>0.25</v>
      </c>
      <c r="X90" s="131">
        <f t="shared" si="18"/>
        <v>1.312E-2</v>
      </c>
      <c r="Y90" s="132">
        <f t="shared" si="19"/>
        <v>1.2191999999999998</v>
      </c>
    </row>
    <row r="91" spans="2:25" x14ac:dyDescent="0.3">
      <c r="B91" s="112" t="s">
        <v>369</v>
      </c>
      <c r="D91" s="120" t="s">
        <v>643</v>
      </c>
      <c r="E91" s="121">
        <f>E66</f>
        <v>91</v>
      </c>
      <c r="F91" s="122">
        <f t="shared" si="11"/>
        <v>1.9679999999999997</v>
      </c>
      <c r="G91" s="125">
        <v>0.06</v>
      </c>
      <c r="H91" s="125">
        <v>0.06</v>
      </c>
      <c r="I91" s="120">
        <f t="shared" si="12"/>
        <v>0</v>
      </c>
      <c r="J91" s="124">
        <f>J90-I91</f>
        <v>1.2738879999999997</v>
      </c>
      <c r="K91" s="123">
        <v>1.5</v>
      </c>
      <c r="L91" s="125">
        <v>6</v>
      </c>
      <c r="M91" s="120">
        <f t="shared" si="13"/>
        <v>152.39999999999998</v>
      </c>
      <c r="N91" s="120"/>
      <c r="O91" s="119">
        <v>1000</v>
      </c>
      <c r="P91" s="126">
        <f t="shared" si="10"/>
        <v>16.666666666666668</v>
      </c>
      <c r="Q91" s="127">
        <v>0.6</v>
      </c>
      <c r="R91" s="128">
        <f t="shared" si="14"/>
        <v>1.9679999999999997</v>
      </c>
      <c r="S91" s="129">
        <f t="shared" si="15"/>
        <v>3.96</v>
      </c>
      <c r="T91" s="128">
        <f t="shared" si="16"/>
        <v>1.5151515151515151</v>
      </c>
      <c r="U91" s="128">
        <f t="shared" si="17"/>
        <v>4.9696969696969697</v>
      </c>
      <c r="W91" s="132">
        <v>0.3</v>
      </c>
      <c r="X91" s="131">
        <f t="shared" si="18"/>
        <v>5.9039999999999995E-3</v>
      </c>
      <c r="Y91" s="132">
        <f t="shared" si="19"/>
        <v>0.91439999999999988</v>
      </c>
    </row>
    <row r="92" spans="2:25" x14ac:dyDescent="0.3">
      <c r="B92" s="112" t="s">
        <v>369</v>
      </c>
      <c r="D92" s="120" t="s">
        <v>644</v>
      </c>
      <c r="E92" s="121">
        <f>E65</f>
        <v>136</v>
      </c>
      <c r="F92" s="122">
        <f t="shared" si="11"/>
        <v>11.808</v>
      </c>
      <c r="G92" s="125">
        <v>0.06</v>
      </c>
      <c r="H92" s="125">
        <v>0.06</v>
      </c>
      <c r="I92" s="120">
        <f t="shared" si="12"/>
        <v>0</v>
      </c>
      <c r="J92" s="124">
        <f>J90-I92</f>
        <v>1.2738879999999997</v>
      </c>
      <c r="K92" s="123">
        <v>1.5</v>
      </c>
      <c r="L92" s="125">
        <v>7</v>
      </c>
      <c r="M92" s="120">
        <f t="shared" si="13"/>
        <v>177.79999999999998</v>
      </c>
      <c r="N92" s="120"/>
      <c r="O92" s="119">
        <v>1000</v>
      </c>
      <c r="P92" s="126">
        <f t="shared" si="10"/>
        <v>16.666666666666668</v>
      </c>
      <c r="Q92" s="127">
        <f>3+0.6</f>
        <v>3.6</v>
      </c>
      <c r="R92" s="128">
        <f t="shared" si="14"/>
        <v>11.808</v>
      </c>
      <c r="S92" s="129">
        <f t="shared" si="15"/>
        <v>3.96</v>
      </c>
      <c r="T92" s="128">
        <f t="shared" si="16"/>
        <v>1.7676767676767677</v>
      </c>
      <c r="U92" s="128">
        <f t="shared" si="17"/>
        <v>5.7979797979797976</v>
      </c>
      <c r="W92" s="132">
        <v>0.28000000000000003</v>
      </c>
      <c r="X92" s="131">
        <f t="shared" si="18"/>
        <v>3.3062400000000006E-2</v>
      </c>
      <c r="Y92" s="132">
        <f t="shared" si="19"/>
        <v>1.0668</v>
      </c>
    </row>
    <row r="93" spans="2:25" x14ac:dyDescent="0.3">
      <c r="B93" s="112" t="s">
        <v>369</v>
      </c>
      <c r="D93" s="120" t="s">
        <v>645</v>
      </c>
      <c r="E93" s="121">
        <f>SUM(E69:E74)</f>
        <v>922</v>
      </c>
      <c r="F93" s="122">
        <f t="shared" si="11"/>
        <v>32.472000000000001</v>
      </c>
      <c r="G93" s="125">
        <v>0.21</v>
      </c>
      <c r="H93" s="125">
        <v>0.13</v>
      </c>
      <c r="I93" s="120">
        <f t="shared" si="12"/>
        <v>7.9999999999999988E-2</v>
      </c>
      <c r="J93" s="124">
        <f>J85-I93</f>
        <v>1.3088879999999996</v>
      </c>
      <c r="K93" s="123">
        <v>1.5</v>
      </c>
      <c r="L93" s="125">
        <v>14</v>
      </c>
      <c r="M93" s="120">
        <f t="shared" si="13"/>
        <v>355.59999999999997</v>
      </c>
      <c r="N93" s="120"/>
      <c r="O93" s="125">
        <v>1300</v>
      </c>
      <c r="P93" s="126">
        <f t="shared" si="10"/>
        <v>21.666666666666668</v>
      </c>
      <c r="Q93" s="127">
        <f>2.5+7.4</f>
        <v>9.9</v>
      </c>
      <c r="R93" s="128">
        <f t="shared" si="14"/>
        <v>32.472000000000001</v>
      </c>
      <c r="S93" s="129">
        <f t="shared" si="15"/>
        <v>3.96</v>
      </c>
      <c r="T93" s="128">
        <f t="shared" si="16"/>
        <v>3.5353535353535355</v>
      </c>
      <c r="U93" s="128">
        <f t="shared" si="17"/>
        <v>11.595959595959595</v>
      </c>
      <c r="W93" s="130">
        <v>0.18</v>
      </c>
      <c r="X93" s="131">
        <f t="shared" si="18"/>
        <v>5.8449600000000004E-2</v>
      </c>
      <c r="Y93" s="132">
        <f t="shared" si="19"/>
        <v>2.1335999999999999</v>
      </c>
    </row>
    <row r="94" spans="2:25" x14ac:dyDescent="0.3">
      <c r="B94" s="112" t="s">
        <v>369</v>
      </c>
      <c r="D94" s="120" t="s">
        <v>646</v>
      </c>
      <c r="E94" s="121">
        <f>E70</f>
        <v>242</v>
      </c>
      <c r="F94" s="122">
        <f t="shared" si="11"/>
        <v>4.5919999999999996</v>
      </c>
      <c r="G94" s="125">
        <v>0.11</v>
      </c>
      <c r="H94" s="125">
        <v>0.1</v>
      </c>
      <c r="I94" s="120">
        <f t="shared" si="12"/>
        <v>9.999999999999995E-3</v>
      </c>
      <c r="J94" s="124">
        <f>J93-I94</f>
        <v>1.2988879999999996</v>
      </c>
      <c r="K94" s="123">
        <v>1.5</v>
      </c>
      <c r="L94" s="125">
        <v>8</v>
      </c>
      <c r="M94" s="120">
        <f t="shared" si="13"/>
        <v>203.2</v>
      </c>
      <c r="N94" s="120"/>
      <c r="O94" s="119">
        <v>1000</v>
      </c>
      <c r="P94" s="126">
        <f t="shared" si="10"/>
        <v>16.666666666666668</v>
      </c>
      <c r="Q94" s="127">
        <v>1.4</v>
      </c>
      <c r="R94" s="128">
        <f t="shared" si="14"/>
        <v>4.5919999999999996</v>
      </c>
      <c r="S94" s="129">
        <f t="shared" si="15"/>
        <v>3.96</v>
      </c>
      <c r="T94" s="128">
        <f t="shared" si="16"/>
        <v>2.0202020202020203</v>
      </c>
      <c r="U94" s="128">
        <f t="shared" si="17"/>
        <v>6.6262626262626263</v>
      </c>
      <c r="W94" s="132">
        <v>0.28000000000000003</v>
      </c>
      <c r="X94" s="131">
        <f t="shared" si="18"/>
        <v>1.28576E-2</v>
      </c>
      <c r="Y94" s="132">
        <f t="shared" si="19"/>
        <v>1.2191999999999998</v>
      </c>
    </row>
    <row r="95" spans="2:25" x14ac:dyDescent="0.3">
      <c r="B95" s="112" t="s">
        <v>369</v>
      </c>
      <c r="D95" s="120" t="s">
        <v>647</v>
      </c>
      <c r="E95" s="121">
        <f>E93-E94</f>
        <v>680</v>
      </c>
      <c r="F95" s="122">
        <f t="shared" si="11"/>
        <v>22.959999999999997</v>
      </c>
      <c r="G95" s="125">
        <v>0.95</v>
      </c>
      <c r="H95" s="125">
        <v>6.8000000000000005E-2</v>
      </c>
      <c r="I95" s="120">
        <f t="shared" si="12"/>
        <v>0.8819999999999999</v>
      </c>
      <c r="J95" s="124">
        <f>J93-I95</f>
        <v>0.42688799999999971</v>
      </c>
      <c r="K95" s="123">
        <v>1.5</v>
      </c>
      <c r="L95" s="125">
        <v>14</v>
      </c>
      <c r="M95" s="120">
        <f t="shared" si="13"/>
        <v>355.59999999999997</v>
      </c>
      <c r="N95" s="120"/>
      <c r="O95" s="119">
        <v>1000</v>
      </c>
      <c r="P95" s="126">
        <f t="shared" si="10"/>
        <v>16.666666666666668</v>
      </c>
      <c r="Q95" s="127">
        <f>1.8+2.6+2.6</f>
        <v>7</v>
      </c>
      <c r="R95" s="128">
        <f t="shared" si="14"/>
        <v>22.959999999999997</v>
      </c>
      <c r="S95" s="129">
        <f t="shared" si="15"/>
        <v>3.96</v>
      </c>
      <c r="T95" s="128">
        <f t="shared" si="16"/>
        <v>3.5353535353535355</v>
      </c>
      <c r="U95" s="128">
        <f t="shared" si="17"/>
        <v>11.595959595959595</v>
      </c>
      <c r="W95" s="132">
        <v>0.12</v>
      </c>
      <c r="X95" s="131">
        <f t="shared" si="18"/>
        <v>2.7551999999999993E-2</v>
      </c>
      <c r="Y95" s="132">
        <f t="shared" si="19"/>
        <v>2.1335999999999999</v>
      </c>
    </row>
    <row r="96" spans="2:25" x14ac:dyDescent="0.3">
      <c r="B96" s="112" t="s">
        <v>369</v>
      </c>
      <c r="D96" s="120" t="s">
        <v>648</v>
      </c>
      <c r="E96" s="121">
        <f>E74</f>
        <v>139</v>
      </c>
      <c r="F96" s="122">
        <f t="shared" si="11"/>
        <v>5.2480000000000002</v>
      </c>
      <c r="G96" s="125">
        <v>0.06</v>
      </c>
      <c r="H96" s="125">
        <v>0.06</v>
      </c>
      <c r="I96" s="120">
        <f t="shared" si="12"/>
        <v>0</v>
      </c>
      <c r="J96" s="124">
        <f>J95-I96</f>
        <v>0.42688799999999971</v>
      </c>
      <c r="K96" s="123">
        <v>1.5</v>
      </c>
      <c r="L96" s="125">
        <v>7</v>
      </c>
      <c r="M96" s="120">
        <f t="shared" si="13"/>
        <v>177.79999999999998</v>
      </c>
      <c r="N96" s="120"/>
      <c r="O96" s="119">
        <v>1000</v>
      </c>
      <c r="P96" s="126">
        <f t="shared" si="10"/>
        <v>16.666666666666668</v>
      </c>
      <c r="Q96" s="127">
        <f>0.7+0.9</f>
        <v>1.6</v>
      </c>
      <c r="R96" s="128">
        <f t="shared" si="14"/>
        <v>5.2480000000000002</v>
      </c>
      <c r="S96" s="129">
        <f t="shared" si="15"/>
        <v>3.96</v>
      </c>
      <c r="T96" s="128">
        <f t="shared" si="16"/>
        <v>1.7676767676767677</v>
      </c>
      <c r="U96" s="128">
        <f t="shared" si="17"/>
        <v>5.7979797979797976</v>
      </c>
      <c r="W96" s="132">
        <v>0.28000000000000003</v>
      </c>
      <c r="X96" s="131">
        <f t="shared" si="18"/>
        <v>1.4694400000000003E-2</v>
      </c>
      <c r="Y96" s="132">
        <f t="shared" si="19"/>
        <v>1.0668</v>
      </c>
    </row>
    <row r="97" spans="2:25" x14ac:dyDescent="0.3">
      <c r="B97" s="112" t="s">
        <v>369</v>
      </c>
      <c r="D97" s="120" t="s">
        <v>649</v>
      </c>
      <c r="E97" s="121">
        <f>E95-E96</f>
        <v>541</v>
      </c>
      <c r="F97" s="122">
        <f t="shared" si="11"/>
        <v>7.5439999999999987</v>
      </c>
      <c r="G97" s="125">
        <v>0.06</v>
      </c>
      <c r="H97" s="125">
        <v>0.06</v>
      </c>
      <c r="I97" s="120">
        <f t="shared" si="12"/>
        <v>0</v>
      </c>
      <c r="J97" s="124">
        <f>J95-I97</f>
        <v>0.42688799999999971</v>
      </c>
      <c r="K97" s="123">
        <v>1.5</v>
      </c>
      <c r="L97" s="125">
        <v>14</v>
      </c>
      <c r="M97" s="120">
        <f t="shared" si="13"/>
        <v>355.59999999999997</v>
      </c>
      <c r="N97" s="120"/>
      <c r="O97" s="119">
        <v>1000</v>
      </c>
      <c r="P97" s="126">
        <f t="shared" si="10"/>
        <v>16.666666666666668</v>
      </c>
      <c r="Q97" s="127">
        <v>2.2999999999999998</v>
      </c>
      <c r="R97" s="128">
        <f t="shared" si="14"/>
        <v>7.5439999999999987</v>
      </c>
      <c r="S97" s="129">
        <f t="shared" si="15"/>
        <v>3.96</v>
      </c>
      <c r="T97" s="128">
        <f t="shared" si="16"/>
        <v>3.5353535353535355</v>
      </c>
      <c r="U97" s="128">
        <f t="shared" si="17"/>
        <v>11.595959595959595</v>
      </c>
      <c r="W97" s="132">
        <v>0.12</v>
      </c>
      <c r="X97" s="131">
        <f t="shared" si="18"/>
        <v>9.052799999999998E-3</v>
      </c>
      <c r="Y97" s="132">
        <f t="shared" si="19"/>
        <v>2.1335999999999999</v>
      </c>
    </row>
    <row r="98" spans="2:25" x14ac:dyDescent="0.3">
      <c r="B98" s="112" t="s">
        <v>369</v>
      </c>
      <c r="D98" s="120" t="s">
        <v>650</v>
      </c>
      <c r="E98" s="121">
        <f>E73</f>
        <v>108</v>
      </c>
      <c r="F98" s="122">
        <f t="shared" si="11"/>
        <v>2.952</v>
      </c>
      <c r="G98" s="125">
        <v>0.06</v>
      </c>
      <c r="H98" s="125">
        <v>0.06</v>
      </c>
      <c r="I98" s="120">
        <f t="shared" si="12"/>
        <v>0</v>
      </c>
      <c r="J98" s="124">
        <f>J97-I98</f>
        <v>0.42688799999999971</v>
      </c>
      <c r="K98" s="123">
        <v>1.5</v>
      </c>
      <c r="L98" s="125">
        <v>7</v>
      </c>
      <c r="M98" s="120">
        <f t="shared" si="13"/>
        <v>177.79999999999998</v>
      </c>
      <c r="N98" s="120"/>
      <c r="O98" s="119">
        <v>1000</v>
      </c>
      <c r="P98" s="126">
        <f t="shared" si="10"/>
        <v>16.666666666666668</v>
      </c>
      <c r="Q98" s="127">
        <v>0.9</v>
      </c>
      <c r="R98" s="128">
        <f t="shared" si="14"/>
        <v>2.952</v>
      </c>
      <c r="S98" s="129">
        <f t="shared" si="15"/>
        <v>3.96</v>
      </c>
      <c r="T98" s="128">
        <f t="shared" si="16"/>
        <v>1.7676767676767677</v>
      </c>
      <c r="U98" s="128">
        <f t="shared" si="17"/>
        <v>5.7979797979797976</v>
      </c>
      <c r="W98" s="132">
        <v>0.28000000000000003</v>
      </c>
      <c r="X98" s="131">
        <f t="shared" si="18"/>
        <v>8.2656000000000014E-3</v>
      </c>
      <c r="Y98" s="132">
        <f t="shared" si="19"/>
        <v>1.0668</v>
      </c>
    </row>
    <row r="99" spans="2:25" x14ac:dyDescent="0.3">
      <c r="B99" s="112" t="s">
        <v>369</v>
      </c>
      <c r="D99" s="120" t="s">
        <v>651</v>
      </c>
      <c r="E99" s="121">
        <f>E97-E98</f>
        <v>433</v>
      </c>
      <c r="F99" s="122">
        <f t="shared" si="11"/>
        <v>11.479999999999999</v>
      </c>
      <c r="G99" s="125">
        <v>0.06</v>
      </c>
      <c r="H99" s="125">
        <v>0.06</v>
      </c>
      <c r="I99" s="120">
        <f t="shared" si="12"/>
        <v>0</v>
      </c>
      <c r="J99" s="124">
        <f>J97-I99</f>
        <v>0.42688799999999971</v>
      </c>
      <c r="K99" s="123">
        <v>1.5</v>
      </c>
      <c r="L99" s="125">
        <v>12</v>
      </c>
      <c r="M99" s="120">
        <f t="shared" si="13"/>
        <v>304.79999999999995</v>
      </c>
      <c r="N99" s="120"/>
      <c r="O99" s="119">
        <v>1000</v>
      </c>
      <c r="P99" s="126">
        <f t="shared" si="10"/>
        <v>16.666666666666668</v>
      </c>
      <c r="Q99" s="127">
        <v>3.5</v>
      </c>
      <c r="R99" s="128">
        <f t="shared" si="14"/>
        <v>11.479999999999999</v>
      </c>
      <c r="S99" s="129">
        <f t="shared" si="15"/>
        <v>3.96</v>
      </c>
      <c r="T99" s="128">
        <f t="shared" si="16"/>
        <v>3.0303030303030303</v>
      </c>
      <c r="U99" s="128">
        <f t="shared" si="17"/>
        <v>9.9393939393939394</v>
      </c>
      <c r="W99" s="132">
        <v>0.14000000000000001</v>
      </c>
      <c r="X99" s="131">
        <f t="shared" si="18"/>
        <v>1.6071999999999999E-2</v>
      </c>
      <c r="Y99" s="132">
        <f t="shared" si="19"/>
        <v>1.8287999999999998</v>
      </c>
    </row>
    <row r="100" spans="2:25" x14ac:dyDescent="0.3">
      <c r="B100" s="112" t="s">
        <v>369</v>
      </c>
      <c r="D100" s="120" t="s">
        <v>652</v>
      </c>
      <c r="E100" s="121">
        <f>E72</f>
        <v>91</v>
      </c>
      <c r="F100" s="122">
        <f t="shared" si="11"/>
        <v>2.952</v>
      </c>
      <c r="G100" s="125">
        <v>0.06</v>
      </c>
      <c r="H100" s="125">
        <v>0.06</v>
      </c>
      <c r="I100" s="120">
        <f t="shared" si="12"/>
        <v>0</v>
      </c>
      <c r="J100" s="124">
        <f>J99-I100</f>
        <v>0.42688799999999971</v>
      </c>
      <c r="K100" s="123">
        <v>1.5</v>
      </c>
      <c r="L100" s="125">
        <v>6</v>
      </c>
      <c r="M100" s="120">
        <f t="shared" si="13"/>
        <v>152.39999999999998</v>
      </c>
      <c r="N100" s="120"/>
      <c r="O100" s="119">
        <v>1000</v>
      </c>
      <c r="P100" s="126">
        <f t="shared" si="10"/>
        <v>16.666666666666668</v>
      </c>
      <c r="Q100" s="127">
        <v>0.9</v>
      </c>
      <c r="R100" s="128">
        <f t="shared" si="14"/>
        <v>2.952</v>
      </c>
      <c r="S100" s="129">
        <f t="shared" si="15"/>
        <v>3.96</v>
      </c>
      <c r="T100" s="128">
        <f t="shared" si="16"/>
        <v>1.5151515151515151</v>
      </c>
      <c r="U100" s="128">
        <f t="shared" si="17"/>
        <v>4.9696969696969697</v>
      </c>
      <c r="W100" s="132">
        <v>0.3</v>
      </c>
      <c r="X100" s="131">
        <f t="shared" si="18"/>
        <v>8.8559999999999993E-3</v>
      </c>
      <c r="Y100" s="132">
        <f t="shared" si="19"/>
        <v>0.91439999999999988</v>
      </c>
    </row>
    <row r="101" spans="2:25" x14ac:dyDescent="0.3">
      <c r="B101" s="112" t="s">
        <v>369</v>
      </c>
      <c r="D101" s="120" t="s">
        <v>653</v>
      </c>
      <c r="E101" s="121">
        <f>E99-E100</f>
        <v>342</v>
      </c>
      <c r="F101" s="122">
        <f t="shared" si="11"/>
        <v>9.5119999999999987</v>
      </c>
      <c r="G101" s="125">
        <v>0.06</v>
      </c>
      <c r="H101" s="125">
        <v>0.06</v>
      </c>
      <c r="I101" s="120">
        <f t="shared" si="12"/>
        <v>0</v>
      </c>
      <c r="J101" s="124">
        <f>J99-I101</f>
        <v>0.42688799999999971</v>
      </c>
      <c r="K101" s="123">
        <v>1.5</v>
      </c>
      <c r="L101" s="125">
        <v>11</v>
      </c>
      <c r="M101" s="120">
        <f t="shared" si="13"/>
        <v>279.39999999999998</v>
      </c>
      <c r="N101" s="120"/>
      <c r="O101" s="119">
        <v>1000</v>
      </c>
      <c r="P101" s="126">
        <f t="shared" si="10"/>
        <v>16.666666666666668</v>
      </c>
      <c r="Q101" s="127">
        <v>2.9</v>
      </c>
      <c r="R101" s="128">
        <f t="shared" si="14"/>
        <v>9.5119999999999987</v>
      </c>
      <c r="S101" s="129">
        <f t="shared" si="15"/>
        <v>3.96</v>
      </c>
      <c r="T101" s="128">
        <f t="shared" si="16"/>
        <v>2.7777777777777777</v>
      </c>
      <c r="U101" s="128">
        <f t="shared" si="17"/>
        <v>9.1111111111111107</v>
      </c>
      <c r="W101" s="132">
        <v>0.15</v>
      </c>
      <c r="X101" s="131">
        <f t="shared" si="18"/>
        <v>1.4267999999999998E-2</v>
      </c>
      <c r="Y101" s="132">
        <f t="shared" si="19"/>
        <v>1.6763999999999999</v>
      </c>
    </row>
    <row r="102" spans="2:25" x14ac:dyDescent="0.3">
      <c r="B102" s="112" t="s">
        <v>369</v>
      </c>
      <c r="D102" s="120" t="s">
        <v>654</v>
      </c>
      <c r="E102" s="121">
        <f>E71</f>
        <v>175</v>
      </c>
      <c r="F102" s="122">
        <f t="shared" si="11"/>
        <v>9.84</v>
      </c>
      <c r="G102" s="125">
        <v>0.06</v>
      </c>
      <c r="H102" s="125">
        <v>0.06</v>
      </c>
      <c r="I102" s="120">
        <f t="shared" si="12"/>
        <v>0</v>
      </c>
      <c r="J102" s="124">
        <f>J100-I102</f>
        <v>0.42688799999999971</v>
      </c>
      <c r="K102" s="123">
        <v>1.5</v>
      </c>
      <c r="L102" s="125">
        <v>8</v>
      </c>
      <c r="M102" s="120">
        <f t="shared" si="13"/>
        <v>203.2</v>
      </c>
      <c r="N102" s="120"/>
      <c r="O102" s="119">
        <v>1000</v>
      </c>
      <c r="P102" s="126">
        <f t="shared" si="10"/>
        <v>16.666666666666668</v>
      </c>
      <c r="Q102" s="127">
        <f>1.9+1.1</f>
        <v>3</v>
      </c>
      <c r="R102" s="128">
        <f t="shared" si="14"/>
        <v>9.84</v>
      </c>
      <c r="S102" s="129">
        <f t="shared" si="15"/>
        <v>3.96</v>
      </c>
      <c r="T102" s="128">
        <f t="shared" si="16"/>
        <v>2.0202020202020203</v>
      </c>
      <c r="U102" s="128">
        <f t="shared" si="17"/>
        <v>6.6262626262626263</v>
      </c>
      <c r="W102" s="132">
        <v>0.15</v>
      </c>
      <c r="X102" s="131">
        <f t="shared" si="18"/>
        <v>1.4760000000000001E-2</v>
      </c>
      <c r="Y102" s="132">
        <f t="shared" si="19"/>
        <v>1.2191999999999998</v>
      </c>
    </row>
    <row r="103" spans="2:25" x14ac:dyDescent="0.3">
      <c r="B103" s="112" t="s">
        <v>369</v>
      </c>
      <c r="D103" s="120" t="s">
        <v>655</v>
      </c>
      <c r="E103" s="121">
        <f>E72</f>
        <v>91</v>
      </c>
      <c r="F103" s="122">
        <f t="shared" si="11"/>
        <v>24.928000000000001</v>
      </c>
      <c r="G103" s="125">
        <v>0.06</v>
      </c>
      <c r="H103" s="125">
        <v>0.06</v>
      </c>
      <c r="I103" s="120">
        <f t="shared" si="12"/>
        <v>0</v>
      </c>
      <c r="J103" s="124">
        <f>J101-I103</f>
        <v>0.42688799999999971</v>
      </c>
      <c r="K103" s="123">
        <v>1.5</v>
      </c>
      <c r="L103" s="125">
        <v>7</v>
      </c>
      <c r="M103" s="120">
        <f t="shared" si="13"/>
        <v>177.79999999999998</v>
      </c>
      <c r="N103" s="120"/>
      <c r="O103" s="119">
        <v>1000</v>
      </c>
      <c r="P103" s="126">
        <f t="shared" si="10"/>
        <v>16.666666666666668</v>
      </c>
      <c r="Q103" s="127">
        <f>1.9+5+0.7</f>
        <v>7.6000000000000005</v>
      </c>
      <c r="R103" s="128">
        <f t="shared" si="14"/>
        <v>24.928000000000001</v>
      </c>
      <c r="S103" s="129">
        <f t="shared" si="15"/>
        <v>3.96</v>
      </c>
      <c r="T103" s="128">
        <f t="shared" si="16"/>
        <v>1.7676767676767677</v>
      </c>
      <c r="U103" s="128">
        <f t="shared" si="17"/>
        <v>5.7979797979797976</v>
      </c>
      <c r="W103" s="132">
        <v>0.28000000000000003</v>
      </c>
      <c r="X103" s="131">
        <f t="shared" si="18"/>
        <v>6.979840000000001E-2</v>
      </c>
      <c r="Y103" s="132">
        <f t="shared" si="19"/>
        <v>1.0668</v>
      </c>
    </row>
    <row r="105" spans="2:25" x14ac:dyDescent="0.3">
      <c r="D105" s="113" t="s">
        <v>656</v>
      </c>
    </row>
    <row r="106" spans="2:25" x14ac:dyDescent="0.3">
      <c r="E106" s="112" t="s">
        <v>126</v>
      </c>
    </row>
    <row r="107" spans="2:25" ht="15.6" x14ac:dyDescent="0.3">
      <c r="D107" s="137" t="s">
        <v>64</v>
      </c>
      <c r="E107" s="114">
        <f>DUCTING!M36</f>
        <v>99</v>
      </c>
    </row>
    <row r="108" spans="2:25" ht="15.6" x14ac:dyDescent="0.3">
      <c r="D108" s="137" t="s">
        <v>63</v>
      </c>
      <c r="E108" s="114">
        <f>DUCTING!M35</f>
        <v>64</v>
      </c>
    </row>
    <row r="109" spans="2:25" ht="15.6" x14ac:dyDescent="0.3">
      <c r="D109" s="137" t="s">
        <v>62</v>
      </c>
      <c r="E109" s="114">
        <f>DUCTING!M34</f>
        <v>130</v>
      </c>
    </row>
    <row r="110" spans="2:25" ht="15.6" x14ac:dyDescent="0.3">
      <c r="D110" s="137" t="s">
        <v>657</v>
      </c>
      <c r="E110" s="114">
        <f>DUCTING!M33</f>
        <v>50</v>
      </c>
    </row>
    <row r="111" spans="2:25" ht="15.6" x14ac:dyDescent="0.3">
      <c r="D111" s="137" t="s">
        <v>658</v>
      </c>
      <c r="E111" s="114">
        <f>DUCTING!M32</f>
        <v>118</v>
      </c>
    </row>
    <row r="112" spans="2:25" ht="15.6" x14ac:dyDescent="0.3">
      <c r="D112" s="137" t="s">
        <v>659</v>
      </c>
      <c r="E112" s="114">
        <f>DUCTING!M37</f>
        <v>240</v>
      </c>
    </row>
    <row r="113" spans="2:34" ht="15.6" x14ac:dyDescent="0.3">
      <c r="D113" s="137" t="s">
        <v>660</v>
      </c>
      <c r="E113" s="114">
        <f>DUCTING!M39</f>
        <v>86</v>
      </c>
    </row>
    <row r="114" spans="2:34" ht="15.6" x14ac:dyDescent="0.3">
      <c r="D114" s="137" t="s">
        <v>661</v>
      </c>
      <c r="E114" s="114">
        <f>DUCTING!M38</f>
        <v>106</v>
      </c>
    </row>
    <row r="115" spans="2:34" ht="15.6" x14ac:dyDescent="0.3">
      <c r="D115" s="37" t="s">
        <v>662</v>
      </c>
      <c r="E115" s="114">
        <f>DUCTING!M41</f>
        <v>88</v>
      </c>
    </row>
    <row r="116" spans="2:34" ht="15.6" x14ac:dyDescent="0.3">
      <c r="D116" s="37" t="s">
        <v>69</v>
      </c>
      <c r="E116" s="114">
        <f>DUCTING!M40</f>
        <v>126</v>
      </c>
    </row>
    <row r="117" spans="2:34" x14ac:dyDescent="0.3">
      <c r="D117" s="115"/>
      <c r="E117" s="114">
        <f>SUM(E107:E116)</f>
        <v>1107</v>
      </c>
    </row>
    <row r="119" spans="2:34" ht="14.25" customHeight="1" x14ac:dyDescent="0.3">
      <c r="B119" s="176" t="s">
        <v>74</v>
      </c>
      <c r="C119" s="177" t="s">
        <v>663</v>
      </c>
      <c r="D119" s="171" t="s">
        <v>576</v>
      </c>
      <c r="E119" s="171" t="s">
        <v>577</v>
      </c>
      <c r="F119" s="171" t="s">
        <v>578</v>
      </c>
      <c r="G119" s="171" t="s">
        <v>579</v>
      </c>
      <c r="H119" s="171"/>
      <c r="I119" s="171" t="s">
        <v>580</v>
      </c>
      <c r="J119" s="171" t="s">
        <v>581</v>
      </c>
      <c r="K119" s="171" t="s">
        <v>582</v>
      </c>
      <c r="L119" s="171" t="s">
        <v>632</v>
      </c>
      <c r="M119" s="171" t="s">
        <v>664</v>
      </c>
      <c r="N119" s="171" t="s">
        <v>665</v>
      </c>
      <c r="O119" s="171" t="s">
        <v>585</v>
      </c>
      <c r="P119" s="171" t="s">
        <v>586</v>
      </c>
      <c r="Q119" s="178" t="s">
        <v>587</v>
      </c>
      <c r="R119" s="178" t="s">
        <v>588</v>
      </c>
      <c r="S119" s="179" t="s">
        <v>589</v>
      </c>
      <c r="T119" s="178" t="s">
        <v>590</v>
      </c>
      <c r="U119" s="178" t="s">
        <v>591</v>
      </c>
      <c r="V119" s="176" t="s">
        <v>592</v>
      </c>
      <c r="W119" s="176" t="s">
        <v>593</v>
      </c>
      <c r="X119" s="176" t="s">
        <v>594</v>
      </c>
      <c r="Y119" s="176" t="s">
        <v>595</v>
      </c>
      <c r="Z119" s="180" t="s">
        <v>666</v>
      </c>
      <c r="AA119" s="180"/>
      <c r="AB119" s="180"/>
      <c r="AC119" s="180"/>
      <c r="AD119" s="180"/>
      <c r="AE119" s="180"/>
      <c r="AF119" s="180"/>
      <c r="AG119" s="180"/>
      <c r="AH119" s="180"/>
    </row>
    <row r="120" spans="2:34" ht="60.75" customHeight="1" x14ac:dyDescent="0.3">
      <c r="B120" s="176"/>
      <c r="C120" s="177"/>
      <c r="D120" s="171"/>
      <c r="E120" s="171"/>
      <c r="F120" s="171"/>
      <c r="G120" s="119" t="s">
        <v>596</v>
      </c>
      <c r="H120" s="119" t="s">
        <v>597</v>
      </c>
      <c r="I120" s="171"/>
      <c r="J120" s="171"/>
      <c r="K120" s="171"/>
      <c r="L120" s="171"/>
      <c r="M120" s="171"/>
      <c r="N120" s="171"/>
      <c r="O120" s="171"/>
      <c r="P120" s="171"/>
      <c r="Q120" s="178"/>
      <c r="R120" s="178"/>
      <c r="S120" s="179"/>
      <c r="T120" s="178"/>
      <c r="U120" s="178"/>
      <c r="V120" s="176"/>
      <c r="W120" s="176"/>
      <c r="X120" s="176"/>
      <c r="Y120" s="176"/>
      <c r="Z120" s="138" t="s">
        <v>667</v>
      </c>
      <c r="AA120" s="138" t="s">
        <v>668</v>
      </c>
      <c r="AB120" s="138" t="s">
        <v>668</v>
      </c>
      <c r="AC120" s="139" t="s">
        <v>126</v>
      </c>
      <c r="AD120" s="138" t="s">
        <v>669</v>
      </c>
      <c r="AE120" s="138" t="s">
        <v>669</v>
      </c>
      <c r="AF120" s="140" t="s">
        <v>586</v>
      </c>
      <c r="AG120" s="118" t="s">
        <v>670</v>
      </c>
      <c r="AH120" s="118" t="s">
        <v>670</v>
      </c>
    </row>
    <row r="121" spans="2:34" x14ac:dyDescent="0.3">
      <c r="B121" s="123" t="s">
        <v>671</v>
      </c>
      <c r="C121" s="123"/>
      <c r="D121" s="120" t="s">
        <v>672</v>
      </c>
      <c r="E121" s="121">
        <v>1107</v>
      </c>
      <c r="F121" s="141">
        <f>R121</f>
        <v>60.682295999999994</v>
      </c>
      <c r="G121" s="123"/>
      <c r="H121" s="123"/>
      <c r="I121" s="120">
        <v>1.5</v>
      </c>
      <c r="J121" s="124">
        <f>I121+I122</f>
        <v>1.8337526280000001</v>
      </c>
      <c r="K121" s="123">
        <v>1.5</v>
      </c>
      <c r="L121" s="125">
        <v>10</v>
      </c>
      <c r="M121" s="142">
        <f>L121*25.4</f>
        <v>254</v>
      </c>
      <c r="N121" s="142">
        <f t="shared" ref="N121:N133" si="20">M121/2 /1000</f>
        <v>0.127</v>
      </c>
      <c r="O121" s="125">
        <v>2000</v>
      </c>
      <c r="P121" s="141">
        <f t="shared" ref="P121:P133" si="21">O121/60</f>
        <v>33.333333333333336</v>
      </c>
      <c r="Q121" s="143">
        <f>1.3+1.1025+1.2125+4.2+3.25+1.1257+(2.7*2)+0.91</f>
        <v>18.500699999999998</v>
      </c>
      <c r="R121" s="122">
        <f>Q121*3.28</f>
        <v>60.682295999999994</v>
      </c>
      <c r="S121" s="120">
        <f>0.33*12</f>
        <v>3.96</v>
      </c>
      <c r="T121" s="122">
        <f>(1*L121)/S121</f>
        <v>2.5252525252525251</v>
      </c>
      <c r="U121" s="122">
        <f>T121*3.28</f>
        <v>8.282828282828282</v>
      </c>
      <c r="V121" s="123"/>
      <c r="W121" s="125">
        <v>0.55000000000000004</v>
      </c>
      <c r="X121" s="142">
        <f>(W121*F121)/100</f>
        <v>0.333752628</v>
      </c>
      <c r="Y121" s="119">
        <f>6*M121/1000</f>
        <v>1.524</v>
      </c>
      <c r="Z121" s="123">
        <v>10</v>
      </c>
      <c r="AA121" s="144">
        <f>(Z121-L121)/L121*100</f>
        <v>0</v>
      </c>
      <c r="AB121" s="123">
        <f>ABS((Z121-L121)/L121*100)</f>
        <v>0</v>
      </c>
      <c r="AC121" s="123">
        <v>1107</v>
      </c>
      <c r="AD121" s="123">
        <f>(AC121-E121)/E121*100</f>
        <v>0</v>
      </c>
      <c r="AE121" s="123">
        <f>ABS((AC121-E121)/E121*100)</f>
        <v>0</v>
      </c>
      <c r="AF121" s="112">
        <v>34.795000000000002</v>
      </c>
      <c r="AG121" s="112">
        <f>(AF121-P121)/P121*100</f>
        <v>4.384999999999998</v>
      </c>
      <c r="AH121" s="112">
        <f>ABS((AF121-P121)/P121*100)</f>
        <v>4.384999999999998</v>
      </c>
    </row>
    <row r="122" spans="2:34" x14ac:dyDescent="0.3">
      <c r="B122" s="123"/>
      <c r="C122" s="123"/>
      <c r="D122" s="123"/>
      <c r="E122" s="123"/>
      <c r="F122" s="142"/>
      <c r="G122" s="123"/>
      <c r="H122" s="123"/>
      <c r="I122" s="123">
        <f>X121</f>
        <v>0.333752628</v>
      </c>
      <c r="J122" s="123"/>
      <c r="K122" s="123"/>
      <c r="L122" s="123"/>
      <c r="M122" s="142"/>
      <c r="N122" s="142">
        <f t="shared" si="20"/>
        <v>0</v>
      </c>
      <c r="O122" s="123"/>
      <c r="P122" s="141">
        <f t="shared" si="21"/>
        <v>0</v>
      </c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44"/>
      <c r="AB122" s="123"/>
      <c r="AC122" s="123"/>
      <c r="AD122" s="123"/>
      <c r="AE122" s="123"/>
    </row>
    <row r="123" spans="2:34" x14ac:dyDescent="0.3">
      <c r="B123" s="123" t="s">
        <v>427</v>
      </c>
      <c r="C123" s="123"/>
      <c r="D123" s="120" t="s">
        <v>673</v>
      </c>
      <c r="E123" s="121">
        <f>86+106+88+126+240</f>
        <v>646</v>
      </c>
      <c r="F123" s="141">
        <f t="shared" ref="F123:F133" si="22">R123</f>
        <v>18.564799999999998</v>
      </c>
      <c r="G123" s="123"/>
      <c r="H123" s="123"/>
      <c r="I123" s="120">
        <f t="shared" ref="I123:I133" si="23">G123-H123</f>
        <v>0</v>
      </c>
      <c r="J123" s="124">
        <f>J121-I123</f>
        <v>1.8337526280000001</v>
      </c>
      <c r="K123" s="123">
        <v>1.5</v>
      </c>
      <c r="L123" s="125">
        <v>9</v>
      </c>
      <c r="M123" s="142">
        <f t="shared" ref="M123:M133" si="24">L123*25.4</f>
        <v>228.6</v>
      </c>
      <c r="N123" s="142">
        <f t="shared" si="20"/>
        <v>0.1143</v>
      </c>
      <c r="O123" s="125">
        <v>1500</v>
      </c>
      <c r="P123" s="141">
        <f t="shared" si="21"/>
        <v>25</v>
      </c>
      <c r="Q123" s="125">
        <f>2.4+0.46+2.8</f>
        <v>5.66</v>
      </c>
      <c r="R123" s="122">
        <f t="shared" ref="R123:R133" si="25">Q123*3.28</f>
        <v>18.564799999999998</v>
      </c>
      <c r="S123" s="120">
        <f t="shared" ref="S123:S133" si="26">0.33*12</f>
        <v>3.96</v>
      </c>
      <c r="T123" s="122">
        <f t="shared" ref="T123:T133" si="27">(1*L123)/S123</f>
        <v>2.2727272727272729</v>
      </c>
      <c r="U123" s="122">
        <f t="shared" ref="U123:U133" si="28">T123*3.28</f>
        <v>7.454545454545455</v>
      </c>
      <c r="V123" s="123"/>
      <c r="W123" s="119">
        <v>1.5</v>
      </c>
      <c r="X123" s="142">
        <f t="shared" ref="X123:X133" si="29">(W123*F123)/100</f>
        <v>0.278472</v>
      </c>
      <c r="Y123" s="119">
        <f t="shared" ref="Y123:Y133" si="30">6*M123/1000</f>
        <v>1.3715999999999999</v>
      </c>
      <c r="Z123" s="123">
        <v>10</v>
      </c>
      <c r="AA123" s="144">
        <f t="shared" ref="AA123:AA133" si="31">(Z123-L123)/L123*100</f>
        <v>11.111111111111111</v>
      </c>
      <c r="AB123" s="123">
        <f t="shared" ref="AB123:AB133" si="32">ABS((Z123-L123)/L123*100)</f>
        <v>11.111111111111111</v>
      </c>
      <c r="AC123" s="123">
        <v>646</v>
      </c>
      <c r="AD123" s="123">
        <f t="shared" ref="AD123:AD133" si="33">(AC123-E123)/E123*100</f>
        <v>0</v>
      </c>
      <c r="AE123" s="123">
        <f t="shared" ref="AE123:AE133" si="34">ABS((AC123-E123)/E123*100)</f>
        <v>0</v>
      </c>
      <c r="AF123" s="112">
        <v>20.321000000000002</v>
      </c>
      <c r="AG123" s="112">
        <f>(AF123-P123)/P123*100</f>
        <v>-18.715999999999994</v>
      </c>
      <c r="AH123" s="112">
        <f>ABS((AF123-P123)/P123*100)</f>
        <v>18.715999999999994</v>
      </c>
    </row>
    <row r="124" spans="2:34" x14ac:dyDescent="0.3">
      <c r="B124" s="123" t="s">
        <v>427</v>
      </c>
      <c r="C124" s="123"/>
      <c r="D124" s="120" t="s">
        <v>674</v>
      </c>
      <c r="E124" s="120">
        <v>240</v>
      </c>
      <c r="F124" s="141">
        <f t="shared" si="22"/>
        <v>2.952</v>
      </c>
      <c r="G124" s="123"/>
      <c r="H124" s="123"/>
      <c r="I124" s="120">
        <f t="shared" si="23"/>
        <v>0</v>
      </c>
      <c r="J124" s="145"/>
      <c r="K124" s="123">
        <v>1.5</v>
      </c>
      <c r="L124" s="125">
        <v>6</v>
      </c>
      <c r="M124" s="142">
        <f t="shared" si="24"/>
        <v>152.39999999999998</v>
      </c>
      <c r="N124" s="142">
        <f t="shared" si="20"/>
        <v>7.619999999999999E-2</v>
      </c>
      <c r="O124" s="125">
        <v>1200</v>
      </c>
      <c r="P124" s="141">
        <f t="shared" si="21"/>
        <v>20</v>
      </c>
      <c r="Q124" s="125">
        <v>0.9</v>
      </c>
      <c r="R124" s="122">
        <f t="shared" si="25"/>
        <v>2.952</v>
      </c>
      <c r="S124" s="120">
        <f t="shared" si="26"/>
        <v>3.96</v>
      </c>
      <c r="T124" s="122">
        <f t="shared" si="27"/>
        <v>1.5151515151515151</v>
      </c>
      <c r="U124" s="122">
        <f t="shared" si="28"/>
        <v>4.9696969696969697</v>
      </c>
      <c r="V124" s="123"/>
      <c r="W124" s="119">
        <v>1.5</v>
      </c>
      <c r="X124" s="142">
        <f t="shared" si="29"/>
        <v>4.428E-2</v>
      </c>
      <c r="Y124" s="119">
        <f t="shared" si="30"/>
        <v>0.91439999999999988</v>
      </c>
      <c r="Z124" s="123">
        <v>4</v>
      </c>
      <c r="AA124" s="144">
        <f t="shared" si="31"/>
        <v>-33.333333333333329</v>
      </c>
      <c r="AB124" s="123">
        <f t="shared" si="32"/>
        <v>33.333333333333329</v>
      </c>
      <c r="AC124" s="123">
        <v>248</v>
      </c>
      <c r="AD124" s="123">
        <f t="shared" si="33"/>
        <v>3.3333333333333335</v>
      </c>
      <c r="AE124" s="123">
        <f t="shared" si="34"/>
        <v>3.3333333333333335</v>
      </c>
      <c r="AF124" s="112">
        <v>48.448</v>
      </c>
      <c r="AG124" s="112">
        <f>(AF124-P124)/P124*100</f>
        <v>142.24</v>
      </c>
      <c r="AH124" s="112">
        <f>ABS((AF124-P124)/P124*100)</f>
        <v>142.24</v>
      </c>
    </row>
    <row r="125" spans="2:34" x14ac:dyDescent="0.3">
      <c r="B125" s="123" t="s">
        <v>427</v>
      </c>
      <c r="C125" s="123" t="s">
        <v>659</v>
      </c>
      <c r="D125" s="120" t="s">
        <v>675</v>
      </c>
      <c r="E125" s="121">
        <v>120</v>
      </c>
      <c r="F125" s="141">
        <f t="shared" si="22"/>
        <v>2.6240000000000001</v>
      </c>
      <c r="G125" s="123"/>
      <c r="H125" s="123"/>
      <c r="I125" s="120">
        <f t="shared" si="23"/>
        <v>0</v>
      </c>
      <c r="J125" s="146"/>
      <c r="K125" s="123">
        <v>1.5</v>
      </c>
      <c r="L125" s="125">
        <v>4</v>
      </c>
      <c r="M125" s="142">
        <f t="shared" si="24"/>
        <v>101.6</v>
      </c>
      <c r="N125" s="142">
        <f t="shared" si="20"/>
        <v>5.0799999999999998E-2</v>
      </c>
      <c r="O125" s="139"/>
      <c r="P125" s="141">
        <f t="shared" si="21"/>
        <v>0</v>
      </c>
      <c r="Q125" s="125">
        <v>0.8</v>
      </c>
      <c r="R125" s="122">
        <f t="shared" si="25"/>
        <v>2.6240000000000001</v>
      </c>
      <c r="S125" s="120">
        <f t="shared" si="26"/>
        <v>3.96</v>
      </c>
      <c r="T125" s="122">
        <f t="shared" si="27"/>
        <v>1.0101010101010102</v>
      </c>
      <c r="U125" s="122">
        <f t="shared" si="28"/>
        <v>3.3131313131313131</v>
      </c>
      <c r="V125" s="123"/>
      <c r="W125" s="119">
        <v>1.5</v>
      </c>
      <c r="X125" s="142">
        <f t="shared" si="29"/>
        <v>3.9359999999999999E-2</v>
      </c>
      <c r="Y125" s="119">
        <f t="shared" si="30"/>
        <v>0.60959999999999992</v>
      </c>
      <c r="Z125" s="123">
        <v>4</v>
      </c>
      <c r="AA125" s="144">
        <f t="shared" si="31"/>
        <v>0</v>
      </c>
      <c r="AB125" s="123">
        <f t="shared" si="32"/>
        <v>0</v>
      </c>
      <c r="AC125" s="123">
        <v>124</v>
      </c>
      <c r="AD125" s="123">
        <f t="shared" si="33"/>
        <v>3.3333333333333335</v>
      </c>
      <c r="AE125" s="123">
        <f t="shared" si="34"/>
        <v>3.3333333333333335</v>
      </c>
    </row>
    <row r="126" spans="2:34" x14ac:dyDescent="0.3">
      <c r="B126" s="123" t="s">
        <v>427</v>
      </c>
      <c r="C126" s="123" t="s">
        <v>659</v>
      </c>
      <c r="D126" s="120" t="s">
        <v>676</v>
      </c>
      <c r="E126" s="121">
        <v>120</v>
      </c>
      <c r="F126" s="141">
        <f t="shared" si="22"/>
        <v>2.6240000000000001</v>
      </c>
      <c r="G126" s="123"/>
      <c r="H126" s="123"/>
      <c r="I126" s="120">
        <f t="shared" si="23"/>
        <v>0</v>
      </c>
      <c r="J126" s="145"/>
      <c r="K126" s="123">
        <v>1.5</v>
      </c>
      <c r="L126" s="125">
        <v>4</v>
      </c>
      <c r="M126" s="142">
        <f t="shared" si="24"/>
        <v>101.6</v>
      </c>
      <c r="N126" s="142">
        <f t="shared" si="20"/>
        <v>5.0799999999999998E-2</v>
      </c>
      <c r="O126" s="139"/>
      <c r="P126" s="141">
        <f t="shared" si="21"/>
        <v>0</v>
      </c>
      <c r="Q126" s="125">
        <v>0.8</v>
      </c>
      <c r="R126" s="122">
        <f t="shared" si="25"/>
        <v>2.6240000000000001</v>
      </c>
      <c r="S126" s="120">
        <f t="shared" si="26"/>
        <v>3.96</v>
      </c>
      <c r="T126" s="122">
        <f t="shared" si="27"/>
        <v>1.0101010101010102</v>
      </c>
      <c r="U126" s="122">
        <f t="shared" si="28"/>
        <v>3.3131313131313131</v>
      </c>
      <c r="V126" s="123"/>
      <c r="W126" s="119">
        <v>1.5</v>
      </c>
      <c r="X126" s="142">
        <f t="shared" si="29"/>
        <v>3.9359999999999999E-2</v>
      </c>
      <c r="Y126" s="119">
        <f t="shared" si="30"/>
        <v>0.60959999999999992</v>
      </c>
      <c r="Z126" s="123">
        <v>4</v>
      </c>
      <c r="AA126" s="144">
        <f t="shared" si="31"/>
        <v>0</v>
      </c>
      <c r="AB126" s="123">
        <f t="shared" si="32"/>
        <v>0</v>
      </c>
      <c r="AC126" s="123">
        <v>124</v>
      </c>
      <c r="AD126" s="123">
        <f t="shared" si="33"/>
        <v>3.3333333333333335</v>
      </c>
      <c r="AE126" s="123">
        <f t="shared" si="34"/>
        <v>3.3333333333333335</v>
      </c>
    </row>
    <row r="127" spans="2:34" x14ac:dyDescent="0.3">
      <c r="B127" s="123" t="s">
        <v>427</v>
      </c>
      <c r="C127" s="123"/>
      <c r="D127" s="120" t="s">
        <v>677</v>
      </c>
      <c r="E127" s="121">
        <f>86+106+88+126</f>
        <v>406</v>
      </c>
      <c r="F127" s="141">
        <f t="shared" si="22"/>
        <v>21.155999999999999</v>
      </c>
      <c r="G127" s="123"/>
      <c r="H127" s="123"/>
      <c r="I127" s="120">
        <f t="shared" si="23"/>
        <v>0</v>
      </c>
      <c r="J127" s="146">
        <f>J125-I127</f>
        <v>0</v>
      </c>
      <c r="K127" s="123">
        <v>1.5</v>
      </c>
      <c r="L127" s="125">
        <v>8</v>
      </c>
      <c r="M127" s="142">
        <f t="shared" si="24"/>
        <v>203.2</v>
      </c>
      <c r="N127" s="142">
        <f t="shared" si="20"/>
        <v>0.1016</v>
      </c>
      <c r="O127" s="125">
        <v>1200</v>
      </c>
      <c r="P127" s="141">
        <f t="shared" si="21"/>
        <v>20</v>
      </c>
      <c r="Q127" s="125">
        <v>6.45</v>
      </c>
      <c r="R127" s="122">
        <f t="shared" si="25"/>
        <v>21.155999999999999</v>
      </c>
      <c r="S127" s="120">
        <f t="shared" si="26"/>
        <v>3.96</v>
      </c>
      <c r="T127" s="122">
        <f t="shared" si="27"/>
        <v>2.0202020202020203</v>
      </c>
      <c r="U127" s="122">
        <f t="shared" si="28"/>
        <v>6.6262626262626263</v>
      </c>
      <c r="V127" s="123"/>
      <c r="W127" s="119">
        <v>1.5</v>
      </c>
      <c r="X127" s="142">
        <f t="shared" si="29"/>
        <v>0.31733999999999996</v>
      </c>
      <c r="Y127" s="119">
        <f t="shared" si="30"/>
        <v>1.2191999999999998</v>
      </c>
      <c r="Z127" s="123">
        <v>8</v>
      </c>
      <c r="AA127" s="144">
        <f t="shared" si="31"/>
        <v>0</v>
      </c>
      <c r="AB127" s="123">
        <f t="shared" si="32"/>
        <v>0</v>
      </c>
      <c r="AC127" s="123">
        <v>397</v>
      </c>
      <c r="AD127" s="123">
        <f t="shared" si="33"/>
        <v>-2.2167487684729066</v>
      </c>
      <c r="AE127" s="123">
        <f t="shared" si="34"/>
        <v>2.2167487684729066</v>
      </c>
      <c r="AF127" s="112">
        <v>19.716000000000001</v>
      </c>
      <c r="AG127" s="112">
        <f>(AF127-P127)/P127*100</f>
        <v>-1.4199999999999946</v>
      </c>
      <c r="AH127" s="112">
        <f>ABS((AF127-P127)/P127*100)</f>
        <v>1.4199999999999946</v>
      </c>
    </row>
    <row r="128" spans="2:34" x14ac:dyDescent="0.3">
      <c r="B128" s="123" t="s">
        <v>427</v>
      </c>
      <c r="C128" s="123" t="s">
        <v>69</v>
      </c>
      <c r="D128" s="120" t="s">
        <v>678</v>
      </c>
      <c r="E128" s="121">
        <v>126</v>
      </c>
      <c r="F128" s="141">
        <f t="shared" si="22"/>
        <v>3.9359999999999995</v>
      </c>
      <c r="G128" s="123"/>
      <c r="H128" s="123"/>
      <c r="I128" s="120">
        <f t="shared" si="23"/>
        <v>0</v>
      </c>
      <c r="J128" s="145"/>
      <c r="K128" s="123">
        <v>1.5</v>
      </c>
      <c r="L128" s="125">
        <v>4</v>
      </c>
      <c r="M128" s="142">
        <f t="shared" si="24"/>
        <v>101.6</v>
      </c>
      <c r="N128" s="142">
        <f t="shared" si="20"/>
        <v>5.0799999999999998E-2</v>
      </c>
      <c r="O128" s="139"/>
      <c r="P128" s="141">
        <f t="shared" si="21"/>
        <v>0</v>
      </c>
      <c r="Q128" s="125">
        <v>1.2</v>
      </c>
      <c r="R128" s="122">
        <f t="shared" si="25"/>
        <v>3.9359999999999995</v>
      </c>
      <c r="S128" s="120">
        <f t="shared" si="26"/>
        <v>3.96</v>
      </c>
      <c r="T128" s="122">
        <f t="shared" si="27"/>
        <v>1.0101010101010102</v>
      </c>
      <c r="U128" s="122">
        <f t="shared" si="28"/>
        <v>3.3131313131313131</v>
      </c>
      <c r="V128" s="123"/>
      <c r="W128" s="119">
        <v>1.5</v>
      </c>
      <c r="X128" s="142">
        <f t="shared" si="29"/>
        <v>5.9039999999999988E-2</v>
      </c>
      <c r="Y128" s="119">
        <f t="shared" si="30"/>
        <v>0.60959999999999992</v>
      </c>
      <c r="Z128" s="123">
        <v>3</v>
      </c>
      <c r="AA128" s="144">
        <f t="shared" si="31"/>
        <v>-25</v>
      </c>
      <c r="AB128" s="123">
        <f t="shared" si="32"/>
        <v>25</v>
      </c>
      <c r="AC128" s="123">
        <v>132</v>
      </c>
      <c r="AD128" s="123">
        <f t="shared" si="33"/>
        <v>4.7619047619047619</v>
      </c>
      <c r="AE128" s="123">
        <f t="shared" si="34"/>
        <v>4.7619047619047619</v>
      </c>
    </row>
    <row r="129" spans="2:34" x14ac:dyDescent="0.3">
      <c r="B129" s="123" t="s">
        <v>427</v>
      </c>
      <c r="C129" s="123"/>
      <c r="D129" s="120" t="s">
        <v>679</v>
      </c>
      <c r="E129" s="121">
        <f>86+106+88</f>
        <v>280</v>
      </c>
      <c r="F129" s="141">
        <f t="shared" si="22"/>
        <v>7.2160000000000002</v>
      </c>
      <c r="G129" s="123"/>
      <c r="H129" s="123"/>
      <c r="I129" s="120">
        <f t="shared" si="23"/>
        <v>0</v>
      </c>
      <c r="J129" s="146">
        <f>J127-I129</f>
        <v>0</v>
      </c>
      <c r="K129" s="123">
        <v>1.5</v>
      </c>
      <c r="L129" s="125">
        <v>8</v>
      </c>
      <c r="M129" s="142">
        <f t="shared" si="24"/>
        <v>203.2</v>
      </c>
      <c r="N129" s="142">
        <f t="shared" si="20"/>
        <v>0.1016</v>
      </c>
      <c r="O129" s="119">
        <v>1000</v>
      </c>
      <c r="P129" s="141">
        <f t="shared" si="21"/>
        <v>16.666666666666668</v>
      </c>
      <c r="Q129" s="125">
        <v>2.2000000000000002</v>
      </c>
      <c r="R129" s="122">
        <f t="shared" si="25"/>
        <v>7.2160000000000002</v>
      </c>
      <c r="S129" s="120">
        <f t="shared" si="26"/>
        <v>3.96</v>
      </c>
      <c r="T129" s="122">
        <f t="shared" si="27"/>
        <v>2.0202020202020203</v>
      </c>
      <c r="U129" s="122">
        <f t="shared" si="28"/>
        <v>6.6262626262626263</v>
      </c>
      <c r="V129" s="123"/>
      <c r="W129" s="119">
        <v>1.5</v>
      </c>
      <c r="X129" s="142">
        <f t="shared" si="29"/>
        <v>0.10824</v>
      </c>
      <c r="Y129" s="119">
        <f t="shared" si="30"/>
        <v>1.2191999999999998</v>
      </c>
      <c r="Z129" s="123">
        <v>8</v>
      </c>
      <c r="AA129" s="144">
        <f t="shared" si="31"/>
        <v>0</v>
      </c>
      <c r="AB129" s="123">
        <f t="shared" si="32"/>
        <v>0</v>
      </c>
      <c r="AC129" s="123">
        <v>265</v>
      </c>
      <c r="AD129" s="123">
        <f t="shared" si="33"/>
        <v>-5.3571428571428568</v>
      </c>
      <c r="AE129" s="123">
        <f t="shared" si="34"/>
        <v>5.3571428571428568</v>
      </c>
      <c r="AF129" s="112">
        <v>13.145</v>
      </c>
      <c r="AG129" s="112">
        <f>(AF129-P129)/P129*100</f>
        <v>-21.130000000000006</v>
      </c>
      <c r="AH129" s="112">
        <f>ABS((AF129-P129)/P129*100)</f>
        <v>21.130000000000006</v>
      </c>
    </row>
    <row r="130" spans="2:34" x14ac:dyDescent="0.3">
      <c r="B130" s="123" t="s">
        <v>427</v>
      </c>
      <c r="C130" s="123" t="s">
        <v>70</v>
      </c>
      <c r="D130" s="120" t="s">
        <v>680</v>
      </c>
      <c r="E130" s="121">
        <v>88</v>
      </c>
      <c r="F130" s="141">
        <f t="shared" si="22"/>
        <v>2.6240000000000001</v>
      </c>
      <c r="G130" s="123"/>
      <c r="H130" s="123"/>
      <c r="I130" s="120">
        <f t="shared" si="23"/>
        <v>0</v>
      </c>
      <c r="J130" s="124">
        <f>J121-I130</f>
        <v>1.8337526280000001</v>
      </c>
      <c r="K130" s="123">
        <v>1.5</v>
      </c>
      <c r="L130" s="125">
        <v>3</v>
      </c>
      <c r="M130" s="142">
        <f t="shared" si="24"/>
        <v>76.199999999999989</v>
      </c>
      <c r="N130" s="142">
        <f t="shared" si="20"/>
        <v>3.8099999999999995E-2</v>
      </c>
      <c r="O130" s="139"/>
      <c r="P130" s="141">
        <f t="shared" si="21"/>
        <v>0</v>
      </c>
      <c r="Q130" s="125">
        <v>0.8</v>
      </c>
      <c r="R130" s="122">
        <f t="shared" si="25"/>
        <v>2.6240000000000001</v>
      </c>
      <c r="S130" s="120">
        <f t="shared" si="26"/>
        <v>3.96</v>
      </c>
      <c r="T130" s="122">
        <f t="shared" si="27"/>
        <v>0.75757575757575757</v>
      </c>
      <c r="U130" s="122">
        <f t="shared" si="28"/>
        <v>2.4848484848484849</v>
      </c>
      <c r="V130" s="123"/>
      <c r="W130" s="119">
        <v>1.5</v>
      </c>
      <c r="X130" s="142">
        <f t="shared" si="29"/>
        <v>3.9359999999999999E-2</v>
      </c>
      <c r="Y130" s="119">
        <f t="shared" si="30"/>
        <v>0.45719999999999994</v>
      </c>
      <c r="Z130" s="123">
        <v>3</v>
      </c>
      <c r="AA130" s="144">
        <f t="shared" si="31"/>
        <v>0</v>
      </c>
      <c r="AB130" s="123">
        <f t="shared" si="32"/>
        <v>0</v>
      </c>
      <c r="AC130" s="123">
        <v>83.98</v>
      </c>
      <c r="AD130" s="123">
        <f t="shared" si="33"/>
        <v>-4.5681818181818139</v>
      </c>
      <c r="AE130" s="123">
        <f t="shared" si="34"/>
        <v>4.5681818181818139</v>
      </c>
    </row>
    <row r="131" spans="2:34" x14ac:dyDescent="0.3">
      <c r="B131" s="123" t="s">
        <v>427</v>
      </c>
      <c r="C131" s="123"/>
      <c r="D131" s="120" t="s">
        <v>681</v>
      </c>
      <c r="E131" s="121">
        <f>86+106</f>
        <v>192</v>
      </c>
      <c r="F131" s="141">
        <f t="shared" si="22"/>
        <v>3.9359999999999995</v>
      </c>
      <c r="G131" s="123"/>
      <c r="H131" s="123"/>
      <c r="I131" s="120">
        <f t="shared" si="23"/>
        <v>0</v>
      </c>
      <c r="J131" s="145"/>
      <c r="K131" s="123">
        <v>1.5</v>
      </c>
      <c r="L131" s="125">
        <v>7</v>
      </c>
      <c r="M131" s="142">
        <f t="shared" si="24"/>
        <v>177.79999999999998</v>
      </c>
      <c r="N131" s="142">
        <f t="shared" si="20"/>
        <v>8.8899999999999993E-2</v>
      </c>
      <c r="O131" s="119">
        <v>1000</v>
      </c>
      <c r="P131" s="141">
        <f t="shared" si="21"/>
        <v>16.666666666666668</v>
      </c>
      <c r="Q131" s="125">
        <v>1.2</v>
      </c>
      <c r="R131" s="122">
        <f t="shared" si="25"/>
        <v>3.9359999999999995</v>
      </c>
      <c r="S131" s="120">
        <f t="shared" si="26"/>
        <v>3.96</v>
      </c>
      <c r="T131" s="122">
        <f t="shared" si="27"/>
        <v>1.7676767676767677</v>
      </c>
      <c r="U131" s="122">
        <f t="shared" si="28"/>
        <v>5.7979797979797976</v>
      </c>
      <c r="V131" s="123"/>
      <c r="W131" s="119">
        <v>1.5</v>
      </c>
      <c r="X131" s="142">
        <f t="shared" si="29"/>
        <v>5.9039999999999988E-2</v>
      </c>
      <c r="Y131" s="119">
        <f t="shared" si="30"/>
        <v>1.0668</v>
      </c>
      <c r="Z131" s="123">
        <v>8</v>
      </c>
      <c r="AA131" s="144">
        <f t="shared" si="31"/>
        <v>14.285714285714285</v>
      </c>
      <c r="AB131" s="123">
        <f t="shared" si="32"/>
        <v>14.285714285714285</v>
      </c>
      <c r="AC131" s="123">
        <v>181</v>
      </c>
      <c r="AD131" s="123">
        <f t="shared" si="33"/>
        <v>-5.7291666666666661</v>
      </c>
      <c r="AE131" s="123">
        <f t="shared" si="34"/>
        <v>5.7291666666666661</v>
      </c>
      <c r="AG131" s="112">
        <f>(AF131-P131)/P131*100</f>
        <v>-100</v>
      </c>
      <c r="AH131" s="112">
        <f>ABS((AF131-P131)/P131*100)</f>
        <v>100</v>
      </c>
    </row>
    <row r="132" spans="2:34" x14ac:dyDescent="0.3">
      <c r="B132" s="123" t="s">
        <v>427</v>
      </c>
      <c r="C132" s="123" t="s">
        <v>67</v>
      </c>
      <c r="D132" s="120" t="s">
        <v>682</v>
      </c>
      <c r="E132" s="121">
        <v>106</v>
      </c>
      <c r="F132" s="141">
        <f t="shared" si="22"/>
        <v>2.6240000000000001</v>
      </c>
      <c r="G132" s="123"/>
      <c r="H132" s="123"/>
      <c r="I132" s="120">
        <f t="shared" si="23"/>
        <v>0</v>
      </c>
      <c r="J132" s="124">
        <f>J123-I132</f>
        <v>1.8337526280000001</v>
      </c>
      <c r="K132" s="123">
        <v>1.5</v>
      </c>
      <c r="L132" s="125">
        <v>4</v>
      </c>
      <c r="M132" s="142">
        <f t="shared" si="24"/>
        <v>101.6</v>
      </c>
      <c r="N132" s="142">
        <f t="shared" si="20"/>
        <v>5.0799999999999998E-2</v>
      </c>
      <c r="O132" s="139"/>
      <c r="P132" s="141">
        <f t="shared" si="21"/>
        <v>0</v>
      </c>
      <c r="Q132" s="125">
        <v>0.8</v>
      </c>
      <c r="R132" s="122">
        <f t="shared" si="25"/>
        <v>2.6240000000000001</v>
      </c>
      <c r="S132" s="120">
        <f t="shared" si="26"/>
        <v>3.96</v>
      </c>
      <c r="T132" s="122">
        <f t="shared" si="27"/>
        <v>1.0101010101010102</v>
      </c>
      <c r="U132" s="122">
        <f t="shared" si="28"/>
        <v>3.3131313131313131</v>
      </c>
      <c r="V132" s="123"/>
      <c r="W132" s="119">
        <v>1.5</v>
      </c>
      <c r="X132" s="142">
        <f t="shared" si="29"/>
        <v>3.9359999999999999E-2</v>
      </c>
      <c r="Y132" s="119">
        <f t="shared" si="30"/>
        <v>0.60959999999999992</v>
      </c>
      <c r="Z132" s="123">
        <v>3.5</v>
      </c>
      <c r="AA132" s="144">
        <f t="shared" si="31"/>
        <v>-12.5</v>
      </c>
      <c r="AB132" s="123">
        <f t="shared" si="32"/>
        <v>12.5</v>
      </c>
      <c r="AC132" s="123">
        <v>113</v>
      </c>
      <c r="AD132" s="123">
        <f t="shared" si="33"/>
        <v>6.6037735849056602</v>
      </c>
      <c r="AE132" s="123">
        <f t="shared" si="34"/>
        <v>6.6037735849056602</v>
      </c>
    </row>
    <row r="133" spans="2:34" x14ac:dyDescent="0.3">
      <c r="B133" s="123" t="s">
        <v>427</v>
      </c>
      <c r="C133" s="123" t="s">
        <v>68</v>
      </c>
      <c r="D133" s="120" t="s">
        <v>683</v>
      </c>
      <c r="E133" s="121">
        <v>88</v>
      </c>
      <c r="F133" s="141">
        <f t="shared" si="22"/>
        <v>12.135999999999999</v>
      </c>
      <c r="G133" s="123"/>
      <c r="H133" s="123"/>
      <c r="I133" s="120">
        <f t="shared" si="23"/>
        <v>0</v>
      </c>
      <c r="J133" s="145"/>
      <c r="K133" s="123">
        <v>1.5</v>
      </c>
      <c r="L133" s="125">
        <v>3</v>
      </c>
      <c r="M133" s="142">
        <f t="shared" si="24"/>
        <v>76.199999999999989</v>
      </c>
      <c r="N133" s="142">
        <f t="shared" si="20"/>
        <v>3.8099999999999995E-2</v>
      </c>
      <c r="O133" s="139"/>
      <c r="P133" s="141">
        <f t="shared" si="21"/>
        <v>0</v>
      </c>
      <c r="Q133" s="125">
        <f>0.8+2.9</f>
        <v>3.7</v>
      </c>
      <c r="R133" s="122">
        <f t="shared" si="25"/>
        <v>12.135999999999999</v>
      </c>
      <c r="S133" s="120">
        <f t="shared" si="26"/>
        <v>3.96</v>
      </c>
      <c r="T133" s="122">
        <f t="shared" si="27"/>
        <v>0.75757575757575757</v>
      </c>
      <c r="U133" s="122">
        <f t="shared" si="28"/>
        <v>2.4848484848484849</v>
      </c>
      <c r="V133" s="123"/>
      <c r="W133" s="119">
        <v>1.5</v>
      </c>
      <c r="X133" s="142">
        <f t="shared" si="29"/>
        <v>0.18204000000000001</v>
      </c>
      <c r="Y133" s="119">
        <f t="shared" si="30"/>
        <v>0.45719999999999994</v>
      </c>
      <c r="Z133" s="123">
        <v>3</v>
      </c>
      <c r="AA133" s="144">
        <f t="shared" si="31"/>
        <v>0</v>
      </c>
      <c r="AB133" s="123">
        <f t="shared" si="32"/>
        <v>0</v>
      </c>
      <c r="AC133" s="123">
        <v>67.7</v>
      </c>
      <c r="AD133" s="123">
        <f t="shared" si="33"/>
        <v>-23.068181818181817</v>
      </c>
      <c r="AE133" s="123">
        <f t="shared" si="34"/>
        <v>23.068181818181817</v>
      </c>
    </row>
    <row r="134" spans="2:34" x14ac:dyDescent="0.3">
      <c r="B134" s="123"/>
      <c r="C134" s="123"/>
      <c r="D134" s="123"/>
      <c r="E134" s="121"/>
      <c r="F134" s="141"/>
      <c r="G134" s="123"/>
      <c r="H134" s="123"/>
      <c r="I134" s="120"/>
      <c r="J134" s="145"/>
      <c r="K134" s="123"/>
      <c r="L134" s="125"/>
      <c r="M134" s="142"/>
      <c r="N134" s="142"/>
      <c r="O134" s="139"/>
      <c r="P134" s="141"/>
      <c r="Q134" s="125"/>
      <c r="R134" s="122"/>
      <c r="S134" s="120"/>
      <c r="T134" s="122"/>
      <c r="U134" s="122"/>
      <c r="V134" s="123"/>
      <c r="W134" s="119"/>
      <c r="X134" s="142"/>
      <c r="Y134" s="119"/>
      <c r="Z134" s="123"/>
      <c r="AA134" s="144"/>
      <c r="AB134" s="123"/>
      <c r="AC134" s="123"/>
      <c r="AD134" s="123"/>
      <c r="AE134" s="123"/>
    </row>
    <row r="135" spans="2:34" x14ac:dyDescent="0.3">
      <c r="B135" s="123"/>
      <c r="C135" s="123"/>
      <c r="D135" s="123"/>
      <c r="E135" s="123"/>
      <c r="F135" s="142"/>
      <c r="G135" s="123"/>
      <c r="H135" s="123"/>
      <c r="I135" s="123"/>
      <c r="J135" s="123"/>
      <c r="K135" s="123"/>
      <c r="L135" s="123"/>
      <c r="M135" s="142"/>
      <c r="N135" s="142">
        <f t="shared" ref="N135:N143" si="35">M135/2 /1000</f>
        <v>0</v>
      </c>
      <c r="O135" s="123"/>
      <c r="P135" s="142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44"/>
      <c r="AB135" s="123"/>
      <c r="AC135" s="123"/>
      <c r="AD135" s="123"/>
      <c r="AE135" s="123"/>
    </row>
    <row r="136" spans="2:34" x14ac:dyDescent="0.3">
      <c r="B136" s="123" t="s">
        <v>427</v>
      </c>
      <c r="C136" s="123"/>
      <c r="D136" s="120" t="s">
        <v>684</v>
      </c>
      <c r="E136" s="121">
        <f>99+64+130+50+118</f>
        <v>461</v>
      </c>
      <c r="F136" s="141">
        <f t="shared" ref="F136:F143" si="36">R136</f>
        <v>11.4472</v>
      </c>
      <c r="G136" s="123"/>
      <c r="H136" s="123"/>
      <c r="I136" s="120">
        <f t="shared" ref="I136:I143" si="37">G136-H136</f>
        <v>0</v>
      </c>
      <c r="J136" s="124">
        <f t="shared" ref="J136:J143" si="38">J127-I136</f>
        <v>0</v>
      </c>
      <c r="K136" s="123">
        <v>1.5</v>
      </c>
      <c r="L136" s="125">
        <v>8</v>
      </c>
      <c r="M136" s="142">
        <f t="shared" ref="M136:M143" si="39">L136*25.4</f>
        <v>203.2</v>
      </c>
      <c r="N136" s="142">
        <f t="shared" si="35"/>
        <v>0.1016</v>
      </c>
      <c r="O136" s="125">
        <v>1400</v>
      </c>
      <c r="P136" s="141">
        <f t="shared" ref="P136:P143" si="40">O136/60</f>
        <v>23.333333333333332</v>
      </c>
      <c r="Q136" s="125">
        <v>3.49</v>
      </c>
      <c r="R136" s="122">
        <f t="shared" ref="R136:R143" si="41">Q136*3.28</f>
        <v>11.4472</v>
      </c>
      <c r="S136" s="120">
        <f t="shared" ref="S136:S143" si="42">0.33*12</f>
        <v>3.96</v>
      </c>
      <c r="T136" s="122">
        <f t="shared" ref="T136:T143" si="43">(1*L136)/S136</f>
        <v>2.0202020202020203</v>
      </c>
      <c r="U136" s="122">
        <f t="shared" ref="U136:U143" si="44">T136*3.28</f>
        <v>6.6262626262626263</v>
      </c>
      <c r="V136" s="123"/>
      <c r="W136" s="119">
        <v>1.5</v>
      </c>
      <c r="X136" s="142">
        <f t="shared" ref="X136:X143" si="45">(W136*F136)/100</f>
        <v>0.171708</v>
      </c>
      <c r="Y136" s="119">
        <f t="shared" ref="Y136:Y143" si="46">6*M136/1000</f>
        <v>1.2191999999999998</v>
      </c>
      <c r="Z136" s="123">
        <v>8</v>
      </c>
      <c r="AA136" s="144">
        <f t="shared" ref="AA136:AA143" si="47">(Z136-L136)/L136*100</f>
        <v>0</v>
      </c>
      <c r="AB136" s="123">
        <f t="shared" ref="AB136:AB143" si="48">ABS((Z136-L136)/L136*100)</f>
        <v>0</v>
      </c>
      <c r="AC136" s="123">
        <v>461</v>
      </c>
      <c r="AD136" s="123">
        <f t="shared" ref="AD136:AD143" si="49">(AC136-E136)/E136*100</f>
        <v>0</v>
      </c>
      <c r="AE136" s="123">
        <f t="shared" ref="AE136:AE143" si="50">ABS((AC136-E136)/E136*100)</f>
        <v>0</v>
      </c>
      <c r="AG136" s="112">
        <f>(AF136-P136)/P136*100</f>
        <v>-100</v>
      </c>
      <c r="AH136" s="112">
        <f>ABS((AF136-P136)/P136*100)</f>
        <v>100</v>
      </c>
    </row>
    <row r="137" spans="2:34" x14ac:dyDescent="0.3">
      <c r="B137" s="123" t="s">
        <v>427</v>
      </c>
      <c r="C137" s="123" t="s">
        <v>62</v>
      </c>
      <c r="D137" s="120" t="s">
        <v>685</v>
      </c>
      <c r="E137" s="121">
        <v>130</v>
      </c>
      <c r="F137" s="141">
        <f t="shared" si="36"/>
        <v>3.9359999999999995</v>
      </c>
      <c r="G137" s="123"/>
      <c r="H137" s="123"/>
      <c r="I137" s="120">
        <f t="shared" si="37"/>
        <v>0</v>
      </c>
      <c r="J137" s="124">
        <f t="shared" si="38"/>
        <v>0</v>
      </c>
      <c r="K137" s="123">
        <v>1.5</v>
      </c>
      <c r="L137" s="125">
        <v>4</v>
      </c>
      <c r="M137" s="142">
        <f t="shared" si="39"/>
        <v>101.6</v>
      </c>
      <c r="N137" s="142">
        <f t="shared" si="35"/>
        <v>5.0799999999999998E-2</v>
      </c>
      <c r="O137" s="139"/>
      <c r="P137" s="141">
        <f t="shared" si="40"/>
        <v>0</v>
      </c>
      <c r="Q137" s="125">
        <v>1.2</v>
      </c>
      <c r="R137" s="122">
        <f t="shared" si="41"/>
        <v>3.9359999999999995</v>
      </c>
      <c r="S137" s="120">
        <f t="shared" si="42"/>
        <v>3.96</v>
      </c>
      <c r="T137" s="122">
        <f t="shared" si="43"/>
        <v>1.0101010101010102</v>
      </c>
      <c r="U137" s="122">
        <f t="shared" si="44"/>
        <v>3.3131313131313131</v>
      </c>
      <c r="V137" s="123"/>
      <c r="W137" s="119">
        <v>1.5</v>
      </c>
      <c r="X137" s="142">
        <f t="shared" si="45"/>
        <v>5.9039999999999988E-2</v>
      </c>
      <c r="Y137" s="119">
        <f t="shared" si="46"/>
        <v>0.60959999999999992</v>
      </c>
      <c r="Z137" s="123">
        <v>4</v>
      </c>
      <c r="AA137" s="144">
        <f t="shared" si="47"/>
        <v>0</v>
      </c>
      <c r="AB137" s="123">
        <f t="shared" si="48"/>
        <v>0</v>
      </c>
      <c r="AC137" s="123">
        <v>133</v>
      </c>
      <c r="AD137" s="123">
        <f t="shared" si="49"/>
        <v>2.3076923076923079</v>
      </c>
      <c r="AE137" s="123">
        <f t="shared" si="50"/>
        <v>2.3076923076923079</v>
      </c>
    </row>
    <row r="138" spans="2:34" x14ac:dyDescent="0.3">
      <c r="B138" s="123" t="s">
        <v>427</v>
      </c>
      <c r="C138" s="123"/>
      <c r="D138" s="120" t="s">
        <v>686</v>
      </c>
      <c r="E138" s="121">
        <f>99+64</f>
        <v>163</v>
      </c>
      <c r="F138" s="141">
        <f t="shared" si="36"/>
        <v>9.1839999999999993</v>
      </c>
      <c r="G138" s="123"/>
      <c r="H138" s="123"/>
      <c r="I138" s="120">
        <f t="shared" si="37"/>
        <v>0</v>
      </c>
      <c r="J138" s="124">
        <f t="shared" si="38"/>
        <v>0</v>
      </c>
      <c r="K138" s="123">
        <v>1.5</v>
      </c>
      <c r="L138" s="125">
        <v>6</v>
      </c>
      <c r="M138" s="142">
        <f t="shared" si="39"/>
        <v>152.39999999999998</v>
      </c>
      <c r="N138" s="142">
        <f t="shared" si="35"/>
        <v>7.619999999999999E-2</v>
      </c>
      <c r="O138" s="119">
        <v>1000</v>
      </c>
      <c r="P138" s="141">
        <f t="shared" si="40"/>
        <v>16.666666666666668</v>
      </c>
      <c r="Q138" s="125">
        <v>2.8</v>
      </c>
      <c r="R138" s="122">
        <f t="shared" si="41"/>
        <v>9.1839999999999993</v>
      </c>
      <c r="S138" s="120">
        <f t="shared" si="42"/>
        <v>3.96</v>
      </c>
      <c r="T138" s="122">
        <f t="shared" si="43"/>
        <v>1.5151515151515151</v>
      </c>
      <c r="U138" s="122">
        <f t="shared" si="44"/>
        <v>4.9696969696969697</v>
      </c>
      <c r="V138" s="123"/>
      <c r="W138" s="119">
        <v>1.5</v>
      </c>
      <c r="X138" s="142">
        <f t="shared" si="45"/>
        <v>0.13775999999999999</v>
      </c>
      <c r="Y138" s="119">
        <f t="shared" si="46"/>
        <v>0.91439999999999988</v>
      </c>
      <c r="Z138" s="123">
        <v>6</v>
      </c>
      <c r="AA138" s="144">
        <f t="shared" si="47"/>
        <v>0</v>
      </c>
      <c r="AB138" s="123">
        <f t="shared" si="48"/>
        <v>0</v>
      </c>
      <c r="AC138" s="123">
        <v>156</v>
      </c>
      <c r="AD138" s="123">
        <f t="shared" si="49"/>
        <v>-4.294478527607362</v>
      </c>
      <c r="AE138" s="123">
        <f t="shared" si="50"/>
        <v>4.294478527607362</v>
      </c>
      <c r="AG138" s="112">
        <f>(AF138-P138)/P138*100</f>
        <v>-100</v>
      </c>
      <c r="AH138" s="112">
        <f>ABS((AF138-P138)/P138*100)</f>
        <v>100</v>
      </c>
    </row>
    <row r="139" spans="2:34" x14ac:dyDescent="0.3">
      <c r="B139" s="123" t="s">
        <v>427</v>
      </c>
      <c r="C139" s="123" t="s">
        <v>63</v>
      </c>
      <c r="D139" s="120" t="s">
        <v>687</v>
      </c>
      <c r="E139" s="121">
        <v>64</v>
      </c>
      <c r="F139" s="141">
        <f t="shared" si="36"/>
        <v>3.9359999999999995</v>
      </c>
      <c r="G139" s="123"/>
      <c r="H139" s="123"/>
      <c r="I139" s="120">
        <f t="shared" si="37"/>
        <v>0</v>
      </c>
      <c r="J139" s="124">
        <f t="shared" si="38"/>
        <v>1.8337526280000001</v>
      </c>
      <c r="K139" s="123">
        <v>1.5</v>
      </c>
      <c r="L139" s="125">
        <v>3</v>
      </c>
      <c r="M139" s="142">
        <f t="shared" si="39"/>
        <v>76.199999999999989</v>
      </c>
      <c r="N139" s="142">
        <f t="shared" si="35"/>
        <v>3.8099999999999995E-2</v>
      </c>
      <c r="O139" s="139"/>
      <c r="P139" s="141">
        <f t="shared" si="40"/>
        <v>0</v>
      </c>
      <c r="Q139" s="125">
        <v>1.2</v>
      </c>
      <c r="R139" s="122">
        <f t="shared" si="41"/>
        <v>3.9359999999999995</v>
      </c>
      <c r="S139" s="120">
        <f t="shared" si="42"/>
        <v>3.96</v>
      </c>
      <c r="T139" s="122">
        <f t="shared" si="43"/>
        <v>0.75757575757575757</v>
      </c>
      <c r="U139" s="122">
        <f t="shared" si="44"/>
        <v>2.4848484848484849</v>
      </c>
      <c r="V139" s="123"/>
      <c r="W139" s="119">
        <v>1.5</v>
      </c>
      <c r="X139" s="142">
        <f t="shared" si="45"/>
        <v>5.9039999999999988E-2</v>
      </c>
      <c r="Y139" s="119">
        <f t="shared" si="46"/>
        <v>0.45719999999999994</v>
      </c>
      <c r="Z139" s="123">
        <v>3</v>
      </c>
      <c r="AA139" s="144">
        <f t="shared" si="47"/>
        <v>0</v>
      </c>
      <c r="AB139" s="123">
        <f t="shared" si="48"/>
        <v>0</v>
      </c>
      <c r="AC139" s="123">
        <v>61.25</v>
      </c>
      <c r="AD139" s="123">
        <f t="shared" si="49"/>
        <v>-4.296875</v>
      </c>
      <c r="AE139" s="123">
        <f t="shared" si="50"/>
        <v>4.296875</v>
      </c>
    </row>
    <row r="140" spans="2:34" x14ac:dyDescent="0.3">
      <c r="B140" s="123" t="s">
        <v>427</v>
      </c>
      <c r="C140" s="123" t="s">
        <v>64</v>
      </c>
      <c r="D140" s="120" t="s">
        <v>688</v>
      </c>
      <c r="E140" s="121">
        <v>99</v>
      </c>
      <c r="F140" s="141">
        <f t="shared" si="36"/>
        <v>13.776</v>
      </c>
      <c r="G140" s="123"/>
      <c r="H140" s="123"/>
      <c r="I140" s="120">
        <f t="shared" si="37"/>
        <v>0</v>
      </c>
      <c r="J140" s="124">
        <f t="shared" si="38"/>
        <v>0</v>
      </c>
      <c r="K140" s="123">
        <v>1.5</v>
      </c>
      <c r="L140" s="125">
        <v>4</v>
      </c>
      <c r="M140" s="142">
        <f t="shared" si="39"/>
        <v>101.6</v>
      </c>
      <c r="N140" s="142">
        <f t="shared" si="35"/>
        <v>5.0799999999999998E-2</v>
      </c>
      <c r="O140" s="139"/>
      <c r="P140" s="141">
        <f t="shared" si="40"/>
        <v>0</v>
      </c>
      <c r="Q140" s="125">
        <v>4.2</v>
      </c>
      <c r="R140" s="122">
        <f t="shared" si="41"/>
        <v>13.776</v>
      </c>
      <c r="S140" s="120">
        <f t="shared" si="42"/>
        <v>3.96</v>
      </c>
      <c r="T140" s="122">
        <f t="shared" si="43"/>
        <v>1.0101010101010102</v>
      </c>
      <c r="U140" s="122">
        <f t="shared" si="44"/>
        <v>3.3131313131313131</v>
      </c>
      <c r="V140" s="123"/>
      <c r="W140" s="119">
        <v>1.5</v>
      </c>
      <c r="X140" s="142">
        <f t="shared" si="45"/>
        <v>0.20664000000000002</v>
      </c>
      <c r="Y140" s="119">
        <f t="shared" si="46"/>
        <v>0.60959999999999992</v>
      </c>
      <c r="Z140" s="123">
        <v>4</v>
      </c>
      <c r="AA140" s="144">
        <f t="shared" si="47"/>
        <v>0</v>
      </c>
      <c r="AB140" s="123">
        <f t="shared" si="48"/>
        <v>0</v>
      </c>
      <c r="AC140" s="123">
        <v>95.21</v>
      </c>
      <c r="AD140" s="123">
        <f t="shared" si="49"/>
        <v>-3.8282828282828349</v>
      </c>
      <c r="AE140" s="123">
        <f t="shared" si="50"/>
        <v>3.8282828282828349</v>
      </c>
    </row>
    <row r="141" spans="2:34" x14ac:dyDescent="0.3">
      <c r="B141" s="123" t="s">
        <v>427</v>
      </c>
      <c r="C141" s="123"/>
      <c r="D141" s="120" t="s">
        <v>689</v>
      </c>
      <c r="E141" s="121">
        <f>50+118</f>
        <v>168</v>
      </c>
      <c r="F141" s="141">
        <f t="shared" si="36"/>
        <v>11.808</v>
      </c>
      <c r="G141" s="123"/>
      <c r="H141" s="123"/>
      <c r="I141" s="120">
        <f t="shared" si="37"/>
        <v>0</v>
      </c>
      <c r="J141" s="124">
        <f t="shared" si="38"/>
        <v>1.8337526280000001</v>
      </c>
      <c r="K141" s="123">
        <v>1.5</v>
      </c>
      <c r="L141" s="125">
        <v>6</v>
      </c>
      <c r="M141" s="142">
        <f t="shared" si="39"/>
        <v>152.39999999999998</v>
      </c>
      <c r="N141" s="142">
        <f t="shared" si="35"/>
        <v>7.619999999999999E-2</v>
      </c>
      <c r="O141" s="119">
        <v>1000</v>
      </c>
      <c r="P141" s="141">
        <f t="shared" si="40"/>
        <v>16.666666666666668</v>
      </c>
      <c r="Q141" s="125">
        <v>3.6</v>
      </c>
      <c r="R141" s="122">
        <f t="shared" si="41"/>
        <v>11.808</v>
      </c>
      <c r="S141" s="120">
        <f t="shared" si="42"/>
        <v>3.96</v>
      </c>
      <c r="T141" s="122">
        <f t="shared" si="43"/>
        <v>1.5151515151515151</v>
      </c>
      <c r="U141" s="122">
        <f t="shared" si="44"/>
        <v>4.9696969696969697</v>
      </c>
      <c r="V141" s="123"/>
      <c r="W141" s="119">
        <v>1.5</v>
      </c>
      <c r="X141" s="142">
        <f t="shared" si="45"/>
        <v>0.17712</v>
      </c>
      <c r="Y141" s="119">
        <f t="shared" si="46"/>
        <v>0.91439999999999988</v>
      </c>
      <c r="Z141" s="123">
        <v>6</v>
      </c>
      <c r="AA141" s="144">
        <f t="shared" si="47"/>
        <v>0</v>
      </c>
      <c r="AB141" s="123">
        <f t="shared" si="48"/>
        <v>0</v>
      </c>
      <c r="AC141" s="123">
        <v>171</v>
      </c>
      <c r="AD141" s="123">
        <f t="shared" si="49"/>
        <v>1.7857142857142856</v>
      </c>
      <c r="AE141" s="123">
        <f t="shared" si="50"/>
        <v>1.7857142857142856</v>
      </c>
      <c r="AG141" s="112">
        <f>(AF141-P141)/P141*100</f>
        <v>-100</v>
      </c>
      <c r="AH141" s="112">
        <f>ABS((AF141-P141)/P141*100)</f>
        <v>100</v>
      </c>
    </row>
    <row r="142" spans="2:34" x14ac:dyDescent="0.3">
      <c r="B142" s="123" t="s">
        <v>427</v>
      </c>
      <c r="C142" s="123" t="s">
        <v>657</v>
      </c>
      <c r="D142" s="120" t="s">
        <v>690</v>
      </c>
      <c r="E142" s="121">
        <v>50</v>
      </c>
      <c r="F142" s="141">
        <f t="shared" si="36"/>
        <v>3.9359999999999995</v>
      </c>
      <c r="G142" s="123"/>
      <c r="H142" s="123"/>
      <c r="I142" s="120">
        <f t="shared" si="37"/>
        <v>0</v>
      </c>
      <c r="J142" s="124">
        <f t="shared" si="38"/>
        <v>0</v>
      </c>
      <c r="K142" s="123">
        <v>1.5</v>
      </c>
      <c r="L142" s="125">
        <v>3</v>
      </c>
      <c r="M142" s="142">
        <f t="shared" si="39"/>
        <v>76.199999999999989</v>
      </c>
      <c r="N142" s="142">
        <f t="shared" si="35"/>
        <v>3.8099999999999995E-2</v>
      </c>
      <c r="O142" s="139"/>
      <c r="P142" s="141">
        <f t="shared" si="40"/>
        <v>0</v>
      </c>
      <c r="Q142" s="125">
        <v>1.2</v>
      </c>
      <c r="R142" s="122">
        <f t="shared" si="41"/>
        <v>3.9359999999999995</v>
      </c>
      <c r="S142" s="120">
        <f t="shared" si="42"/>
        <v>3.96</v>
      </c>
      <c r="T142" s="122">
        <f t="shared" si="43"/>
        <v>0.75757575757575757</v>
      </c>
      <c r="U142" s="122">
        <f t="shared" si="44"/>
        <v>2.4848484848484849</v>
      </c>
      <c r="V142" s="123"/>
      <c r="W142" s="119">
        <v>1.5</v>
      </c>
      <c r="X142" s="142">
        <f t="shared" si="45"/>
        <v>5.9039999999999988E-2</v>
      </c>
      <c r="Y142" s="119">
        <f t="shared" si="46"/>
        <v>0.45719999999999994</v>
      </c>
      <c r="Z142" s="123">
        <v>3</v>
      </c>
      <c r="AA142" s="144">
        <f t="shared" si="47"/>
        <v>0</v>
      </c>
      <c r="AB142" s="123">
        <f t="shared" si="48"/>
        <v>0</v>
      </c>
      <c r="AC142" s="123">
        <v>57.62</v>
      </c>
      <c r="AD142" s="123">
        <f t="shared" si="49"/>
        <v>15.239999999999995</v>
      </c>
      <c r="AE142" s="123">
        <f t="shared" si="50"/>
        <v>15.239999999999995</v>
      </c>
    </row>
    <row r="143" spans="2:34" x14ac:dyDescent="0.3">
      <c r="B143" s="123" t="s">
        <v>427</v>
      </c>
      <c r="C143" s="123" t="s">
        <v>658</v>
      </c>
      <c r="D143" s="120" t="s">
        <v>691</v>
      </c>
      <c r="E143" s="121">
        <v>118</v>
      </c>
      <c r="F143" s="141">
        <f t="shared" si="36"/>
        <v>13.776</v>
      </c>
      <c r="G143" s="123"/>
      <c r="H143" s="123"/>
      <c r="I143" s="120">
        <f t="shared" si="37"/>
        <v>0</v>
      </c>
      <c r="J143" s="124">
        <f t="shared" si="38"/>
        <v>0</v>
      </c>
      <c r="K143" s="123">
        <v>1.5</v>
      </c>
      <c r="L143" s="125">
        <v>4</v>
      </c>
      <c r="M143" s="142">
        <f t="shared" si="39"/>
        <v>101.6</v>
      </c>
      <c r="N143" s="142">
        <f t="shared" si="35"/>
        <v>5.0799999999999998E-2</v>
      </c>
      <c r="O143" s="139"/>
      <c r="P143" s="141">
        <f t="shared" si="40"/>
        <v>0</v>
      </c>
      <c r="Q143" s="125">
        <v>4.2</v>
      </c>
      <c r="R143" s="122">
        <f t="shared" si="41"/>
        <v>13.776</v>
      </c>
      <c r="S143" s="120">
        <f t="shared" si="42"/>
        <v>3.96</v>
      </c>
      <c r="T143" s="122">
        <f t="shared" si="43"/>
        <v>1.0101010101010102</v>
      </c>
      <c r="U143" s="122">
        <f t="shared" si="44"/>
        <v>3.3131313131313131</v>
      </c>
      <c r="V143" s="123"/>
      <c r="W143" s="119">
        <v>1.5</v>
      </c>
      <c r="X143" s="142">
        <f t="shared" si="45"/>
        <v>0.20664000000000002</v>
      </c>
      <c r="Y143" s="119">
        <f t="shared" si="46"/>
        <v>0.60959999999999992</v>
      </c>
      <c r="Z143" s="123">
        <v>5</v>
      </c>
      <c r="AA143" s="144">
        <f t="shared" si="47"/>
        <v>25</v>
      </c>
      <c r="AB143" s="123">
        <f t="shared" si="48"/>
        <v>25</v>
      </c>
      <c r="AC143" s="123">
        <v>113</v>
      </c>
      <c r="AD143" s="123">
        <f t="shared" si="49"/>
        <v>-4.2372881355932197</v>
      </c>
      <c r="AE143" s="123">
        <f t="shared" si="50"/>
        <v>4.2372881355932197</v>
      </c>
    </row>
    <row r="144" spans="2:34" x14ac:dyDescent="0.3">
      <c r="AA144" s="112">
        <f>AVERAGE(AA121:AA143)</f>
        <v>-1.0218253968253965</v>
      </c>
      <c r="AB144" s="112">
        <f>AVERAGE(AB121:AB143)</f>
        <v>6.0615079365079367</v>
      </c>
      <c r="AD144" s="112">
        <f>AVERAGE(AD121:AD143)</f>
        <v>-0.84486307399562333</v>
      </c>
      <c r="AE144" s="112">
        <f>AVERAGE(AE121:AE143)</f>
        <v>4.9147715680173247</v>
      </c>
      <c r="AG144" s="112">
        <f>AVERAGE(AG121:AG143)</f>
        <v>-32.737888888888882</v>
      </c>
      <c r="AH144" s="112">
        <f>AVERAGE(AH121:AH143)</f>
        <v>65.321222222222218</v>
      </c>
    </row>
    <row r="146" spans="2:59" x14ac:dyDescent="0.3">
      <c r="D146" s="181" t="s">
        <v>492</v>
      </c>
      <c r="E146" s="181"/>
    </row>
    <row r="147" spans="2:59" x14ac:dyDescent="0.3">
      <c r="D147" s="123" t="s">
        <v>692</v>
      </c>
      <c r="E147" s="123" t="s">
        <v>126</v>
      </c>
    </row>
    <row r="148" spans="2:59" ht="15.6" x14ac:dyDescent="0.3">
      <c r="D148" s="37" t="s">
        <v>40</v>
      </c>
      <c r="E148" s="81">
        <f>DUCTING!M13</f>
        <v>109</v>
      </c>
    </row>
    <row r="149" spans="2:59" ht="15.6" x14ac:dyDescent="0.3">
      <c r="D149" s="37" t="s">
        <v>41</v>
      </c>
      <c r="E149" s="81">
        <f>DUCTING!M14</f>
        <v>102</v>
      </c>
    </row>
    <row r="150" spans="2:59" ht="15.6" x14ac:dyDescent="0.3">
      <c r="D150" s="37" t="s">
        <v>42</v>
      </c>
      <c r="E150" s="81">
        <f>DUCTING!M15</f>
        <v>72</v>
      </c>
    </row>
    <row r="151" spans="2:59" ht="15.6" x14ac:dyDescent="0.3">
      <c r="D151" s="37" t="s">
        <v>43</v>
      </c>
      <c r="E151" s="81">
        <f>DUCTING!M16</f>
        <v>93</v>
      </c>
    </row>
    <row r="152" spans="2:59" ht="15.6" x14ac:dyDescent="0.3">
      <c r="D152" s="37" t="s">
        <v>44</v>
      </c>
      <c r="E152" s="81">
        <f>DUCTING!M17</f>
        <v>118</v>
      </c>
    </row>
    <row r="153" spans="2:59" ht="15.6" x14ac:dyDescent="0.3">
      <c r="D153" s="37" t="s">
        <v>45</v>
      </c>
      <c r="E153" s="81">
        <f>DUCTING!M18</f>
        <v>103</v>
      </c>
    </row>
    <row r="154" spans="2:59" ht="15.6" x14ac:dyDescent="0.3">
      <c r="D154" s="37" t="s">
        <v>46</v>
      </c>
      <c r="E154" s="81">
        <f>DUCTING!M19</f>
        <v>66</v>
      </c>
    </row>
    <row r="155" spans="2:59" ht="15.6" x14ac:dyDescent="0.3">
      <c r="D155" s="37" t="s">
        <v>47</v>
      </c>
      <c r="E155" s="81">
        <f>DUCTING!M20</f>
        <v>73</v>
      </c>
    </row>
    <row r="156" spans="2:59" ht="15.6" x14ac:dyDescent="0.3">
      <c r="D156" s="147" t="s">
        <v>693</v>
      </c>
      <c r="E156" s="134">
        <f>SUM(E148:E155)</f>
        <v>736</v>
      </c>
    </row>
    <row r="157" spans="2:59" ht="15.6" x14ac:dyDescent="0.3">
      <c r="D157" s="37"/>
      <c r="E157" s="81"/>
    </row>
    <row r="160" spans="2:59" ht="69.75" customHeight="1" x14ac:dyDescent="0.3">
      <c r="B160" s="176" t="s">
        <v>74</v>
      </c>
      <c r="C160" s="177" t="s">
        <v>663</v>
      </c>
      <c r="D160" s="171" t="s">
        <v>576</v>
      </c>
      <c r="E160" s="171" t="s">
        <v>577</v>
      </c>
      <c r="F160" s="171" t="s">
        <v>578</v>
      </c>
      <c r="G160" s="171" t="s">
        <v>579</v>
      </c>
      <c r="H160" s="171"/>
      <c r="I160" s="171" t="s">
        <v>580</v>
      </c>
      <c r="J160" s="171" t="s">
        <v>581</v>
      </c>
      <c r="K160" s="171" t="s">
        <v>582</v>
      </c>
      <c r="L160" s="171" t="s">
        <v>632</v>
      </c>
      <c r="M160" s="171" t="s">
        <v>664</v>
      </c>
      <c r="N160" s="171" t="s">
        <v>665</v>
      </c>
      <c r="O160" s="171" t="s">
        <v>585</v>
      </c>
      <c r="P160" s="171" t="s">
        <v>586</v>
      </c>
      <c r="Q160" s="178" t="s">
        <v>587</v>
      </c>
      <c r="R160" s="178" t="s">
        <v>588</v>
      </c>
      <c r="S160" s="179" t="s">
        <v>589</v>
      </c>
      <c r="T160" s="178" t="s">
        <v>590</v>
      </c>
      <c r="U160" s="178" t="s">
        <v>591</v>
      </c>
      <c r="V160" s="176" t="s">
        <v>592</v>
      </c>
      <c r="W160" s="176" t="s">
        <v>593</v>
      </c>
      <c r="X160" s="176" t="s">
        <v>594</v>
      </c>
      <c r="Y160" s="176" t="s">
        <v>595</v>
      </c>
      <c r="Z160" s="182" t="s">
        <v>666</v>
      </c>
      <c r="AA160" s="182"/>
      <c r="AB160" s="182"/>
      <c r="AC160" s="182"/>
      <c r="AD160" s="182"/>
      <c r="AE160" s="182"/>
      <c r="AF160" s="182"/>
      <c r="AG160" s="182"/>
      <c r="AH160" s="182"/>
      <c r="AI160" s="123"/>
      <c r="AJ160" s="123"/>
      <c r="AK160" s="123"/>
      <c r="AL160" s="123"/>
      <c r="AM160" s="123"/>
      <c r="AN160" s="176" t="s">
        <v>694</v>
      </c>
      <c r="AO160" s="176"/>
      <c r="AP160" s="176"/>
      <c r="AQ160" s="176"/>
      <c r="AR160" s="176"/>
      <c r="AS160" s="176" t="s">
        <v>74</v>
      </c>
      <c r="AT160" s="177" t="s">
        <v>663</v>
      </c>
      <c r="AU160" s="171" t="s">
        <v>576</v>
      </c>
      <c r="AV160" s="148" t="s">
        <v>695</v>
      </c>
      <c r="AW160" s="183" t="s">
        <v>666</v>
      </c>
      <c r="AX160" s="183"/>
      <c r="AY160" s="183"/>
      <c r="AZ160" s="150"/>
      <c r="BA160" s="176" t="s">
        <v>74</v>
      </c>
      <c r="BB160" s="177" t="s">
        <v>663</v>
      </c>
      <c r="BC160" s="171" t="s">
        <v>576</v>
      </c>
      <c r="BD160" s="148" t="s">
        <v>696</v>
      </c>
      <c r="BE160" s="184" t="s">
        <v>666</v>
      </c>
      <c r="BF160" s="184"/>
      <c r="BG160" s="184"/>
    </row>
    <row r="161" spans="2:62" ht="57.6" x14ac:dyDescent="0.3">
      <c r="B161" s="176"/>
      <c r="C161" s="177"/>
      <c r="D161" s="171"/>
      <c r="E161" s="171"/>
      <c r="F161" s="171"/>
      <c r="G161" s="119" t="s">
        <v>596</v>
      </c>
      <c r="H161" s="119" t="s">
        <v>597</v>
      </c>
      <c r="I161" s="171"/>
      <c r="J161" s="171"/>
      <c r="K161" s="171"/>
      <c r="L161" s="171"/>
      <c r="M161" s="171"/>
      <c r="N161" s="171"/>
      <c r="O161" s="171"/>
      <c r="P161" s="171"/>
      <c r="Q161" s="178"/>
      <c r="R161" s="178"/>
      <c r="S161" s="179"/>
      <c r="T161" s="178"/>
      <c r="U161" s="178"/>
      <c r="V161" s="176"/>
      <c r="W161" s="176"/>
      <c r="X161" s="176"/>
      <c r="Y161" s="176"/>
      <c r="Z161" s="138" t="s">
        <v>667</v>
      </c>
      <c r="AA161" s="138" t="s">
        <v>668</v>
      </c>
      <c r="AB161" s="138" t="s">
        <v>668</v>
      </c>
      <c r="AC161" s="139" t="s">
        <v>126</v>
      </c>
      <c r="AD161" s="138" t="s">
        <v>669</v>
      </c>
      <c r="AE161" s="138" t="s">
        <v>669</v>
      </c>
      <c r="AF161" s="138" t="s">
        <v>586</v>
      </c>
      <c r="AG161" s="149" t="s">
        <v>670</v>
      </c>
      <c r="AH161" s="149" t="s">
        <v>670</v>
      </c>
      <c r="AI161" s="151" t="s">
        <v>664</v>
      </c>
      <c r="AJ161" s="152" t="s">
        <v>697</v>
      </c>
      <c r="AK161" s="123"/>
      <c r="AL161" s="152" t="s">
        <v>697</v>
      </c>
      <c r="AM161" s="152"/>
      <c r="AN161" s="153" t="s">
        <v>698</v>
      </c>
      <c r="AO161" s="153" t="s">
        <v>699</v>
      </c>
      <c r="AP161" s="153" t="s">
        <v>700</v>
      </c>
      <c r="AQ161" s="153" t="s">
        <v>701</v>
      </c>
      <c r="AR161" s="154" t="s">
        <v>702</v>
      </c>
      <c r="AS161" s="176"/>
      <c r="AT161" s="177"/>
      <c r="AU161" s="171"/>
      <c r="AV161" s="155" t="s">
        <v>632</v>
      </c>
      <c r="AW161" s="149" t="s">
        <v>667</v>
      </c>
      <c r="AX161" s="138" t="s">
        <v>668</v>
      </c>
      <c r="AY161" s="138" t="s">
        <v>668</v>
      </c>
      <c r="AZ161" s="149" t="s">
        <v>703</v>
      </c>
      <c r="BA161" s="176"/>
      <c r="BB161" s="177"/>
      <c r="BC161" s="171"/>
      <c r="BD161" s="155" t="s">
        <v>126</v>
      </c>
      <c r="BE161" s="139" t="s">
        <v>126</v>
      </c>
      <c r="BF161" s="149" t="s">
        <v>669</v>
      </c>
      <c r="BG161" s="149" t="s">
        <v>669</v>
      </c>
      <c r="BH161" s="140" t="s">
        <v>586</v>
      </c>
      <c r="BI161" s="118" t="s">
        <v>670</v>
      </c>
      <c r="BJ161" s="118" t="s">
        <v>670</v>
      </c>
    </row>
    <row r="162" spans="2:62" x14ac:dyDescent="0.3">
      <c r="B162" s="123" t="s">
        <v>311</v>
      </c>
      <c r="C162" s="123"/>
      <c r="D162" s="123" t="s">
        <v>704</v>
      </c>
      <c r="E162" s="121">
        <v>736</v>
      </c>
      <c r="F162" s="141">
        <f t="shared" ref="F162:F176" si="51">R162</f>
        <v>12.730992000000001</v>
      </c>
      <c r="G162" s="123"/>
      <c r="H162" s="123"/>
      <c r="I162" s="120">
        <v>1.5</v>
      </c>
      <c r="J162" s="124">
        <f t="shared" ref="J162:J176" si="52">I162+I163</f>
        <v>3</v>
      </c>
      <c r="K162" s="123">
        <v>1.5</v>
      </c>
      <c r="L162" s="125">
        <v>6</v>
      </c>
      <c r="M162" s="142">
        <f t="shared" ref="M162:M176" si="53">L162*25.4</f>
        <v>152.39999999999998</v>
      </c>
      <c r="N162" s="142">
        <f t="shared" ref="N162:N176" si="54">M162/2 /1000</f>
        <v>7.619999999999999E-2</v>
      </c>
      <c r="O162" s="125">
        <v>4000</v>
      </c>
      <c r="P162" s="141">
        <f t="shared" ref="P162:P176" si="55">O162/60</f>
        <v>66.666666666666671</v>
      </c>
      <c r="Q162" s="143">
        <f>3.4689+0.4125</f>
        <v>3.8814000000000002</v>
      </c>
      <c r="R162" s="122">
        <f t="shared" ref="R162:R176" si="56">Q162*3.28</f>
        <v>12.730992000000001</v>
      </c>
      <c r="S162" s="120">
        <f t="shared" ref="S162:S176" si="57">0.33*12</f>
        <v>3.96</v>
      </c>
      <c r="T162" s="122">
        <f t="shared" ref="T162:T176" si="58">(1*L162)/S162</f>
        <v>1.5151515151515151</v>
      </c>
      <c r="U162" s="122">
        <f t="shared" ref="U162:U176" si="59">T162*3.28</f>
        <v>4.9696969696969697</v>
      </c>
      <c r="V162" s="123"/>
      <c r="W162" s="125">
        <v>4</v>
      </c>
      <c r="X162" s="142">
        <f t="shared" ref="X162:X176" si="60">(W162*F162)/100</f>
        <v>0.50923967999999997</v>
      </c>
      <c r="Y162" s="119">
        <f t="shared" ref="Y162:Y176" si="61">6*M162/1000</f>
        <v>0.91439999999999988</v>
      </c>
      <c r="Z162" s="123">
        <v>6</v>
      </c>
      <c r="AA162" s="144">
        <f t="shared" ref="AA162:AA176" si="62">(Z162-$L162)/$L162*100</f>
        <v>0</v>
      </c>
      <c r="AB162" s="123">
        <f t="shared" ref="AB162:AB176" si="63">ABS((Z162-$L162)/$L162*100)</f>
        <v>0</v>
      </c>
      <c r="AC162" s="123">
        <v>792</v>
      </c>
      <c r="AD162" s="123">
        <f t="shared" ref="AD162:AD176" si="64">(AC162-$E162)/$E162*100</f>
        <v>7.608695652173914</v>
      </c>
      <c r="AE162" s="123">
        <f t="shared" ref="AE162:AE176" si="65">ABS((AC162-$E162)/$E162*100)</f>
        <v>7.608695652173914</v>
      </c>
      <c r="AF162" s="123">
        <v>34.795000000000002</v>
      </c>
      <c r="AG162" s="123">
        <f t="shared" ref="AG162:AG176" si="66">(AF162-$P162)/$P162*100</f>
        <v>-47.807500000000005</v>
      </c>
      <c r="AH162" s="123">
        <f t="shared" ref="AH162:AH176" si="67">ABS((AF162-$P162)/$P162*100)</f>
        <v>47.807500000000005</v>
      </c>
      <c r="AI162" s="123">
        <f t="shared" ref="AI162:AI176" si="68">Z162*25.4</f>
        <v>152.39999999999998</v>
      </c>
      <c r="AJ162" s="156">
        <f t="shared" ref="AJ162:AJ176" si="69">AC162 * 1.69901082</f>
        <v>1345.6165694399999</v>
      </c>
      <c r="AK162" s="123">
        <v>1345.6165694399999</v>
      </c>
      <c r="AL162" s="156">
        <f t="shared" ref="AL162:AL176" si="70">E162 * 1.69901082</f>
        <v>1250.4719635199999</v>
      </c>
      <c r="AM162" s="156">
        <v>1250.4719635199999</v>
      </c>
      <c r="AN162" s="123"/>
      <c r="AO162" s="123"/>
      <c r="AP162" s="123"/>
      <c r="AQ162" s="123"/>
      <c r="AR162" s="123"/>
      <c r="AS162" s="123" t="s">
        <v>311</v>
      </c>
      <c r="AT162" s="123"/>
      <c r="AU162" s="123" t="s">
        <v>705</v>
      </c>
      <c r="AV162" s="123">
        <f t="shared" ref="AV162:AV176" si="71">L162</f>
        <v>6</v>
      </c>
      <c r="AW162" s="123">
        <v>6</v>
      </c>
      <c r="AX162" s="144">
        <f t="shared" ref="AX162:AX176" si="72">(AW162-$L162)/$L162*100</f>
        <v>0</v>
      </c>
      <c r="AY162" s="123">
        <f t="shared" ref="AY162:AY176" si="73">ABS((AW162-$L162)/$L162*100)</f>
        <v>0</v>
      </c>
      <c r="AZ162" s="157">
        <f t="shared" ref="AZ162:AZ176" si="74">AW162*0.0254/2</f>
        <v>7.619999999999999E-2</v>
      </c>
      <c r="BA162" s="123" t="s">
        <v>311</v>
      </c>
      <c r="BB162" s="123"/>
      <c r="BC162" s="123" t="s">
        <v>704</v>
      </c>
      <c r="BD162" s="134">
        <f t="shared" ref="BD162:BD176" si="75">E162</f>
        <v>736</v>
      </c>
      <c r="BE162" s="123">
        <v>736</v>
      </c>
      <c r="BF162" s="158">
        <f t="shared" ref="BF162:BF176" si="76">(BE162-$E162)/$E162*100</f>
        <v>0</v>
      </c>
      <c r="BG162" s="158">
        <f t="shared" ref="BG162:BG176" si="77">ABS((BE162-$E162)/$E162*100)</f>
        <v>0</v>
      </c>
      <c r="BH162" s="112">
        <v>34.795000000000002</v>
      </c>
      <c r="BI162" s="112">
        <f t="shared" ref="BI162:BI176" si="78">(BH162-$P162)/$P162*100</f>
        <v>-47.807500000000005</v>
      </c>
      <c r="BJ162" s="112">
        <f t="shared" ref="BJ162:BJ176" si="79">ABS((BH162-$P162)/$P162*100)</f>
        <v>47.807500000000005</v>
      </c>
    </row>
    <row r="163" spans="2:62" ht="15.6" x14ac:dyDescent="0.3">
      <c r="B163" s="123" t="s">
        <v>311</v>
      </c>
      <c r="C163" s="37" t="s">
        <v>43</v>
      </c>
      <c r="D163" s="123" t="s">
        <v>706</v>
      </c>
      <c r="E163" s="121">
        <v>93</v>
      </c>
      <c r="F163" s="141">
        <f t="shared" si="51"/>
        <v>3.6080000000000001</v>
      </c>
      <c r="G163" s="123"/>
      <c r="H163" s="123"/>
      <c r="I163" s="120">
        <v>1.5</v>
      </c>
      <c r="J163" s="124">
        <f t="shared" si="52"/>
        <v>3</v>
      </c>
      <c r="K163" s="123">
        <v>1.5</v>
      </c>
      <c r="L163" s="125">
        <v>4</v>
      </c>
      <c r="M163" s="142">
        <f t="shared" si="53"/>
        <v>101.6</v>
      </c>
      <c r="N163" s="142">
        <f t="shared" si="54"/>
        <v>5.0799999999999998E-2</v>
      </c>
      <c r="O163" s="139"/>
      <c r="P163" s="141">
        <f t="shared" si="55"/>
        <v>0</v>
      </c>
      <c r="Q163" s="143">
        <v>1.1000000000000001</v>
      </c>
      <c r="R163" s="122">
        <f t="shared" si="56"/>
        <v>3.6080000000000001</v>
      </c>
      <c r="S163" s="120">
        <f t="shared" si="57"/>
        <v>3.96</v>
      </c>
      <c r="T163" s="122">
        <f t="shared" si="58"/>
        <v>1.0101010101010102</v>
      </c>
      <c r="U163" s="122">
        <f t="shared" si="59"/>
        <v>3.3131313131313131</v>
      </c>
      <c r="V163" s="123"/>
      <c r="W163" s="125"/>
      <c r="X163" s="142">
        <f t="shared" si="60"/>
        <v>0</v>
      </c>
      <c r="Y163" s="119">
        <f t="shared" si="61"/>
        <v>0.60959999999999992</v>
      </c>
      <c r="Z163" s="123">
        <v>2.5</v>
      </c>
      <c r="AA163" s="144">
        <f t="shared" si="62"/>
        <v>-37.5</v>
      </c>
      <c r="AB163" s="123">
        <f t="shared" si="63"/>
        <v>37.5</v>
      </c>
      <c r="AC163" s="123">
        <v>82.09</v>
      </c>
      <c r="AD163" s="123">
        <f t="shared" si="64"/>
        <v>-11.731182795698922</v>
      </c>
      <c r="AE163" s="123">
        <f t="shared" si="65"/>
        <v>11.731182795698922</v>
      </c>
      <c r="AF163" s="123">
        <v>34.795000000000002</v>
      </c>
      <c r="AG163" s="123" t="e">
        <f t="shared" si="66"/>
        <v>#DIV/0!</v>
      </c>
      <c r="AH163" s="123" t="e">
        <f t="shared" si="67"/>
        <v>#DIV/0!</v>
      </c>
      <c r="AI163" s="123">
        <f t="shared" si="68"/>
        <v>63.5</v>
      </c>
      <c r="AJ163" s="156">
        <f t="shared" si="69"/>
        <v>139.47179821380001</v>
      </c>
      <c r="AK163" s="123">
        <v>139.47179821380001</v>
      </c>
      <c r="AL163" s="156">
        <f t="shared" si="70"/>
        <v>158.00800626</v>
      </c>
      <c r="AM163" s="156">
        <v>158.00800626</v>
      </c>
      <c r="AN163" s="123">
        <v>105</v>
      </c>
      <c r="AO163" s="123">
        <f>29/1000</f>
        <v>2.9000000000000001E-2</v>
      </c>
      <c r="AP163" s="123">
        <v>158.00800626</v>
      </c>
      <c r="AQ163" s="156">
        <f>65/1000</f>
        <v>6.5000000000000002E-2</v>
      </c>
      <c r="AR163" s="123"/>
      <c r="AS163" s="123" t="s">
        <v>311</v>
      </c>
      <c r="AT163" s="37" t="s">
        <v>43</v>
      </c>
      <c r="AU163" s="123" t="s">
        <v>707</v>
      </c>
      <c r="AV163" s="123">
        <f t="shared" si="71"/>
        <v>4</v>
      </c>
      <c r="AW163" s="123">
        <v>2.5</v>
      </c>
      <c r="AX163" s="144">
        <f t="shared" si="72"/>
        <v>-37.5</v>
      </c>
      <c r="AY163" s="123">
        <f t="shared" si="73"/>
        <v>37.5</v>
      </c>
      <c r="AZ163" s="157">
        <f t="shared" si="74"/>
        <v>3.175E-2</v>
      </c>
      <c r="BA163" s="123" t="s">
        <v>311</v>
      </c>
      <c r="BB163" s="37" t="s">
        <v>43</v>
      </c>
      <c r="BC163" s="123" t="s">
        <v>708</v>
      </c>
      <c r="BD163" s="134">
        <f t="shared" si="75"/>
        <v>93</v>
      </c>
      <c r="BE163" s="123">
        <v>91.34</v>
      </c>
      <c r="BF163" s="158">
        <f t="shared" si="76"/>
        <v>-1.7849462365591362</v>
      </c>
      <c r="BG163" s="158">
        <f t="shared" si="77"/>
        <v>1.7849462365591362</v>
      </c>
      <c r="BH163" s="112">
        <v>34.795000000000002</v>
      </c>
      <c r="BI163" s="112" t="e">
        <f t="shared" si="78"/>
        <v>#DIV/0!</v>
      </c>
      <c r="BJ163" s="112" t="e">
        <f t="shared" si="79"/>
        <v>#DIV/0!</v>
      </c>
    </row>
    <row r="164" spans="2:62" ht="15.6" x14ac:dyDescent="0.3">
      <c r="B164" s="123" t="s">
        <v>311</v>
      </c>
      <c r="C164" s="37"/>
      <c r="D164" s="123" t="s">
        <v>709</v>
      </c>
      <c r="E164" s="121">
        <f>E162-E163</f>
        <v>643</v>
      </c>
      <c r="F164" s="141">
        <f t="shared" si="51"/>
        <v>10.823999999999998</v>
      </c>
      <c r="G164" s="123"/>
      <c r="H164" s="123"/>
      <c r="I164" s="120">
        <v>1.5</v>
      </c>
      <c r="J164" s="124">
        <f t="shared" si="52"/>
        <v>3</v>
      </c>
      <c r="K164" s="123">
        <v>1.5</v>
      </c>
      <c r="L164" s="125">
        <v>7</v>
      </c>
      <c r="M164" s="142">
        <f t="shared" si="53"/>
        <v>177.79999999999998</v>
      </c>
      <c r="N164" s="142">
        <f t="shared" si="54"/>
        <v>8.8899999999999993E-2</v>
      </c>
      <c r="O164" s="125">
        <v>2350</v>
      </c>
      <c r="P164" s="141">
        <f t="shared" si="55"/>
        <v>39.166666666666664</v>
      </c>
      <c r="Q164" s="143">
        <v>3.3</v>
      </c>
      <c r="R164" s="122">
        <f t="shared" si="56"/>
        <v>10.823999999999998</v>
      </c>
      <c r="S164" s="120">
        <f t="shared" si="57"/>
        <v>3.96</v>
      </c>
      <c r="T164" s="122">
        <f t="shared" si="58"/>
        <v>1.7676767676767677</v>
      </c>
      <c r="U164" s="122">
        <f t="shared" si="59"/>
        <v>5.7979797979797976</v>
      </c>
      <c r="V164" s="123"/>
      <c r="W164" s="125">
        <v>1.5</v>
      </c>
      <c r="X164" s="142">
        <f t="shared" si="60"/>
        <v>0.16235999999999998</v>
      </c>
      <c r="Y164" s="119">
        <f t="shared" si="61"/>
        <v>1.0668</v>
      </c>
      <c r="Z164" s="123">
        <v>8</v>
      </c>
      <c r="AA164" s="144">
        <f t="shared" si="62"/>
        <v>14.285714285714285</v>
      </c>
      <c r="AB164" s="123">
        <f t="shared" si="63"/>
        <v>14.285714285714285</v>
      </c>
      <c r="AC164" s="123">
        <v>710</v>
      </c>
      <c r="AD164" s="123">
        <f t="shared" si="64"/>
        <v>10.419906687402799</v>
      </c>
      <c r="AE164" s="123">
        <f t="shared" si="65"/>
        <v>10.419906687402799</v>
      </c>
      <c r="AF164" s="123">
        <v>34.795000000000002</v>
      </c>
      <c r="AG164" s="123">
        <f t="shared" si="66"/>
        <v>-11.161702127659565</v>
      </c>
      <c r="AH164" s="123">
        <f t="shared" si="67"/>
        <v>11.161702127659565</v>
      </c>
      <c r="AI164" s="123">
        <f t="shared" si="68"/>
        <v>203.2</v>
      </c>
      <c r="AJ164" s="156">
        <f t="shared" si="69"/>
        <v>1206.2976822000001</v>
      </c>
      <c r="AK164" s="123">
        <v>1206.2976822000001</v>
      </c>
      <c r="AL164" s="156">
        <f t="shared" si="70"/>
        <v>1092.4639572599999</v>
      </c>
      <c r="AM164" s="156">
        <v>1092.4639572599999</v>
      </c>
      <c r="AN164" s="123"/>
      <c r="AO164" s="123"/>
      <c r="AP164" s="123"/>
      <c r="AQ164" s="123"/>
      <c r="AR164" s="123"/>
      <c r="AS164" s="123" t="s">
        <v>311</v>
      </c>
      <c r="AT164" s="37"/>
      <c r="AU164" s="123" t="s">
        <v>710</v>
      </c>
      <c r="AV164" s="123">
        <f t="shared" si="71"/>
        <v>7</v>
      </c>
      <c r="AW164" s="123">
        <v>8</v>
      </c>
      <c r="AX164" s="144">
        <f t="shared" si="72"/>
        <v>14.285714285714285</v>
      </c>
      <c r="AY164" s="123">
        <f t="shared" si="73"/>
        <v>14.285714285714285</v>
      </c>
      <c r="AZ164" s="157">
        <f t="shared" si="74"/>
        <v>0.1016</v>
      </c>
      <c r="BA164" s="123" t="s">
        <v>311</v>
      </c>
      <c r="BB164" s="37"/>
      <c r="BC164" s="123" t="s">
        <v>711</v>
      </c>
      <c r="BD164" s="134">
        <f t="shared" si="75"/>
        <v>643</v>
      </c>
      <c r="BE164" s="123">
        <v>645</v>
      </c>
      <c r="BF164" s="158">
        <f t="shared" si="76"/>
        <v>0.31104199066874028</v>
      </c>
      <c r="BG164" s="158">
        <f t="shared" si="77"/>
        <v>0.31104199066874028</v>
      </c>
      <c r="BH164" s="112">
        <v>34.795000000000002</v>
      </c>
      <c r="BI164" s="112">
        <f t="shared" si="78"/>
        <v>-11.161702127659565</v>
      </c>
      <c r="BJ164" s="112">
        <f t="shared" si="79"/>
        <v>11.161702127659565</v>
      </c>
    </row>
    <row r="165" spans="2:62" ht="15.6" x14ac:dyDescent="0.3">
      <c r="B165" s="123" t="s">
        <v>311</v>
      </c>
      <c r="C165" s="37" t="s">
        <v>47</v>
      </c>
      <c r="D165" s="123" t="s">
        <v>712</v>
      </c>
      <c r="E165" s="121">
        <v>73</v>
      </c>
      <c r="F165" s="141">
        <f t="shared" si="51"/>
        <v>14.103999999999999</v>
      </c>
      <c r="G165" s="123"/>
      <c r="H165" s="123"/>
      <c r="I165" s="120">
        <v>1.5</v>
      </c>
      <c r="J165" s="124">
        <f t="shared" si="52"/>
        <v>3</v>
      </c>
      <c r="K165" s="123">
        <v>1.5</v>
      </c>
      <c r="L165" s="125">
        <v>3</v>
      </c>
      <c r="M165" s="142">
        <f t="shared" si="53"/>
        <v>76.199999999999989</v>
      </c>
      <c r="N165" s="142">
        <f t="shared" si="54"/>
        <v>3.8099999999999995E-2</v>
      </c>
      <c r="O165" s="139"/>
      <c r="P165" s="141">
        <f t="shared" si="55"/>
        <v>0</v>
      </c>
      <c r="Q165" s="143">
        <f>2.8+1.5</f>
        <v>4.3</v>
      </c>
      <c r="R165" s="122">
        <f t="shared" si="56"/>
        <v>14.103999999999999</v>
      </c>
      <c r="S165" s="120">
        <f t="shared" si="57"/>
        <v>3.96</v>
      </c>
      <c r="T165" s="122">
        <f t="shared" si="58"/>
        <v>0.75757575757575757</v>
      </c>
      <c r="U165" s="122">
        <f t="shared" si="59"/>
        <v>2.4848484848484849</v>
      </c>
      <c r="V165" s="123"/>
      <c r="W165" s="125"/>
      <c r="X165" s="142">
        <f t="shared" si="60"/>
        <v>0</v>
      </c>
      <c r="Y165" s="119">
        <f t="shared" si="61"/>
        <v>0.45719999999999994</v>
      </c>
      <c r="Z165" s="123">
        <v>3</v>
      </c>
      <c r="AA165" s="144">
        <f t="shared" si="62"/>
        <v>0</v>
      </c>
      <c r="AB165" s="123">
        <f t="shared" si="63"/>
        <v>0</v>
      </c>
      <c r="AC165" s="123">
        <v>74.84</v>
      </c>
      <c r="AD165" s="123">
        <f t="shared" si="64"/>
        <v>2.5205479452054842</v>
      </c>
      <c r="AE165" s="123">
        <f t="shared" si="65"/>
        <v>2.5205479452054842</v>
      </c>
      <c r="AF165" s="123">
        <v>34.795000000000002</v>
      </c>
      <c r="AG165" s="123" t="e">
        <f t="shared" si="66"/>
        <v>#DIV/0!</v>
      </c>
      <c r="AH165" s="123" t="e">
        <f t="shared" si="67"/>
        <v>#DIV/0!</v>
      </c>
      <c r="AI165" s="123">
        <f t="shared" si="68"/>
        <v>76.199999999999989</v>
      </c>
      <c r="AJ165" s="156">
        <f t="shared" si="69"/>
        <v>127.15396976880001</v>
      </c>
      <c r="AK165" s="123">
        <v>127.1539697688</v>
      </c>
      <c r="AL165" s="156">
        <f t="shared" si="70"/>
        <v>124.02778986</v>
      </c>
      <c r="AM165" s="156">
        <v>124.02778986</v>
      </c>
      <c r="AN165" s="123">
        <v>105</v>
      </c>
      <c r="AO165" s="123">
        <v>2.9000000000000001E-2</v>
      </c>
      <c r="AP165" s="123">
        <v>124.02778986</v>
      </c>
      <c r="AQ165" s="123">
        <f>40/1000</f>
        <v>0.04</v>
      </c>
      <c r="AR165" s="123"/>
      <c r="AS165" s="123" t="s">
        <v>311</v>
      </c>
      <c r="AT165" s="37" t="s">
        <v>47</v>
      </c>
      <c r="AU165" s="123" t="s">
        <v>713</v>
      </c>
      <c r="AV165" s="123">
        <f t="shared" si="71"/>
        <v>3</v>
      </c>
      <c r="AW165" s="123">
        <v>2.5</v>
      </c>
      <c r="AX165" s="144">
        <f t="shared" si="72"/>
        <v>-16.666666666666664</v>
      </c>
      <c r="AY165" s="123">
        <f t="shared" si="73"/>
        <v>16.666666666666664</v>
      </c>
      <c r="AZ165" s="157">
        <f t="shared" si="74"/>
        <v>3.175E-2</v>
      </c>
      <c r="BA165" s="123" t="s">
        <v>311</v>
      </c>
      <c r="BB165" s="37" t="s">
        <v>47</v>
      </c>
      <c r="BC165" s="123" t="s">
        <v>714</v>
      </c>
      <c r="BD165" s="134">
        <f t="shared" si="75"/>
        <v>73</v>
      </c>
      <c r="BE165" s="123">
        <v>76.91</v>
      </c>
      <c r="BF165" s="158">
        <f t="shared" si="76"/>
        <v>5.356164383561639</v>
      </c>
      <c r="BG165" s="158">
        <f t="shared" si="77"/>
        <v>5.356164383561639</v>
      </c>
      <c r="BH165" s="112">
        <v>34.795000000000002</v>
      </c>
      <c r="BI165" s="112" t="e">
        <f t="shared" si="78"/>
        <v>#DIV/0!</v>
      </c>
      <c r="BJ165" s="112" t="e">
        <f t="shared" si="79"/>
        <v>#DIV/0!</v>
      </c>
    </row>
    <row r="166" spans="2:62" ht="15.6" x14ac:dyDescent="0.3">
      <c r="B166" s="123" t="s">
        <v>311</v>
      </c>
      <c r="C166" s="37"/>
      <c r="D166" s="123" t="s">
        <v>715</v>
      </c>
      <c r="E166" s="121">
        <f>E164-E165</f>
        <v>570</v>
      </c>
      <c r="F166" s="141">
        <f t="shared" si="51"/>
        <v>5.9039999999999999</v>
      </c>
      <c r="G166" s="123"/>
      <c r="H166" s="123"/>
      <c r="I166" s="120">
        <v>1.5</v>
      </c>
      <c r="J166" s="124">
        <f t="shared" si="52"/>
        <v>3</v>
      </c>
      <c r="K166" s="123">
        <v>1.5</v>
      </c>
      <c r="L166" s="125">
        <v>7</v>
      </c>
      <c r="M166" s="142">
        <f t="shared" si="53"/>
        <v>177.79999999999998</v>
      </c>
      <c r="N166" s="142">
        <f t="shared" si="54"/>
        <v>8.8899999999999993E-2</v>
      </c>
      <c r="O166" s="125">
        <v>2200</v>
      </c>
      <c r="P166" s="141">
        <f t="shared" si="55"/>
        <v>36.666666666666664</v>
      </c>
      <c r="Q166" s="143">
        <v>1.8</v>
      </c>
      <c r="R166" s="122">
        <f t="shared" si="56"/>
        <v>5.9039999999999999</v>
      </c>
      <c r="S166" s="120">
        <f t="shared" si="57"/>
        <v>3.96</v>
      </c>
      <c r="T166" s="122">
        <f t="shared" si="58"/>
        <v>1.7676767676767677</v>
      </c>
      <c r="U166" s="122">
        <f t="shared" si="59"/>
        <v>5.7979797979797976</v>
      </c>
      <c r="V166" s="123"/>
      <c r="W166" s="125">
        <v>1.3</v>
      </c>
      <c r="X166" s="142">
        <f t="shared" si="60"/>
        <v>7.6752000000000001E-2</v>
      </c>
      <c r="Y166" s="119">
        <f t="shared" si="61"/>
        <v>1.0668</v>
      </c>
      <c r="Z166" s="123">
        <v>8</v>
      </c>
      <c r="AA166" s="144">
        <f t="shared" si="62"/>
        <v>14.285714285714285</v>
      </c>
      <c r="AB166" s="123">
        <f t="shared" si="63"/>
        <v>14.285714285714285</v>
      </c>
      <c r="AC166" s="123">
        <v>635</v>
      </c>
      <c r="AD166" s="123">
        <f t="shared" si="64"/>
        <v>11.403508771929824</v>
      </c>
      <c r="AE166" s="123">
        <f t="shared" si="65"/>
        <v>11.403508771929824</v>
      </c>
      <c r="AF166" s="123">
        <v>34.795000000000002</v>
      </c>
      <c r="AG166" s="123">
        <f t="shared" si="66"/>
        <v>-5.1045454545454438</v>
      </c>
      <c r="AH166" s="123">
        <f t="shared" si="67"/>
        <v>5.1045454545454438</v>
      </c>
      <c r="AI166" s="123">
        <f t="shared" si="68"/>
        <v>203.2</v>
      </c>
      <c r="AJ166" s="156">
        <f t="shared" si="69"/>
        <v>1078.8718707</v>
      </c>
      <c r="AK166" s="123">
        <v>1078.8718707</v>
      </c>
      <c r="AL166" s="156">
        <f t="shared" si="70"/>
        <v>968.43616740000004</v>
      </c>
      <c r="AM166" s="156">
        <v>968.43616740000004</v>
      </c>
      <c r="AN166" s="123"/>
      <c r="AO166" s="123"/>
      <c r="AP166" s="123"/>
      <c r="AQ166" s="123"/>
      <c r="AR166" s="123"/>
      <c r="AS166" s="123" t="s">
        <v>311</v>
      </c>
      <c r="AT166" s="37"/>
      <c r="AU166" s="123" t="s">
        <v>716</v>
      </c>
      <c r="AV166" s="123">
        <f t="shared" si="71"/>
        <v>7</v>
      </c>
      <c r="AW166" s="123">
        <v>8</v>
      </c>
      <c r="AX166" s="144">
        <f t="shared" si="72"/>
        <v>14.285714285714285</v>
      </c>
      <c r="AY166" s="123">
        <f t="shared" si="73"/>
        <v>14.285714285714285</v>
      </c>
      <c r="AZ166" s="157">
        <f t="shared" si="74"/>
        <v>0.1016</v>
      </c>
      <c r="BA166" s="123" t="s">
        <v>311</v>
      </c>
      <c r="BB166" s="37"/>
      <c r="BC166" s="123" t="s">
        <v>717</v>
      </c>
      <c r="BD166" s="134">
        <f t="shared" si="75"/>
        <v>570</v>
      </c>
      <c r="BE166" s="123">
        <v>568</v>
      </c>
      <c r="BF166" s="158">
        <f t="shared" si="76"/>
        <v>-0.35087719298245612</v>
      </c>
      <c r="BG166" s="158">
        <f t="shared" si="77"/>
        <v>0.35087719298245612</v>
      </c>
      <c r="BH166" s="112">
        <v>34.795000000000002</v>
      </c>
      <c r="BI166" s="112">
        <f t="shared" si="78"/>
        <v>-5.1045454545454438</v>
      </c>
      <c r="BJ166" s="112">
        <f t="shared" si="79"/>
        <v>5.1045454545454438</v>
      </c>
    </row>
    <row r="167" spans="2:62" ht="15.6" x14ac:dyDescent="0.3">
      <c r="B167" s="123" t="s">
        <v>311</v>
      </c>
      <c r="C167" s="37" t="s">
        <v>46</v>
      </c>
      <c r="D167" s="123" t="s">
        <v>718</v>
      </c>
      <c r="E167" s="121">
        <f>E154</f>
        <v>66</v>
      </c>
      <c r="F167" s="141">
        <f t="shared" si="51"/>
        <v>9.84</v>
      </c>
      <c r="G167" s="123"/>
      <c r="H167" s="123"/>
      <c r="I167" s="120">
        <v>1.5</v>
      </c>
      <c r="J167" s="124">
        <f t="shared" si="52"/>
        <v>3</v>
      </c>
      <c r="K167" s="123">
        <v>1.5</v>
      </c>
      <c r="L167" s="125">
        <v>3</v>
      </c>
      <c r="M167" s="142">
        <f t="shared" si="53"/>
        <v>76.199999999999989</v>
      </c>
      <c r="N167" s="142">
        <f t="shared" si="54"/>
        <v>3.8099999999999995E-2</v>
      </c>
      <c r="O167" s="139"/>
      <c r="P167" s="141">
        <f t="shared" si="55"/>
        <v>0</v>
      </c>
      <c r="Q167" s="143">
        <v>3</v>
      </c>
      <c r="R167" s="122">
        <f t="shared" si="56"/>
        <v>9.84</v>
      </c>
      <c r="S167" s="120">
        <f t="shared" si="57"/>
        <v>3.96</v>
      </c>
      <c r="T167" s="122">
        <f t="shared" si="58"/>
        <v>0.75757575757575757</v>
      </c>
      <c r="U167" s="122">
        <f t="shared" si="59"/>
        <v>2.4848484848484849</v>
      </c>
      <c r="V167" s="123"/>
      <c r="W167" s="125"/>
      <c r="X167" s="142">
        <f t="shared" si="60"/>
        <v>0</v>
      </c>
      <c r="Y167" s="119">
        <f t="shared" si="61"/>
        <v>0.45719999999999994</v>
      </c>
      <c r="Z167" s="123">
        <v>2.5</v>
      </c>
      <c r="AA167" s="144">
        <f t="shared" si="62"/>
        <v>-16.666666666666664</v>
      </c>
      <c r="AB167" s="123">
        <f t="shared" si="63"/>
        <v>16.666666666666664</v>
      </c>
      <c r="AC167" s="123">
        <v>64.180000000000007</v>
      </c>
      <c r="AD167" s="123">
        <f t="shared" si="64"/>
        <v>-2.7575757575757471</v>
      </c>
      <c r="AE167" s="123">
        <f t="shared" si="65"/>
        <v>2.7575757575757471</v>
      </c>
      <c r="AF167" s="123">
        <v>34.795000000000002</v>
      </c>
      <c r="AG167" s="123" t="e">
        <f t="shared" si="66"/>
        <v>#DIV/0!</v>
      </c>
      <c r="AH167" s="123" t="e">
        <f t="shared" si="67"/>
        <v>#DIV/0!</v>
      </c>
      <c r="AI167" s="123">
        <f t="shared" si="68"/>
        <v>63.5</v>
      </c>
      <c r="AJ167" s="156">
        <f t="shared" si="69"/>
        <v>109.04251442760001</v>
      </c>
      <c r="AK167" s="123">
        <v>109.0425144276</v>
      </c>
      <c r="AL167" s="156">
        <f t="shared" si="70"/>
        <v>112.13471412</v>
      </c>
      <c r="AM167" s="156">
        <v>112.13471412</v>
      </c>
      <c r="AN167" s="123">
        <v>105</v>
      </c>
      <c r="AO167" s="123">
        <v>2.9000000000000001E-2</v>
      </c>
      <c r="AP167" s="123">
        <v>112.13471412</v>
      </c>
      <c r="AQ167" s="123">
        <f>32/1000</f>
        <v>3.2000000000000001E-2</v>
      </c>
      <c r="AR167" s="123"/>
      <c r="AS167" s="123" t="s">
        <v>311</v>
      </c>
      <c r="AT167" s="37" t="s">
        <v>46</v>
      </c>
      <c r="AU167" s="123" t="s">
        <v>719</v>
      </c>
      <c r="AV167" s="123">
        <f t="shared" si="71"/>
        <v>3</v>
      </c>
      <c r="AW167" s="123">
        <v>2.5</v>
      </c>
      <c r="AX167" s="144">
        <f t="shared" si="72"/>
        <v>-16.666666666666664</v>
      </c>
      <c r="AY167" s="123">
        <f t="shared" si="73"/>
        <v>16.666666666666664</v>
      </c>
      <c r="AZ167" s="157">
        <f t="shared" si="74"/>
        <v>3.175E-2</v>
      </c>
      <c r="BA167" s="123" t="s">
        <v>311</v>
      </c>
      <c r="BB167" s="37" t="s">
        <v>46</v>
      </c>
      <c r="BC167" s="123" t="s">
        <v>720</v>
      </c>
      <c r="BD167" s="134">
        <f t="shared" si="75"/>
        <v>66</v>
      </c>
      <c r="BE167" s="123">
        <v>63.7</v>
      </c>
      <c r="BF167" s="158">
        <f t="shared" si="76"/>
        <v>-3.4848484848484804</v>
      </c>
      <c r="BG167" s="158">
        <f t="shared" si="77"/>
        <v>3.4848484848484804</v>
      </c>
      <c r="BH167" s="112">
        <v>34.795000000000002</v>
      </c>
      <c r="BI167" s="112" t="e">
        <f t="shared" si="78"/>
        <v>#DIV/0!</v>
      </c>
      <c r="BJ167" s="112" t="e">
        <f t="shared" si="79"/>
        <v>#DIV/0!</v>
      </c>
    </row>
    <row r="168" spans="2:62" ht="15.6" x14ac:dyDescent="0.3">
      <c r="B168" s="123" t="s">
        <v>311</v>
      </c>
      <c r="C168" s="37"/>
      <c r="D168" s="123" t="s">
        <v>721</v>
      </c>
      <c r="E168" s="121">
        <f>E166-E167</f>
        <v>504</v>
      </c>
      <c r="F168" s="141">
        <f t="shared" si="51"/>
        <v>8.5280000000000005</v>
      </c>
      <c r="G168" s="123"/>
      <c r="H168" s="123"/>
      <c r="I168" s="120">
        <v>1.5</v>
      </c>
      <c r="J168" s="124">
        <f t="shared" si="52"/>
        <v>3</v>
      </c>
      <c r="K168" s="123">
        <v>1.5</v>
      </c>
      <c r="L168" s="125">
        <v>8</v>
      </c>
      <c r="M168" s="142">
        <f t="shared" si="53"/>
        <v>203.2</v>
      </c>
      <c r="N168" s="142">
        <f t="shared" si="54"/>
        <v>0.1016</v>
      </c>
      <c r="O168" s="125">
        <v>1650</v>
      </c>
      <c r="P168" s="141">
        <f t="shared" si="55"/>
        <v>27.5</v>
      </c>
      <c r="Q168" s="143">
        <v>2.6</v>
      </c>
      <c r="R168" s="122">
        <f t="shared" si="56"/>
        <v>8.5280000000000005</v>
      </c>
      <c r="S168" s="120">
        <f t="shared" si="57"/>
        <v>3.96</v>
      </c>
      <c r="T168" s="122">
        <f t="shared" si="58"/>
        <v>2.0202020202020203</v>
      </c>
      <c r="U168" s="122">
        <f t="shared" si="59"/>
        <v>6.6262626262626263</v>
      </c>
      <c r="V168" s="123"/>
      <c r="W168" s="125">
        <v>0.55000000000000004</v>
      </c>
      <c r="X168" s="142">
        <f t="shared" si="60"/>
        <v>4.6904000000000001E-2</v>
      </c>
      <c r="Y168" s="119">
        <f t="shared" si="61"/>
        <v>1.2191999999999998</v>
      </c>
      <c r="Z168" s="123">
        <v>8</v>
      </c>
      <c r="AA168" s="144">
        <f t="shared" si="62"/>
        <v>0</v>
      </c>
      <c r="AB168" s="123">
        <f t="shared" si="63"/>
        <v>0</v>
      </c>
      <c r="AC168" s="123">
        <v>571</v>
      </c>
      <c r="AD168" s="123">
        <f t="shared" si="64"/>
        <v>13.293650793650794</v>
      </c>
      <c r="AE168" s="123">
        <f t="shared" si="65"/>
        <v>13.293650793650794</v>
      </c>
      <c r="AF168" s="123">
        <v>34.795000000000002</v>
      </c>
      <c r="AG168" s="123">
        <f t="shared" si="66"/>
        <v>26.527272727272731</v>
      </c>
      <c r="AH168" s="123">
        <f t="shared" si="67"/>
        <v>26.527272727272731</v>
      </c>
      <c r="AI168" s="123">
        <f t="shared" si="68"/>
        <v>203.2</v>
      </c>
      <c r="AJ168" s="156">
        <f t="shared" si="69"/>
        <v>970.13517822000006</v>
      </c>
      <c r="AK168" s="123">
        <v>970.13517821999994</v>
      </c>
      <c r="AL168" s="156">
        <f t="shared" si="70"/>
        <v>856.30145328000003</v>
      </c>
      <c r="AM168" s="156">
        <v>856.30145328000003</v>
      </c>
      <c r="AN168" s="123"/>
      <c r="AO168" s="123"/>
      <c r="AP168" s="123"/>
      <c r="AQ168" s="123"/>
      <c r="AR168" s="123"/>
      <c r="AS168" s="123" t="s">
        <v>311</v>
      </c>
      <c r="AT168" s="37"/>
      <c r="AU168" s="123" t="s">
        <v>722</v>
      </c>
      <c r="AV168" s="123">
        <f t="shared" si="71"/>
        <v>8</v>
      </c>
      <c r="AW168" s="123">
        <v>8</v>
      </c>
      <c r="AX168" s="144">
        <f t="shared" si="72"/>
        <v>0</v>
      </c>
      <c r="AY168" s="123">
        <f t="shared" si="73"/>
        <v>0</v>
      </c>
      <c r="AZ168" s="157">
        <f t="shared" si="74"/>
        <v>0.1016</v>
      </c>
      <c r="BA168" s="123" t="s">
        <v>311</v>
      </c>
      <c r="BB168" s="37"/>
      <c r="BC168" s="123" t="s">
        <v>722</v>
      </c>
      <c r="BD168" s="134">
        <f t="shared" si="75"/>
        <v>504</v>
      </c>
      <c r="BE168" s="123">
        <v>504</v>
      </c>
      <c r="BF168" s="158">
        <f t="shared" si="76"/>
        <v>0</v>
      </c>
      <c r="BG168" s="158">
        <f t="shared" si="77"/>
        <v>0</v>
      </c>
      <c r="BH168" s="112">
        <v>34.795000000000002</v>
      </c>
      <c r="BI168" s="112">
        <f t="shared" si="78"/>
        <v>26.527272727272731</v>
      </c>
      <c r="BJ168" s="112">
        <f t="shared" si="79"/>
        <v>26.527272727272731</v>
      </c>
    </row>
    <row r="169" spans="2:62" ht="15.6" x14ac:dyDescent="0.3">
      <c r="B169" s="123" t="s">
        <v>311</v>
      </c>
      <c r="C169" s="37" t="s">
        <v>45</v>
      </c>
      <c r="D169" s="123" t="s">
        <v>723</v>
      </c>
      <c r="E169" s="121">
        <v>103</v>
      </c>
      <c r="F169" s="141">
        <f t="shared" si="51"/>
        <v>9.84</v>
      </c>
      <c r="G169" s="123"/>
      <c r="H169" s="123"/>
      <c r="I169" s="120">
        <v>1.5</v>
      </c>
      <c r="J169" s="124">
        <f t="shared" si="52"/>
        <v>3</v>
      </c>
      <c r="K169" s="123">
        <v>1.5</v>
      </c>
      <c r="L169" s="125">
        <v>4</v>
      </c>
      <c r="M169" s="142">
        <f t="shared" si="53"/>
        <v>101.6</v>
      </c>
      <c r="N169" s="142">
        <f t="shared" si="54"/>
        <v>5.0799999999999998E-2</v>
      </c>
      <c r="O169" s="139"/>
      <c r="P169" s="141">
        <f t="shared" si="55"/>
        <v>0</v>
      </c>
      <c r="Q169" s="143">
        <v>3</v>
      </c>
      <c r="R169" s="122">
        <f t="shared" si="56"/>
        <v>9.84</v>
      </c>
      <c r="S169" s="120">
        <f t="shared" si="57"/>
        <v>3.96</v>
      </c>
      <c r="T169" s="122">
        <f t="shared" si="58"/>
        <v>1.0101010101010102</v>
      </c>
      <c r="U169" s="122">
        <f t="shared" si="59"/>
        <v>3.3131313131313131</v>
      </c>
      <c r="V169" s="123"/>
      <c r="W169" s="125"/>
      <c r="X169" s="142">
        <f t="shared" si="60"/>
        <v>0</v>
      </c>
      <c r="Y169" s="119">
        <f t="shared" si="61"/>
        <v>0.60959999999999992</v>
      </c>
      <c r="Z169" s="123">
        <v>3</v>
      </c>
      <c r="AA169" s="144">
        <f t="shared" si="62"/>
        <v>-25</v>
      </c>
      <c r="AB169" s="123">
        <f t="shared" si="63"/>
        <v>25</v>
      </c>
      <c r="AC169" s="123">
        <v>103</v>
      </c>
      <c r="AD169" s="123">
        <f t="shared" si="64"/>
        <v>0</v>
      </c>
      <c r="AE169" s="123">
        <f t="shared" si="65"/>
        <v>0</v>
      </c>
      <c r="AF169" s="123">
        <v>34.795000000000002</v>
      </c>
      <c r="AG169" s="123" t="e">
        <f t="shared" si="66"/>
        <v>#DIV/0!</v>
      </c>
      <c r="AH169" s="123" t="e">
        <f t="shared" si="67"/>
        <v>#DIV/0!</v>
      </c>
      <c r="AI169" s="123">
        <f t="shared" si="68"/>
        <v>76.199999999999989</v>
      </c>
      <c r="AJ169" s="156">
        <f t="shared" si="69"/>
        <v>174.99811446000001</v>
      </c>
      <c r="AK169" s="123">
        <v>174.99811446000001</v>
      </c>
      <c r="AL169" s="156">
        <f t="shared" si="70"/>
        <v>174.99811446000001</v>
      </c>
      <c r="AM169" s="156">
        <v>174.99811446000001</v>
      </c>
      <c r="AN169" s="123">
        <v>105</v>
      </c>
      <c r="AO169" s="123">
        <v>2.9000000000000001E-2</v>
      </c>
      <c r="AP169" s="123">
        <v>174.99811446000001</v>
      </c>
      <c r="AQ169" s="123">
        <f>79/1000</f>
        <v>7.9000000000000001E-2</v>
      </c>
      <c r="AR169" s="123">
        <v>34</v>
      </c>
      <c r="AS169" s="123" t="s">
        <v>311</v>
      </c>
      <c r="AT169" s="37" t="s">
        <v>45</v>
      </c>
      <c r="AU169" s="123" t="s">
        <v>724</v>
      </c>
      <c r="AV169" s="123">
        <f t="shared" si="71"/>
        <v>4</v>
      </c>
      <c r="AW169" s="123">
        <v>3.5</v>
      </c>
      <c r="AX169" s="144">
        <f t="shared" si="72"/>
        <v>-12.5</v>
      </c>
      <c r="AY169" s="123">
        <f t="shared" si="73"/>
        <v>12.5</v>
      </c>
      <c r="AZ169" s="157">
        <f t="shared" si="74"/>
        <v>4.4449999999999996E-2</v>
      </c>
      <c r="BA169" s="123" t="s">
        <v>311</v>
      </c>
      <c r="BB169" s="37" t="s">
        <v>45</v>
      </c>
      <c r="BC169" s="123" t="s">
        <v>724</v>
      </c>
      <c r="BD169" s="134">
        <f t="shared" si="75"/>
        <v>103</v>
      </c>
      <c r="BE169" s="123">
        <v>103</v>
      </c>
      <c r="BF169" s="158">
        <f t="shared" si="76"/>
        <v>0</v>
      </c>
      <c r="BG169" s="158">
        <f t="shared" si="77"/>
        <v>0</v>
      </c>
      <c r="BH169" s="112">
        <v>34.795000000000002</v>
      </c>
      <c r="BI169" s="112" t="e">
        <f t="shared" si="78"/>
        <v>#DIV/0!</v>
      </c>
      <c r="BJ169" s="112" t="e">
        <f t="shared" si="79"/>
        <v>#DIV/0!</v>
      </c>
    </row>
    <row r="170" spans="2:62" ht="15.6" x14ac:dyDescent="0.3">
      <c r="B170" s="123" t="s">
        <v>311</v>
      </c>
      <c r="C170" s="37"/>
      <c r="D170" s="123" t="s">
        <v>725</v>
      </c>
      <c r="E170" s="121">
        <f>E168-E169</f>
        <v>401</v>
      </c>
      <c r="F170" s="141">
        <f t="shared" si="51"/>
        <v>10.167999999999999</v>
      </c>
      <c r="G170" s="123"/>
      <c r="H170" s="123"/>
      <c r="I170" s="120">
        <v>1.5</v>
      </c>
      <c r="J170" s="124">
        <f t="shared" si="52"/>
        <v>3</v>
      </c>
      <c r="K170" s="123">
        <v>1.5</v>
      </c>
      <c r="L170" s="125">
        <v>8</v>
      </c>
      <c r="M170" s="142">
        <f t="shared" si="53"/>
        <v>203.2</v>
      </c>
      <c r="N170" s="142">
        <f t="shared" si="54"/>
        <v>0.1016</v>
      </c>
      <c r="O170" s="125">
        <v>1400</v>
      </c>
      <c r="P170" s="141">
        <f t="shared" si="55"/>
        <v>23.333333333333332</v>
      </c>
      <c r="Q170" s="143">
        <v>3.1</v>
      </c>
      <c r="R170" s="122">
        <f t="shared" si="56"/>
        <v>10.167999999999999</v>
      </c>
      <c r="S170" s="120">
        <f t="shared" si="57"/>
        <v>3.96</v>
      </c>
      <c r="T170" s="122">
        <f t="shared" si="58"/>
        <v>2.0202020202020203</v>
      </c>
      <c r="U170" s="122">
        <f t="shared" si="59"/>
        <v>6.6262626262626263</v>
      </c>
      <c r="V170" s="123"/>
      <c r="W170" s="125">
        <v>0.4</v>
      </c>
      <c r="X170" s="142">
        <f t="shared" si="60"/>
        <v>4.0672E-2</v>
      </c>
      <c r="Y170" s="119">
        <f t="shared" si="61"/>
        <v>1.2191999999999998</v>
      </c>
      <c r="Z170" s="123">
        <v>8</v>
      </c>
      <c r="AA170" s="144">
        <f t="shared" si="62"/>
        <v>0</v>
      </c>
      <c r="AB170" s="123">
        <f t="shared" si="63"/>
        <v>0</v>
      </c>
      <c r="AC170" s="123">
        <v>468</v>
      </c>
      <c r="AD170" s="123">
        <f t="shared" si="64"/>
        <v>16.708229426433917</v>
      </c>
      <c r="AE170" s="123">
        <f t="shared" si="65"/>
        <v>16.708229426433917</v>
      </c>
      <c r="AF170" s="123">
        <v>34.795000000000002</v>
      </c>
      <c r="AG170" s="123">
        <f t="shared" si="66"/>
        <v>49.121428571428588</v>
      </c>
      <c r="AH170" s="123">
        <f t="shared" si="67"/>
        <v>49.121428571428588</v>
      </c>
      <c r="AI170" s="123">
        <f t="shared" si="68"/>
        <v>203.2</v>
      </c>
      <c r="AJ170" s="156">
        <f t="shared" si="69"/>
        <v>795.13706376000005</v>
      </c>
      <c r="AK170" s="123">
        <v>795.13706376000005</v>
      </c>
      <c r="AL170" s="156">
        <f t="shared" si="70"/>
        <v>681.30333882000002</v>
      </c>
      <c r="AM170" s="156">
        <v>681.30333882000002</v>
      </c>
      <c r="AN170" s="123"/>
      <c r="AO170" s="123"/>
      <c r="AP170" s="123"/>
      <c r="AQ170" s="123"/>
      <c r="AR170" s="123"/>
      <c r="AS170" s="123" t="s">
        <v>311</v>
      </c>
      <c r="AT170" s="37"/>
      <c r="AU170" s="123" t="s">
        <v>726</v>
      </c>
      <c r="AV170" s="123">
        <f t="shared" si="71"/>
        <v>8</v>
      </c>
      <c r="AW170" s="123">
        <v>8</v>
      </c>
      <c r="AX170" s="144">
        <f t="shared" si="72"/>
        <v>0</v>
      </c>
      <c r="AY170" s="123">
        <f t="shared" si="73"/>
        <v>0</v>
      </c>
      <c r="AZ170" s="157">
        <f t="shared" si="74"/>
        <v>0.1016</v>
      </c>
      <c r="BA170" s="123" t="s">
        <v>311</v>
      </c>
      <c r="BB170" s="37"/>
      <c r="BC170" s="123" t="s">
        <v>726</v>
      </c>
      <c r="BD170" s="134">
        <f t="shared" si="75"/>
        <v>401</v>
      </c>
      <c r="BE170" s="123">
        <v>401</v>
      </c>
      <c r="BF170" s="158">
        <f t="shared" si="76"/>
        <v>0</v>
      </c>
      <c r="BG170" s="158">
        <f t="shared" si="77"/>
        <v>0</v>
      </c>
      <c r="BH170" s="112">
        <v>34.795000000000002</v>
      </c>
      <c r="BI170" s="112">
        <f t="shared" si="78"/>
        <v>49.121428571428588</v>
      </c>
      <c r="BJ170" s="112">
        <f t="shared" si="79"/>
        <v>49.121428571428588</v>
      </c>
    </row>
    <row r="171" spans="2:62" ht="15.6" x14ac:dyDescent="0.3">
      <c r="B171" s="123" t="s">
        <v>311</v>
      </c>
      <c r="C171" s="37" t="s">
        <v>41</v>
      </c>
      <c r="D171" s="123" t="s">
        <v>727</v>
      </c>
      <c r="E171" s="121">
        <f>E149</f>
        <v>102</v>
      </c>
      <c r="F171" s="141">
        <f t="shared" si="51"/>
        <v>9.84</v>
      </c>
      <c r="G171" s="123"/>
      <c r="H171" s="123"/>
      <c r="I171" s="120">
        <v>1.5</v>
      </c>
      <c r="J171" s="124">
        <f t="shared" si="52"/>
        <v>3</v>
      </c>
      <c r="K171" s="123">
        <v>1.5</v>
      </c>
      <c r="L171" s="125">
        <v>4</v>
      </c>
      <c r="M171" s="142">
        <f t="shared" si="53"/>
        <v>101.6</v>
      </c>
      <c r="N171" s="142">
        <f t="shared" si="54"/>
        <v>5.0799999999999998E-2</v>
      </c>
      <c r="O171" s="139"/>
      <c r="P171" s="141">
        <f t="shared" si="55"/>
        <v>0</v>
      </c>
      <c r="Q171" s="143">
        <v>3</v>
      </c>
      <c r="R171" s="122">
        <f t="shared" si="56"/>
        <v>9.84</v>
      </c>
      <c r="S171" s="120">
        <f t="shared" si="57"/>
        <v>3.96</v>
      </c>
      <c r="T171" s="122">
        <f t="shared" si="58"/>
        <v>1.0101010101010102</v>
      </c>
      <c r="U171" s="122">
        <f t="shared" si="59"/>
        <v>3.3131313131313131</v>
      </c>
      <c r="V171" s="123"/>
      <c r="W171" s="125"/>
      <c r="X171" s="142">
        <f t="shared" si="60"/>
        <v>0</v>
      </c>
      <c r="Y171" s="119">
        <f t="shared" si="61"/>
        <v>0.60959999999999992</v>
      </c>
      <c r="Z171" s="123">
        <v>3</v>
      </c>
      <c r="AA171" s="144">
        <f t="shared" si="62"/>
        <v>-25</v>
      </c>
      <c r="AB171" s="123">
        <f t="shared" si="63"/>
        <v>25</v>
      </c>
      <c r="AC171" s="123">
        <v>93.75</v>
      </c>
      <c r="AD171" s="123">
        <f t="shared" si="64"/>
        <v>-8.0882352941176467</v>
      </c>
      <c r="AE171" s="123">
        <f t="shared" si="65"/>
        <v>8.0882352941176467</v>
      </c>
      <c r="AF171" s="123">
        <v>34.795000000000002</v>
      </c>
      <c r="AG171" s="123" t="e">
        <f t="shared" si="66"/>
        <v>#DIV/0!</v>
      </c>
      <c r="AH171" s="123" t="e">
        <f t="shared" si="67"/>
        <v>#DIV/0!</v>
      </c>
      <c r="AI171" s="123">
        <f t="shared" si="68"/>
        <v>76.199999999999989</v>
      </c>
      <c r="AJ171" s="156">
        <f t="shared" si="69"/>
        <v>159.28226437500001</v>
      </c>
      <c r="AK171" s="123">
        <v>159.28226437500001</v>
      </c>
      <c r="AL171" s="156">
        <f t="shared" si="70"/>
        <v>173.29910364</v>
      </c>
      <c r="AM171" s="156">
        <v>173.29910364</v>
      </c>
      <c r="AN171" s="123">
        <v>105</v>
      </c>
      <c r="AO171" s="123">
        <v>2.9000000000000001E-2</v>
      </c>
      <c r="AP171" s="123">
        <v>173.29910364</v>
      </c>
      <c r="AQ171" s="123">
        <f>78/1000</f>
        <v>7.8E-2</v>
      </c>
      <c r="AR171" s="123">
        <v>32</v>
      </c>
      <c r="AS171" s="123" t="s">
        <v>311</v>
      </c>
      <c r="AT171" s="37" t="s">
        <v>41</v>
      </c>
      <c r="AU171" s="123" t="s">
        <v>728</v>
      </c>
      <c r="AV171" s="123">
        <f t="shared" si="71"/>
        <v>4</v>
      </c>
      <c r="AW171" s="123">
        <v>3.5</v>
      </c>
      <c r="AX171" s="144">
        <f t="shared" si="72"/>
        <v>-12.5</v>
      </c>
      <c r="AY171" s="123">
        <f t="shared" si="73"/>
        <v>12.5</v>
      </c>
      <c r="AZ171" s="157">
        <f t="shared" si="74"/>
        <v>4.4449999999999996E-2</v>
      </c>
      <c r="BA171" s="123" t="s">
        <v>311</v>
      </c>
      <c r="BB171" s="37" t="s">
        <v>41</v>
      </c>
      <c r="BC171" s="123" t="s">
        <v>728</v>
      </c>
      <c r="BD171" s="134">
        <f t="shared" si="75"/>
        <v>102</v>
      </c>
      <c r="BE171" s="123">
        <v>95.78</v>
      </c>
      <c r="BF171" s="158">
        <f t="shared" si="76"/>
        <v>-6.0980392156862733</v>
      </c>
      <c r="BG171" s="158">
        <f t="shared" si="77"/>
        <v>6.0980392156862733</v>
      </c>
      <c r="BH171" s="112">
        <v>34.795000000000002</v>
      </c>
      <c r="BI171" s="112" t="e">
        <f t="shared" si="78"/>
        <v>#DIV/0!</v>
      </c>
      <c r="BJ171" s="112" t="e">
        <f t="shared" si="79"/>
        <v>#DIV/0!</v>
      </c>
    </row>
    <row r="172" spans="2:62" ht="15.6" x14ac:dyDescent="0.3">
      <c r="B172" s="123" t="s">
        <v>311</v>
      </c>
      <c r="C172" s="37"/>
      <c r="D172" s="123" t="s">
        <v>729</v>
      </c>
      <c r="E172" s="121">
        <f>E170-E171</f>
        <v>299</v>
      </c>
      <c r="F172" s="141">
        <f t="shared" si="51"/>
        <v>6.8879999999999999</v>
      </c>
      <c r="G172" s="123"/>
      <c r="H172" s="123"/>
      <c r="I172" s="120">
        <v>1.5</v>
      </c>
      <c r="J172" s="124">
        <f t="shared" si="52"/>
        <v>3</v>
      </c>
      <c r="K172" s="123">
        <v>1.5</v>
      </c>
      <c r="L172" s="125">
        <v>8</v>
      </c>
      <c r="M172" s="142">
        <f t="shared" si="53"/>
        <v>203.2</v>
      </c>
      <c r="N172" s="142">
        <f t="shared" si="54"/>
        <v>0.1016</v>
      </c>
      <c r="O172" s="119">
        <v>1000</v>
      </c>
      <c r="P172" s="141">
        <f t="shared" si="55"/>
        <v>16.666666666666668</v>
      </c>
      <c r="Q172" s="143">
        <v>2.1</v>
      </c>
      <c r="R172" s="122">
        <f t="shared" si="56"/>
        <v>6.8879999999999999</v>
      </c>
      <c r="S172" s="120">
        <f t="shared" si="57"/>
        <v>3.96</v>
      </c>
      <c r="T172" s="122">
        <f t="shared" si="58"/>
        <v>2.0202020202020203</v>
      </c>
      <c r="U172" s="122">
        <f t="shared" si="59"/>
        <v>6.6262626262626263</v>
      </c>
      <c r="V172" s="123"/>
      <c r="W172" s="125"/>
      <c r="X172" s="142">
        <f t="shared" si="60"/>
        <v>0</v>
      </c>
      <c r="Y172" s="119">
        <f t="shared" si="61"/>
        <v>1.2191999999999998</v>
      </c>
      <c r="Z172" s="123">
        <v>8</v>
      </c>
      <c r="AA172" s="144">
        <f t="shared" si="62"/>
        <v>0</v>
      </c>
      <c r="AB172" s="123">
        <f t="shared" si="63"/>
        <v>0</v>
      </c>
      <c r="AC172" s="123">
        <v>374</v>
      </c>
      <c r="AD172" s="123">
        <f t="shared" si="64"/>
        <v>25.083612040133779</v>
      </c>
      <c r="AE172" s="123">
        <f t="shared" si="65"/>
        <v>25.083612040133779</v>
      </c>
      <c r="AF172" s="123">
        <v>34.795000000000002</v>
      </c>
      <c r="AG172" s="123">
        <f t="shared" si="66"/>
        <v>108.76999999999998</v>
      </c>
      <c r="AH172" s="123">
        <f t="shared" si="67"/>
        <v>108.76999999999998</v>
      </c>
      <c r="AI172" s="123">
        <f t="shared" si="68"/>
        <v>203.2</v>
      </c>
      <c r="AJ172" s="156">
        <f t="shared" si="69"/>
        <v>635.43004668000003</v>
      </c>
      <c r="AK172" s="123">
        <v>635.43004668000003</v>
      </c>
      <c r="AL172" s="156">
        <f t="shared" si="70"/>
        <v>508.00423518000002</v>
      </c>
      <c r="AM172" s="156">
        <v>508.00423518000002</v>
      </c>
      <c r="AN172" s="123"/>
      <c r="AO172" s="123"/>
      <c r="AP172" s="123"/>
      <c r="AQ172" s="123"/>
      <c r="AR172" s="123"/>
      <c r="AS172" s="123" t="s">
        <v>311</v>
      </c>
      <c r="AT172" s="37"/>
      <c r="AU172" s="123" t="s">
        <v>730</v>
      </c>
      <c r="AV172" s="123">
        <f t="shared" si="71"/>
        <v>8</v>
      </c>
      <c r="AW172" s="123">
        <v>8</v>
      </c>
      <c r="AX172" s="144">
        <f t="shared" si="72"/>
        <v>0</v>
      </c>
      <c r="AY172" s="123">
        <f t="shared" si="73"/>
        <v>0</v>
      </c>
      <c r="AZ172" s="157">
        <f t="shared" si="74"/>
        <v>0.1016</v>
      </c>
      <c r="BA172" s="123" t="s">
        <v>311</v>
      </c>
      <c r="BB172" s="37"/>
      <c r="BC172" s="123" t="s">
        <v>730</v>
      </c>
      <c r="BD172" s="134">
        <f t="shared" si="75"/>
        <v>299</v>
      </c>
      <c r="BE172" s="123">
        <v>305</v>
      </c>
      <c r="BF172" s="158">
        <f t="shared" si="76"/>
        <v>2.0066889632107023</v>
      </c>
      <c r="BG172" s="158">
        <f t="shared" si="77"/>
        <v>2.0066889632107023</v>
      </c>
      <c r="BH172" s="112">
        <v>34.795000000000002</v>
      </c>
      <c r="BI172" s="112">
        <f t="shared" si="78"/>
        <v>108.76999999999998</v>
      </c>
      <c r="BJ172" s="112">
        <f t="shared" si="79"/>
        <v>108.76999999999998</v>
      </c>
    </row>
    <row r="173" spans="2:62" ht="15.6" x14ac:dyDescent="0.3">
      <c r="B173" s="123" t="s">
        <v>311</v>
      </c>
      <c r="C173" s="37" t="s">
        <v>40</v>
      </c>
      <c r="D173" s="123" t="s">
        <v>731</v>
      </c>
      <c r="E173" s="121">
        <f>E148</f>
        <v>109</v>
      </c>
      <c r="F173" s="141">
        <f t="shared" si="51"/>
        <v>13.447999999999999</v>
      </c>
      <c r="G173" s="123"/>
      <c r="H173" s="123"/>
      <c r="I173" s="120">
        <v>1.5</v>
      </c>
      <c r="J173" s="124">
        <f t="shared" si="52"/>
        <v>3</v>
      </c>
      <c r="K173" s="123">
        <v>1.5</v>
      </c>
      <c r="L173" s="125">
        <v>4</v>
      </c>
      <c r="M173" s="142">
        <f t="shared" si="53"/>
        <v>101.6</v>
      </c>
      <c r="N173" s="142">
        <f t="shared" si="54"/>
        <v>5.0799999999999998E-2</v>
      </c>
      <c r="O173" s="139"/>
      <c r="P173" s="141">
        <f t="shared" si="55"/>
        <v>0</v>
      </c>
      <c r="Q173" s="143">
        <f>3+1.1</f>
        <v>4.0999999999999996</v>
      </c>
      <c r="R173" s="122">
        <f t="shared" si="56"/>
        <v>13.447999999999999</v>
      </c>
      <c r="S173" s="120">
        <f t="shared" si="57"/>
        <v>3.96</v>
      </c>
      <c r="T173" s="122">
        <f t="shared" si="58"/>
        <v>1.0101010101010102</v>
      </c>
      <c r="U173" s="122">
        <f t="shared" si="59"/>
        <v>3.3131313131313131</v>
      </c>
      <c r="V173" s="123"/>
      <c r="W173" s="125"/>
      <c r="X173" s="142">
        <f t="shared" si="60"/>
        <v>0</v>
      </c>
      <c r="Y173" s="119">
        <f t="shared" si="61"/>
        <v>0.60959999999999992</v>
      </c>
      <c r="Z173" s="123">
        <v>3.5</v>
      </c>
      <c r="AA173" s="144">
        <f t="shared" si="62"/>
        <v>-12.5</v>
      </c>
      <c r="AB173" s="123">
        <f t="shared" si="63"/>
        <v>12.5</v>
      </c>
      <c r="AC173" s="123">
        <v>117</v>
      </c>
      <c r="AD173" s="123">
        <f t="shared" si="64"/>
        <v>7.3394495412844041</v>
      </c>
      <c r="AE173" s="123">
        <f t="shared" si="65"/>
        <v>7.3394495412844041</v>
      </c>
      <c r="AF173" s="123">
        <v>34.795000000000002</v>
      </c>
      <c r="AG173" s="123" t="e">
        <f t="shared" si="66"/>
        <v>#DIV/0!</v>
      </c>
      <c r="AH173" s="123" t="e">
        <f t="shared" si="67"/>
        <v>#DIV/0!</v>
      </c>
      <c r="AI173" s="123">
        <f t="shared" si="68"/>
        <v>88.899999999999991</v>
      </c>
      <c r="AJ173" s="156">
        <f t="shared" si="69"/>
        <v>198.78426594000001</v>
      </c>
      <c r="AK173" s="123">
        <v>198.78426594000001</v>
      </c>
      <c r="AL173" s="156">
        <f t="shared" si="70"/>
        <v>185.19217938</v>
      </c>
      <c r="AM173" s="156">
        <v>185.19217938</v>
      </c>
      <c r="AN173" s="123">
        <v>105</v>
      </c>
      <c r="AO173" s="123">
        <v>2.9000000000000001E-2</v>
      </c>
      <c r="AP173" s="123">
        <v>185.19217938</v>
      </c>
      <c r="AQ173" s="123">
        <f>89/1000</f>
        <v>8.8999999999999996E-2</v>
      </c>
      <c r="AR173" s="123">
        <v>36</v>
      </c>
      <c r="AS173" s="123" t="s">
        <v>311</v>
      </c>
      <c r="AT173" s="37" t="s">
        <v>40</v>
      </c>
      <c r="AU173" s="123" t="s">
        <v>732</v>
      </c>
      <c r="AV173" s="123">
        <f t="shared" si="71"/>
        <v>4</v>
      </c>
      <c r="AW173" s="123">
        <v>4</v>
      </c>
      <c r="AX173" s="144">
        <f t="shared" si="72"/>
        <v>0</v>
      </c>
      <c r="AY173" s="123">
        <f t="shared" si="73"/>
        <v>0</v>
      </c>
      <c r="AZ173" s="157">
        <f t="shared" si="74"/>
        <v>5.0799999999999998E-2</v>
      </c>
      <c r="BA173" s="123" t="s">
        <v>311</v>
      </c>
      <c r="BB173" s="37" t="s">
        <v>40</v>
      </c>
      <c r="BC173" s="123" t="s">
        <v>732</v>
      </c>
      <c r="BD173" s="134">
        <f t="shared" si="75"/>
        <v>109</v>
      </c>
      <c r="BE173" s="123">
        <v>103</v>
      </c>
      <c r="BF173" s="158">
        <f t="shared" si="76"/>
        <v>-5.5045871559633035</v>
      </c>
      <c r="BG173" s="158">
        <f t="shared" si="77"/>
        <v>5.5045871559633035</v>
      </c>
      <c r="BH173" s="112">
        <v>34.795000000000002</v>
      </c>
      <c r="BI173" s="112" t="e">
        <f t="shared" si="78"/>
        <v>#DIV/0!</v>
      </c>
      <c r="BJ173" s="112" t="e">
        <f t="shared" si="79"/>
        <v>#DIV/0!</v>
      </c>
    </row>
    <row r="174" spans="2:62" ht="15.6" x14ac:dyDescent="0.3">
      <c r="B174" s="123" t="s">
        <v>311</v>
      </c>
      <c r="C174" s="37"/>
      <c r="D174" s="123" t="s">
        <v>733</v>
      </c>
      <c r="E174" s="121">
        <f>E172-E173</f>
        <v>190</v>
      </c>
      <c r="F174" s="141">
        <f t="shared" si="51"/>
        <v>9.1839999999999993</v>
      </c>
      <c r="G174" s="123"/>
      <c r="H174" s="123"/>
      <c r="I174" s="120">
        <v>1.5</v>
      </c>
      <c r="J174" s="124">
        <f t="shared" si="52"/>
        <v>3</v>
      </c>
      <c r="K174" s="123">
        <v>1.5</v>
      </c>
      <c r="L174" s="125">
        <v>8</v>
      </c>
      <c r="M174" s="142">
        <f t="shared" si="53"/>
        <v>203.2</v>
      </c>
      <c r="N174" s="142">
        <f t="shared" si="54"/>
        <v>0.1016</v>
      </c>
      <c r="O174" s="119">
        <v>1000</v>
      </c>
      <c r="P174" s="141">
        <f t="shared" si="55"/>
        <v>16.666666666666668</v>
      </c>
      <c r="Q174" s="143">
        <v>2.8</v>
      </c>
      <c r="R174" s="122">
        <f t="shared" si="56"/>
        <v>9.1839999999999993</v>
      </c>
      <c r="S174" s="120">
        <f t="shared" si="57"/>
        <v>3.96</v>
      </c>
      <c r="T174" s="122">
        <f t="shared" si="58"/>
        <v>2.0202020202020203</v>
      </c>
      <c r="U174" s="122">
        <f t="shared" si="59"/>
        <v>6.6262626262626263</v>
      </c>
      <c r="V174" s="123"/>
      <c r="W174" s="125"/>
      <c r="X174" s="142">
        <f t="shared" si="60"/>
        <v>0</v>
      </c>
      <c r="Y174" s="119">
        <f t="shared" si="61"/>
        <v>1.2191999999999998</v>
      </c>
      <c r="Z174" s="123">
        <v>8</v>
      </c>
      <c r="AA174" s="144">
        <f t="shared" si="62"/>
        <v>0</v>
      </c>
      <c r="AB174" s="123">
        <f t="shared" si="63"/>
        <v>0</v>
      </c>
      <c r="AC174" s="123">
        <v>257</v>
      </c>
      <c r="AD174" s="123">
        <f t="shared" si="64"/>
        <v>35.263157894736842</v>
      </c>
      <c r="AE174" s="123">
        <f t="shared" si="65"/>
        <v>35.263157894736842</v>
      </c>
      <c r="AF174" s="123">
        <v>34.795000000000002</v>
      </c>
      <c r="AG174" s="123">
        <f t="shared" si="66"/>
        <v>108.76999999999998</v>
      </c>
      <c r="AH174" s="123">
        <f t="shared" si="67"/>
        <v>108.76999999999998</v>
      </c>
      <c r="AI174" s="123">
        <f t="shared" si="68"/>
        <v>203.2</v>
      </c>
      <c r="AJ174" s="156">
        <f t="shared" si="69"/>
        <v>436.64578074000002</v>
      </c>
      <c r="AK174" s="123">
        <v>436.64578074000002</v>
      </c>
      <c r="AL174" s="156">
        <f t="shared" si="70"/>
        <v>322.8120558</v>
      </c>
      <c r="AM174" s="156">
        <v>322.8120558</v>
      </c>
      <c r="AN174" s="123"/>
      <c r="AO174" s="123"/>
      <c r="AP174" s="123"/>
      <c r="AQ174" s="123"/>
      <c r="AR174" s="123"/>
      <c r="AS174" s="123" t="s">
        <v>311</v>
      </c>
      <c r="AT174" s="37"/>
      <c r="AU174" s="123" t="s">
        <v>734</v>
      </c>
      <c r="AV174" s="123">
        <f t="shared" si="71"/>
        <v>8</v>
      </c>
      <c r="AW174" s="123">
        <v>8</v>
      </c>
      <c r="AX174" s="144">
        <f t="shared" si="72"/>
        <v>0</v>
      </c>
      <c r="AY174" s="123">
        <f t="shared" si="73"/>
        <v>0</v>
      </c>
      <c r="AZ174" s="157">
        <f t="shared" si="74"/>
        <v>0.1016</v>
      </c>
      <c r="BA174" s="123" t="s">
        <v>311</v>
      </c>
      <c r="BB174" s="37"/>
      <c r="BC174" s="123" t="s">
        <v>734</v>
      </c>
      <c r="BD174" s="134">
        <f t="shared" si="75"/>
        <v>190</v>
      </c>
      <c r="BE174" s="123">
        <v>202</v>
      </c>
      <c r="BF174" s="158">
        <f t="shared" si="76"/>
        <v>6.3157894736842106</v>
      </c>
      <c r="BG174" s="158">
        <f t="shared" si="77"/>
        <v>6.3157894736842106</v>
      </c>
      <c r="BH174" s="112">
        <v>34.795000000000002</v>
      </c>
      <c r="BI174" s="112">
        <f t="shared" si="78"/>
        <v>108.76999999999998</v>
      </c>
      <c r="BJ174" s="112">
        <f t="shared" si="79"/>
        <v>108.76999999999998</v>
      </c>
    </row>
    <row r="175" spans="2:62" ht="15.6" x14ac:dyDescent="0.3">
      <c r="B175" s="123" t="s">
        <v>311</v>
      </c>
      <c r="C175" s="37" t="s">
        <v>42</v>
      </c>
      <c r="D175" s="123" t="s">
        <v>735</v>
      </c>
      <c r="E175" s="121">
        <f>E150</f>
        <v>72</v>
      </c>
      <c r="F175" s="141">
        <f t="shared" si="51"/>
        <v>3.9359999999999995</v>
      </c>
      <c r="G175" s="123"/>
      <c r="H175" s="123"/>
      <c r="I175" s="120">
        <v>1.5</v>
      </c>
      <c r="J175" s="124">
        <f t="shared" si="52"/>
        <v>3</v>
      </c>
      <c r="K175" s="123">
        <v>1.5</v>
      </c>
      <c r="L175" s="125">
        <v>3</v>
      </c>
      <c r="M175" s="142">
        <f t="shared" si="53"/>
        <v>76.199999999999989</v>
      </c>
      <c r="N175" s="142">
        <f t="shared" si="54"/>
        <v>3.8099999999999995E-2</v>
      </c>
      <c r="O175" s="139"/>
      <c r="P175" s="141">
        <f t="shared" si="55"/>
        <v>0</v>
      </c>
      <c r="Q175" s="143">
        <v>1.2</v>
      </c>
      <c r="R175" s="122">
        <f t="shared" si="56"/>
        <v>3.9359999999999995</v>
      </c>
      <c r="S175" s="120">
        <f t="shared" si="57"/>
        <v>3.96</v>
      </c>
      <c r="T175" s="122">
        <f t="shared" si="58"/>
        <v>0.75757575757575757</v>
      </c>
      <c r="U175" s="122">
        <f t="shared" si="59"/>
        <v>2.4848484848484849</v>
      </c>
      <c r="V175" s="123"/>
      <c r="W175" s="125"/>
      <c r="X175" s="142">
        <f t="shared" si="60"/>
        <v>0</v>
      </c>
      <c r="Y175" s="119">
        <f t="shared" si="61"/>
        <v>0.45719999999999994</v>
      </c>
      <c r="Z175" s="123">
        <v>3</v>
      </c>
      <c r="AA175" s="144">
        <f t="shared" si="62"/>
        <v>0</v>
      </c>
      <c r="AB175" s="123">
        <f t="shared" si="63"/>
        <v>0</v>
      </c>
      <c r="AC175" s="123">
        <v>83.62</v>
      </c>
      <c r="AD175" s="123">
        <f t="shared" si="64"/>
        <v>16.138888888888893</v>
      </c>
      <c r="AE175" s="123">
        <f t="shared" si="65"/>
        <v>16.138888888888893</v>
      </c>
      <c r="AF175" s="123">
        <v>34.795000000000002</v>
      </c>
      <c r="AG175" s="123" t="e">
        <f t="shared" si="66"/>
        <v>#DIV/0!</v>
      </c>
      <c r="AH175" s="123" t="e">
        <f t="shared" si="67"/>
        <v>#DIV/0!</v>
      </c>
      <c r="AI175" s="123">
        <f t="shared" si="68"/>
        <v>76.199999999999989</v>
      </c>
      <c r="AJ175" s="156">
        <f t="shared" si="69"/>
        <v>142.07128476840001</v>
      </c>
      <c r="AK175" s="123">
        <v>142.07128476840001</v>
      </c>
      <c r="AL175" s="156">
        <f t="shared" si="70"/>
        <v>122.32877904</v>
      </c>
      <c r="AM175" s="156">
        <v>122.32877904</v>
      </c>
      <c r="AN175" s="123">
        <v>105</v>
      </c>
      <c r="AO175" s="123">
        <v>2.9000000000000001E-2</v>
      </c>
      <c r="AP175" s="123">
        <v>122.32877904</v>
      </c>
      <c r="AQ175" s="123">
        <f>39/1000</f>
        <v>3.9E-2</v>
      </c>
      <c r="AR175" s="123">
        <v>24</v>
      </c>
      <c r="AS175" s="123" t="s">
        <v>311</v>
      </c>
      <c r="AT175" s="37" t="s">
        <v>42</v>
      </c>
      <c r="AU175" s="123" t="s">
        <v>736</v>
      </c>
      <c r="AV175" s="123">
        <f t="shared" si="71"/>
        <v>3</v>
      </c>
      <c r="AW175" s="123">
        <v>2.5</v>
      </c>
      <c r="AX175" s="144">
        <f t="shared" si="72"/>
        <v>-16.666666666666664</v>
      </c>
      <c r="AY175" s="123">
        <f t="shared" si="73"/>
        <v>16.666666666666664</v>
      </c>
      <c r="AZ175" s="157">
        <f t="shared" si="74"/>
        <v>3.175E-2</v>
      </c>
      <c r="BA175" s="123" t="s">
        <v>311</v>
      </c>
      <c r="BB175" s="37" t="s">
        <v>42</v>
      </c>
      <c r="BC175" s="123" t="s">
        <v>737</v>
      </c>
      <c r="BD175" s="134">
        <f t="shared" si="75"/>
        <v>72</v>
      </c>
      <c r="BE175" s="123">
        <v>95.15</v>
      </c>
      <c r="BF175" s="158">
        <f t="shared" si="76"/>
        <v>32.152777777777786</v>
      </c>
      <c r="BG175" s="158">
        <f t="shared" si="77"/>
        <v>32.152777777777786</v>
      </c>
      <c r="BH175" s="112">
        <v>34.795000000000002</v>
      </c>
      <c r="BI175" s="112" t="e">
        <f t="shared" si="78"/>
        <v>#DIV/0!</v>
      </c>
      <c r="BJ175" s="112" t="e">
        <f t="shared" si="79"/>
        <v>#DIV/0!</v>
      </c>
    </row>
    <row r="176" spans="2:62" ht="15.6" x14ac:dyDescent="0.3">
      <c r="B176" s="123" t="s">
        <v>311</v>
      </c>
      <c r="C176" s="37" t="s">
        <v>44</v>
      </c>
      <c r="D176" s="123" t="s">
        <v>738</v>
      </c>
      <c r="E176" s="121">
        <f>E174-E175</f>
        <v>118</v>
      </c>
      <c r="F176" s="141">
        <f t="shared" si="51"/>
        <v>10.496</v>
      </c>
      <c r="G176" s="123"/>
      <c r="H176" s="123"/>
      <c r="I176" s="120">
        <v>1.5</v>
      </c>
      <c r="J176" s="124">
        <f t="shared" si="52"/>
        <v>1.5</v>
      </c>
      <c r="K176" s="123">
        <v>1.5</v>
      </c>
      <c r="L176" s="125">
        <v>4</v>
      </c>
      <c r="M176" s="142">
        <f t="shared" si="53"/>
        <v>101.6</v>
      </c>
      <c r="N176" s="142">
        <f t="shared" si="54"/>
        <v>5.0799999999999998E-2</v>
      </c>
      <c r="O176" s="139"/>
      <c r="P176" s="141">
        <f t="shared" si="55"/>
        <v>0</v>
      </c>
      <c r="Q176" s="143">
        <v>3.2</v>
      </c>
      <c r="R176" s="122">
        <f t="shared" si="56"/>
        <v>10.496</v>
      </c>
      <c r="S176" s="120">
        <f t="shared" si="57"/>
        <v>3.96</v>
      </c>
      <c r="T176" s="122">
        <f t="shared" si="58"/>
        <v>1.0101010101010102</v>
      </c>
      <c r="U176" s="122">
        <f t="shared" si="59"/>
        <v>3.3131313131313131</v>
      </c>
      <c r="V176" s="123"/>
      <c r="W176" s="125"/>
      <c r="X176" s="142">
        <f t="shared" si="60"/>
        <v>0</v>
      </c>
      <c r="Y176" s="119">
        <f t="shared" si="61"/>
        <v>0.60959999999999992</v>
      </c>
      <c r="Z176" s="123">
        <v>4</v>
      </c>
      <c r="AA176" s="144">
        <f t="shared" si="62"/>
        <v>0</v>
      </c>
      <c r="AB176" s="123">
        <f t="shared" si="63"/>
        <v>0</v>
      </c>
      <c r="AC176" s="123">
        <v>173</v>
      </c>
      <c r="AD176" s="123">
        <f t="shared" si="64"/>
        <v>46.610169491525419</v>
      </c>
      <c r="AE176" s="123">
        <f t="shared" si="65"/>
        <v>46.610169491525419</v>
      </c>
      <c r="AF176" s="123">
        <v>34.795000000000002</v>
      </c>
      <c r="AG176" s="123" t="e">
        <f t="shared" si="66"/>
        <v>#DIV/0!</v>
      </c>
      <c r="AH176" s="123" t="e">
        <f t="shared" si="67"/>
        <v>#DIV/0!</v>
      </c>
      <c r="AI176" s="123">
        <f t="shared" si="68"/>
        <v>101.6</v>
      </c>
      <c r="AJ176" s="156">
        <f t="shared" si="69"/>
        <v>293.92887186000002</v>
      </c>
      <c r="AK176" s="123">
        <v>293.92887186000002</v>
      </c>
      <c r="AL176" s="156">
        <f t="shared" si="70"/>
        <v>200.48327676</v>
      </c>
      <c r="AM176" s="156">
        <v>200.48327676</v>
      </c>
      <c r="AN176" s="123">
        <v>105</v>
      </c>
      <c r="AO176" s="123">
        <v>2.9000000000000001E-2</v>
      </c>
      <c r="AP176" s="123">
        <v>200.48327676</v>
      </c>
      <c r="AQ176" s="123">
        <f>104/1000</f>
        <v>0.104</v>
      </c>
      <c r="AR176" s="123">
        <v>38</v>
      </c>
      <c r="AS176" s="123" t="s">
        <v>311</v>
      </c>
      <c r="AT176" s="37" t="s">
        <v>44</v>
      </c>
      <c r="AU176" s="123" t="s">
        <v>739</v>
      </c>
      <c r="AV176" s="123">
        <f t="shared" si="71"/>
        <v>4</v>
      </c>
      <c r="AW176" s="123">
        <v>4</v>
      </c>
      <c r="AX176" s="144">
        <f t="shared" si="72"/>
        <v>0</v>
      </c>
      <c r="AY176" s="123">
        <f t="shared" si="73"/>
        <v>0</v>
      </c>
      <c r="AZ176" s="157">
        <f t="shared" si="74"/>
        <v>5.0799999999999998E-2</v>
      </c>
      <c r="BA176" s="123" t="s">
        <v>311</v>
      </c>
      <c r="BB176" s="37" t="s">
        <v>44</v>
      </c>
      <c r="BC176" s="123" t="s">
        <v>739</v>
      </c>
      <c r="BD176" s="134">
        <f t="shared" si="75"/>
        <v>118</v>
      </c>
      <c r="BE176" s="123">
        <v>107</v>
      </c>
      <c r="BF176" s="158">
        <f t="shared" si="76"/>
        <v>-9.3220338983050848</v>
      </c>
      <c r="BG176" s="158">
        <f t="shared" si="77"/>
        <v>9.3220338983050848</v>
      </c>
      <c r="BH176" s="112">
        <v>34.795000000000002</v>
      </c>
      <c r="BI176" s="112" t="e">
        <f t="shared" si="78"/>
        <v>#DIV/0!</v>
      </c>
      <c r="BJ176" s="112" t="e">
        <f t="shared" si="79"/>
        <v>#DIV/0!</v>
      </c>
    </row>
    <row r="177" spans="29:59" x14ac:dyDescent="0.3">
      <c r="AE177" s="112">
        <f>AVERAGE(AE162:AE176)</f>
        <v>14.331120732050559</v>
      </c>
      <c r="AJ177" s="156"/>
      <c r="AV177" s="159"/>
      <c r="AZ177" s="123"/>
      <c r="BA177" s="185" t="s">
        <v>740</v>
      </c>
      <c r="BB177" s="185"/>
      <c r="BC177" s="185"/>
      <c r="BD177" s="185"/>
      <c r="BE177" s="185"/>
      <c r="BF177" s="185"/>
      <c r="BG177" s="158">
        <f>AVERAGE(BG163,BG165,BG167,BG169,BG171,BG173,BG175,BG176)</f>
        <v>7.9629246440877131</v>
      </c>
    </row>
    <row r="178" spans="29:59" x14ac:dyDescent="0.3">
      <c r="AC178" s="112">
        <v>100</v>
      </c>
      <c r="AJ178" s="156">
        <f>AC178 * 1.69901082</f>
        <v>169.901082</v>
      </c>
      <c r="AK178" s="112">
        <v>169.901082</v>
      </c>
    </row>
  </sheetData>
  <mergeCells count="103">
    <mergeCell ref="BB160:BB161"/>
    <mergeCell ref="BC160:BC161"/>
    <mergeCell ref="BE160:BG160"/>
    <mergeCell ref="BA177:BF177"/>
    <mergeCell ref="X160:X161"/>
    <mergeCell ref="Y160:Y161"/>
    <mergeCell ref="Z160:AH160"/>
    <mergeCell ref="AN160:AR160"/>
    <mergeCell ref="AS160:AS161"/>
    <mergeCell ref="AT160:AT161"/>
    <mergeCell ref="AU160:AU161"/>
    <mergeCell ref="AW160:AY160"/>
    <mergeCell ref="BA160:BA161"/>
    <mergeCell ref="Y119:Y120"/>
    <mergeCell ref="Z119:AH119"/>
    <mergeCell ref="D146:E146"/>
    <mergeCell ref="B160:B161"/>
    <mergeCell ref="C160:C161"/>
    <mergeCell ref="D160:D161"/>
    <mergeCell ref="E160:E161"/>
    <mergeCell ref="F160:F161"/>
    <mergeCell ref="G160:H160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V160:V161"/>
    <mergeCell ref="W160:W161"/>
    <mergeCell ref="X78:X79"/>
    <mergeCell ref="Y78:Y79"/>
    <mergeCell ref="B119:B120"/>
    <mergeCell ref="C119:C120"/>
    <mergeCell ref="D119:D120"/>
    <mergeCell ref="E119:E120"/>
    <mergeCell ref="F119:F120"/>
    <mergeCell ref="G119:H119"/>
    <mergeCell ref="I119:I120"/>
    <mergeCell ref="J119:J120"/>
    <mergeCell ref="K119:K120"/>
    <mergeCell ref="L119:L120"/>
    <mergeCell ref="M119:M120"/>
    <mergeCell ref="N119:N120"/>
    <mergeCell ref="O119:O120"/>
    <mergeCell ref="P119:P120"/>
    <mergeCell ref="Q119:Q120"/>
    <mergeCell ref="R119:R120"/>
    <mergeCell ref="S119:S120"/>
    <mergeCell ref="T119:T120"/>
    <mergeCell ref="U119:U120"/>
    <mergeCell ref="V119:V120"/>
    <mergeCell ref="W119:W120"/>
    <mergeCell ref="X119:X120"/>
    <mergeCell ref="V19:V20"/>
    <mergeCell ref="W19:W20"/>
    <mergeCell ref="X19:X20"/>
    <mergeCell ref="Y19:Y20"/>
    <mergeCell ref="B78:B79"/>
    <mergeCell ref="C78:C79"/>
    <mergeCell ref="D78:D79"/>
    <mergeCell ref="E78:E79"/>
    <mergeCell ref="F78:F79"/>
    <mergeCell ref="G78:H78"/>
    <mergeCell ref="I78:I79"/>
    <mergeCell ref="J78:J79"/>
    <mergeCell ref="K78:K79"/>
    <mergeCell ref="L78:L79"/>
    <mergeCell ref="M78:M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L19:L20"/>
    <mergeCell ref="M19:M20"/>
    <mergeCell ref="O19:O20"/>
    <mergeCell ref="P19:P20"/>
    <mergeCell ref="Q19:Q20"/>
    <mergeCell ref="R19:R20"/>
    <mergeCell ref="S19:S20"/>
    <mergeCell ref="T19:T20"/>
    <mergeCell ref="U19:U20"/>
    <mergeCell ref="B19:B20"/>
    <mergeCell ref="C19:C20"/>
    <mergeCell ref="D19:D20"/>
    <mergeCell ref="E19:E20"/>
    <mergeCell ref="F19:F20"/>
    <mergeCell ref="G19:H19"/>
    <mergeCell ref="I19:I20"/>
    <mergeCell ref="J19:J20"/>
    <mergeCell ref="K19:K20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54</vt:i4>
      </vt:variant>
      <vt:variant>
        <vt:lpstr>Named Ranges</vt:lpstr>
      </vt:variant>
      <vt:variant>
        <vt:i4>44</vt:i4>
      </vt:variant>
    </vt:vector>
  </HeadingPairs>
  <TitlesOfParts>
    <vt:vector size="98" baseType="lpstr">
      <vt:lpstr>SUMMARY</vt:lpstr>
      <vt:lpstr>MAIN DK</vt:lpstr>
      <vt:lpstr>POOP DK</vt:lpstr>
      <vt:lpstr>A DK</vt:lpstr>
      <vt:lpstr>B DK</vt:lpstr>
      <vt:lpstr>C DK</vt:lpstr>
      <vt:lpstr>BRIDGE DK</vt:lpstr>
      <vt:lpstr>VEGETABLE STORE</vt:lpstr>
      <vt:lpstr>MEET FISH STORE</vt:lpstr>
      <vt:lpstr>DRY PROVISION STORE</vt:lpstr>
      <vt:lpstr>ENGINE CONTROL ROOM</vt:lpstr>
      <vt:lpstr>GALLEY</vt:lpstr>
      <vt:lpstr>CREW MESS</vt:lpstr>
      <vt:lpstr>OFFICE MESS</vt:lpstr>
      <vt:lpstr>SHIP OFFICE</vt:lpstr>
      <vt:lpstr>CARGO CONTROL ROOM</vt:lpstr>
      <vt:lpstr>DECK CHANGE ROOM</vt:lpstr>
      <vt:lpstr>STORE</vt:lpstr>
      <vt:lpstr>MOTORMAN 2 CABIN</vt:lpstr>
      <vt:lpstr>MOTORMAN 1 CABIN</vt:lpstr>
      <vt:lpstr>OS CABIN</vt:lpstr>
      <vt:lpstr>AB 2 CABIN</vt:lpstr>
      <vt:lpstr>AB 1 CABIN</vt:lpstr>
      <vt:lpstr>FITTER CABIN</vt:lpstr>
      <vt:lpstr>MESSMAN CABIN</vt:lpstr>
      <vt:lpstr>SUEZ CREW</vt:lpstr>
      <vt:lpstr>HOSPITAL</vt:lpstr>
      <vt:lpstr>HOSPITAL TOILET</vt:lpstr>
      <vt:lpstr>GYM ROOM</vt:lpstr>
      <vt:lpstr>BOSUN CABIN</vt:lpstr>
      <vt:lpstr>ELECTRICIANMAN CABIN</vt:lpstr>
      <vt:lpstr>3RD ENGINEER CABIN</vt:lpstr>
      <vt:lpstr>2ND ENGINEER CABIN</vt:lpstr>
      <vt:lpstr>OWNER CABIN</vt:lpstr>
      <vt:lpstr>BONDED STATION</vt:lpstr>
      <vt:lpstr>STORE B DECK</vt:lpstr>
      <vt:lpstr>2ND OFFICER CABIN</vt:lpstr>
      <vt:lpstr>3RD OFFICER CABIN</vt:lpstr>
      <vt:lpstr>PUMPMAN CABIN</vt:lpstr>
      <vt:lpstr>COOKMAN CABIN</vt:lpstr>
      <vt:lpstr>PILOT CABIN</vt:lpstr>
      <vt:lpstr>CHIEF OFFICER CABIN</vt:lpstr>
      <vt:lpstr>CHIEF OFFICER BEDROOM</vt:lpstr>
      <vt:lpstr>MASTER CABIN</vt:lpstr>
      <vt:lpstr>MASTER BEDROOM</vt:lpstr>
      <vt:lpstr>OFFICE</vt:lpstr>
      <vt:lpstr>INSTRUMENTATION ROOM</vt:lpstr>
      <vt:lpstr>1ST ENGINEER CABIN</vt:lpstr>
      <vt:lpstr>1ST ENGINEER BEDROOM</vt:lpstr>
      <vt:lpstr>CHIEF ENGINEER CABIN</vt:lpstr>
      <vt:lpstr>CHIEF ENGINEER BEDROOM</vt:lpstr>
      <vt:lpstr>WHEEL HOUSE</vt:lpstr>
      <vt:lpstr>DUCTING</vt:lpstr>
      <vt:lpstr>STATIC REGAIN</vt:lpstr>
      <vt:lpstr>'1ST ENGINEER BEDROOM'!Print_Area</vt:lpstr>
      <vt:lpstr>'1ST ENGINEER CABIN'!Print_Area</vt:lpstr>
      <vt:lpstr>'2ND ENGINEER CABIN'!Print_Area</vt:lpstr>
      <vt:lpstr>'2ND OFFICER CABIN'!Print_Area</vt:lpstr>
      <vt:lpstr>'3RD ENGINEER CABIN'!Print_Area</vt:lpstr>
      <vt:lpstr>'3RD OFFICER CABIN'!Print_Area</vt:lpstr>
      <vt:lpstr>'AB 1 CABIN'!Print_Area</vt:lpstr>
      <vt:lpstr>'AB 2 CABIN'!Print_Area</vt:lpstr>
      <vt:lpstr>'BONDED STATION'!Print_Area</vt:lpstr>
      <vt:lpstr>'BOSUN CABIN'!Print_Area</vt:lpstr>
      <vt:lpstr>'CARGO CONTROL ROOM'!Print_Area</vt:lpstr>
      <vt:lpstr>'CHIEF ENGINEER BEDROOM'!Print_Area</vt:lpstr>
      <vt:lpstr>'CHIEF ENGINEER CABIN'!Print_Area</vt:lpstr>
      <vt:lpstr>'CHIEF OFFICER BEDROOM'!Print_Area</vt:lpstr>
      <vt:lpstr>'CHIEF OFFICER CABIN'!Print_Area</vt:lpstr>
      <vt:lpstr>'COOKMAN CABIN'!Print_Area</vt:lpstr>
      <vt:lpstr>'CREW MESS'!Print_Area</vt:lpstr>
      <vt:lpstr>'DRY PROVISION STORE'!Print_Area</vt:lpstr>
      <vt:lpstr>'ELECTRICIANMAN CABIN'!Print_Area</vt:lpstr>
      <vt:lpstr>'ENGINE CONTROL ROOM'!Print_Area</vt:lpstr>
      <vt:lpstr>'FITTER CABIN'!Print_Area</vt:lpstr>
      <vt:lpstr>GALLEY!Print_Area</vt:lpstr>
      <vt:lpstr>'GYM ROOM'!Print_Area</vt:lpstr>
      <vt:lpstr>HOSPITAL!Print_Area</vt:lpstr>
      <vt:lpstr>'HOSPITAL TOILET'!Print_Area</vt:lpstr>
      <vt:lpstr>'INSTRUMENTATION ROOM'!Print_Area</vt:lpstr>
      <vt:lpstr>'MASTER BEDROOM'!Print_Area</vt:lpstr>
      <vt:lpstr>'MASTER CABIN'!Print_Area</vt:lpstr>
      <vt:lpstr>'MEET FISH STORE'!Print_Area</vt:lpstr>
      <vt:lpstr>'MESSMAN CABIN'!Print_Area</vt:lpstr>
      <vt:lpstr>'MOTORMAN 1 CABIN'!Print_Area</vt:lpstr>
      <vt:lpstr>'MOTORMAN 2 CABIN'!Print_Area</vt:lpstr>
      <vt:lpstr>OFFICE!Print_Area</vt:lpstr>
      <vt:lpstr>'OFFICE MESS'!Print_Area</vt:lpstr>
      <vt:lpstr>'OS CABIN'!Print_Area</vt:lpstr>
      <vt:lpstr>'OWNER CABIN'!Print_Area</vt:lpstr>
      <vt:lpstr>'PILOT CABIN'!Print_Area</vt:lpstr>
      <vt:lpstr>'PUMPMAN CABIN'!Print_Area</vt:lpstr>
      <vt:lpstr>'SHIP OFFICE'!Print_Area</vt:lpstr>
      <vt:lpstr>STORE!Print_Area</vt:lpstr>
      <vt:lpstr>'STORE B DECK'!Print_Area</vt:lpstr>
      <vt:lpstr>'SUEZ CREW'!Print_Area</vt:lpstr>
      <vt:lpstr>'VEGETABLE STORE'!Print_Area</vt:lpstr>
      <vt:lpstr>'WHEEL HOUSE'!Print_Area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kusuma</dc:creator>
  <dc:description/>
  <cp:lastModifiedBy>salsa billah</cp:lastModifiedBy>
  <cp:revision>8</cp:revision>
  <cp:lastPrinted>2025-09-02T22:24:11Z</cp:lastPrinted>
  <dcterms:created xsi:type="dcterms:W3CDTF">2025-09-01T07:43:14Z</dcterms:created>
  <dcterms:modified xsi:type="dcterms:W3CDTF">2026-08-03T07:57:39Z</dcterms:modified>
  <dc:language>en-US</dc:language>
</cp:coreProperties>
</file>